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8년도\일일업무\생산일보\"/>
    </mc:Choice>
  </mc:AlternateContent>
  <xr:revisionPtr revIDLastSave="0" documentId="13_ncr:1_{7B2ED20A-06A4-4F7C-B44E-8176742785AB}" xr6:coauthVersionLast="40" xr6:coauthVersionMax="40" xr10:uidLastSave="{00000000-0000-0000-0000-000000000000}"/>
  <bookViews>
    <workbookView xWindow="480" yWindow="1470" windowWidth="14880" windowHeight="7125" activeTab="23" xr2:uid="{00000000-000D-0000-FFFF-FFFF00000000}"/>
  </bookViews>
  <sheets>
    <sheet name="총괄" sheetId="16" r:id="rId1"/>
    <sheet name="03" sheetId="1329" r:id="rId2"/>
    <sheet name="04" sheetId="1330" r:id="rId3"/>
    <sheet name="05" sheetId="1331" r:id="rId4"/>
    <sheet name="06" sheetId="1332" r:id="rId5"/>
    <sheet name="07" sheetId="1333" r:id="rId6"/>
    <sheet name="10" sheetId="1334" r:id="rId7"/>
    <sheet name="11" sheetId="1335" r:id="rId8"/>
    <sheet name="12" sheetId="1336" r:id="rId9"/>
    <sheet name="13" sheetId="1337" r:id="rId10"/>
    <sheet name="14" sheetId="1338" r:id="rId11"/>
    <sheet name="15" sheetId="1339" r:id="rId12"/>
    <sheet name="17" sheetId="1340" r:id="rId13"/>
    <sheet name="18" sheetId="1341" r:id="rId14"/>
    <sheet name="19" sheetId="1342" r:id="rId15"/>
    <sheet name="20" sheetId="1343" r:id="rId16"/>
    <sheet name="21" sheetId="1344" r:id="rId17"/>
    <sheet name="24" sheetId="1345" r:id="rId18"/>
    <sheet name="25" sheetId="1346" r:id="rId19"/>
    <sheet name="26" sheetId="1347" r:id="rId20"/>
    <sheet name="27" sheetId="1348" r:id="rId21"/>
    <sheet name="28" sheetId="1349" r:id="rId22"/>
    <sheet name="29" sheetId="1350" r:id="rId23"/>
    <sheet name="31" sheetId="1351" r:id="rId24"/>
  </sheets>
  <definedNames>
    <definedName name="_xlnm.Print_Area" localSheetId="1">'03'!$A$1:$AD$86</definedName>
    <definedName name="_xlnm.Print_Area" localSheetId="2">'04'!$A$1:$AD$86</definedName>
    <definedName name="_xlnm.Print_Area" localSheetId="3">'05'!$A$1:$AD$86</definedName>
    <definedName name="_xlnm.Print_Area" localSheetId="4">'06'!$A$1:$AD$86</definedName>
    <definedName name="_xlnm.Print_Area" localSheetId="5">'07'!$A$1:$AD$86</definedName>
    <definedName name="_xlnm.Print_Area" localSheetId="6">'10'!$A$1:$AD$86</definedName>
    <definedName name="_xlnm.Print_Area" localSheetId="7">'11'!$A$1:$AD$86</definedName>
    <definedName name="_xlnm.Print_Area" localSheetId="8">'12'!$A$1:$AD$87</definedName>
    <definedName name="_xlnm.Print_Area" localSheetId="9">'13'!$A$1:$AD$86</definedName>
    <definedName name="_xlnm.Print_Area" localSheetId="10">'14'!$A$1:$AD$87</definedName>
    <definedName name="_xlnm.Print_Area" localSheetId="11">'15'!$A$1:$AD$86</definedName>
    <definedName name="_xlnm.Print_Area" localSheetId="12">'17'!$A$1:$AD$86</definedName>
    <definedName name="_xlnm.Print_Area" localSheetId="13">'18'!$A$1:$AD$86</definedName>
    <definedName name="_xlnm.Print_Area" localSheetId="14">'19'!$A$1:$AD$88</definedName>
    <definedName name="_xlnm.Print_Area" localSheetId="15">'20'!$A$1:$AD$89</definedName>
    <definedName name="_xlnm.Print_Area" localSheetId="16">'21'!$A$1:$AD$86</definedName>
    <definedName name="_xlnm.Print_Area" localSheetId="17">'24'!$A$1:$AD$87</definedName>
    <definedName name="_xlnm.Print_Area" localSheetId="18">'25'!$A$1:$AD$86</definedName>
    <definedName name="_xlnm.Print_Area" localSheetId="19">'26'!$A$1:$AD$86</definedName>
    <definedName name="_xlnm.Print_Area" localSheetId="20">'27'!$A$1:$AD$86</definedName>
    <definedName name="_xlnm.Print_Area" localSheetId="21">'28'!$A$1:$AD$88</definedName>
    <definedName name="_xlnm.Print_Area" localSheetId="22">'29'!$A$1:$AD$87</definedName>
    <definedName name="_xlnm.Print_Area" localSheetId="23">'31'!$A$1:$AD$87</definedName>
  </definedNames>
  <calcPr calcId="181029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19" i="1351"/>
  <c r="L18" i="1351"/>
  <c r="L17" i="1351"/>
  <c r="O17" i="1351" s="1"/>
  <c r="L16" i="1351"/>
  <c r="K14" i="1351"/>
  <c r="L12" i="1351"/>
  <c r="L11" i="1351"/>
  <c r="L22" i="1351" s="1"/>
  <c r="O22" i="1351" s="1"/>
  <c r="L10" i="1351"/>
  <c r="L9" i="1351"/>
  <c r="L8" i="1351"/>
  <c r="A76" i="1351"/>
  <c r="A77" i="1351" s="1"/>
  <c r="A78" i="1351" s="1"/>
  <c r="A79" i="1351" s="1"/>
  <c r="A80" i="1351" s="1"/>
  <c r="A81" i="1351" s="1"/>
  <c r="A82" i="1351" s="1"/>
  <c r="A75" i="1351"/>
  <c r="AF61" i="1351"/>
  <c r="AF60" i="1351"/>
  <c r="AF63" i="1351" s="1"/>
  <c r="AA22" i="1351"/>
  <c r="Z22" i="1351"/>
  <c r="Y22" i="1351"/>
  <c r="X22" i="1351"/>
  <c r="W22" i="1351"/>
  <c r="V22" i="1351"/>
  <c r="U22" i="1351"/>
  <c r="T22" i="1351"/>
  <c r="S22" i="1351"/>
  <c r="R22" i="1351"/>
  <c r="N22" i="1351"/>
  <c r="J22" i="1351"/>
  <c r="I22" i="1351"/>
  <c r="AF21" i="1351"/>
  <c r="AB21" i="1351"/>
  <c r="Q21" i="1351"/>
  <c r="P21" i="1351"/>
  <c r="AC21" i="1351" s="1"/>
  <c r="AD21" i="1351" s="1"/>
  <c r="O21" i="1351"/>
  <c r="M21" i="1351"/>
  <c r="K21" i="1351"/>
  <c r="AF20" i="1351"/>
  <c r="AB20" i="1351"/>
  <c r="Q20" i="1351"/>
  <c r="P20" i="1351"/>
  <c r="AC20" i="1351" s="1"/>
  <c r="O20" i="1351"/>
  <c r="M20" i="1351"/>
  <c r="K20" i="1351"/>
  <c r="AF19" i="1351"/>
  <c r="AB19" i="1351"/>
  <c r="Q19" i="1351"/>
  <c r="P19" i="1351"/>
  <c r="AC19" i="1351" s="1"/>
  <c r="O19" i="1351"/>
  <c r="M19" i="1351"/>
  <c r="K19" i="1351"/>
  <c r="AF18" i="1351"/>
  <c r="AC18" i="1351"/>
  <c r="AB18" i="1351"/>
  <c r="Q18" i="1351"/>
  <c r="P18" i="1351"/>
  <c r="O18" i="1351"/>
  <c r="M18" i="1351"/>
  <c r="K18" i="1351"/>
  <c r="AF17" i="1351"/>
  <c r="AB17" i="1351"/>
  <c r="Q17" i="1351"/>
  <c r="P17" i="1351"/>
  <c r="AC17" i="1351" s="1"/>
  <c r="M17" i="1351"/>
  <c r="K17" i="1351"/>
  <c r="AF16" i="1351"/>
  <c r="AC16" i="1351"/>
  <c r="AD16" i="1351" s="1"/>
  <c r="AB16" i="1351"/>
  <c r="Q16" i="1351"/>
  <c r="P16" i="1351"/>
  <c r="O16" i="1351"/>
  <c r="M16" i="1351"/>
  <c r="K16" i="1351"/>
  <c r="AF15" i="1351"/>
  <c r="AB15" i="1351"/>
  <c r="Q15" i="1351"/>
  <c r="P15" i="1351"/>
  <c r="AC15" i="1351" s="1"/>
  <c r="AD15" i="1351" s="1"/>
  <c r="O15" i="1351"/>
  <c r="M15" i="1351"/>
  <c r="K15" i="1351"/>
  <c r="AF14" i="1351"/>
  <c r="AB14" i="1351"/>
  <c r="Q14" i="1351"/>
  <c r="P14" i="1351"/>
  <c r="AC14" i="1351" s="1"/>
  <c r="O14" i="1351"/>
  <c r="M14" i="1351"/>
  <c r="AF13" i="1351"/>
  <c r="AC13" i="1351"/>
  <c r="AD13" i="1351" s="1"/>
  <c r="AB13" i="1351"/>
  <c r="Q13" i="1351"/>
  <c r="P13" i="1351"/>
  <c r="O13" i="1351"/>
  <c r="M13" i="1351"/>
  <c r="K13" i="1351"/>
  <c r="AF12" i="1351"/>
  <c r="AB12" i="1351"/>
  <c r="Q12" i="1351"/>
  <c r="P12" i="1351"/>
  <c r="AC12" i="1351" s="1"/>
  <c r="O12" i="1351"/>
  <c r="M12" i="1351"/>
  <c r="K12" i="1351"/>
  <c r="AF11" i="1351"/>
  <c r="AB11" i="1351"/>
  <c r="Q11" i="1351"/>
  <c r="P11" i="1351"/>
  <c r="AC11" i="1351" s="1"/>
  <c r="M11" i="1351"/>
  <c r="K11" i="1351"/>
  <c r="AF10" i="1351"/>
  <c r="AC10" i="1351"/>
  <c r="AB10" i="1351"/>
  <c r="Q10" i="1351"/>
  <c r="P10" i="1351"/>
  <c r="O10" i="1351"/>
  <c r="M10" i="1351"/>
  <c r="K10" i="1351"/>
  <c r="AF9" i="1351"/>
  <c r="AB9" i="1351"/>
  <c r="Q9" i="1351"/>
  <c r="P9" i="1351" s="1"/>
  <c r="AC9" i="1351" s="1"/>
  <c r="AD9" i="1351" s="1"/>
  <c r="O9" i="1351"/>
  <c r="M9" i="1351"/>
  <c r="K9" i="1351"/>
  <c r="AF8" i="1351"/>
  <c r="AC8" i="1351"/>
  <c r="AB8" i="1351"/>
  <c r="Q8" i="1351"/>
  <c r="P8" i="1351"/>
  <c r="O8" i="1351"/>
  <c r="M8" i="1351"/>
  <c r="K8" i="1351"/>
  <c r="AF7" i="1351"/>
  <c r="AC7" i="1351"/>
  <c r="AD7" i="1351" s="1"/>
  <c r="AB7" i="1351"/>
  <c r="Q7" i="1351"/>
  <c r="P7" i="1351"/>
  <c r="O7" i="1351"/>
  <c r="M7" i="1351"/>
  <c r="K7" i="1351"/>
  <c r="AF6" i="1351"/>
  <c r="AC6" i="1351"/>
  <c r="AB6" i="1351"/>
  <c r="Q6" i="1351"/>
  <c r="P6" i="1351"/>
  <c r="O6" i="1351"/>
  <c r="M6" i="1351"/>
  <c r="K6" i="1351"/>
  <c r="AD20" i="1351" l="1"/>
  <c r="AD19" i="1351"/>
  <c r="AD18" i="1351"/>
  <c r="AD17" i="1351"/>
  <c r="Q22" i="1351"/>
  <c r="AD14" i="1351"/>
  <c r="M22" i="1351"/>
  <c r="AD12" i="1351"/>
  <c r="K22" i="1351"/>
  <c r="O11" i="1351"/>
  <c r="AD11" i="1351" s="1"/>
  <c r="AD10" i="1351"/>
  <c r="P22" i="1351"/>
  <c r="AB22" i="1351"/>
  <c r="AD8" i="1351"/>
  <c r="AC22" i="1351"/>
  <c r="AD6" i="1351"/>
  <c r="K20" i="1350"/>
  <c r="K19" i="1350"/>
  <c r="K18" i="1350"/>
  <c r="K17" i="1350"/>
  <c r="K16" i="1350"/>
  <c r="K12" i="1350"/>
  <c r="K11" i="1350"/>
  <c r="K10" i="1350"/>
  <c r="K9" i="1350"/>
  <c r="K8" i="1350"/>
  <c r="A75" i="1350"/>
  <c r="A76" i="1350" s="1"/>
  <c r="A77" i="1350" s="1"/>
  <c r="A78" i="1350" s="1"/>
  <c r="A79" i="1350" s="1"/>
  <c r="A80" i="1350" s="1"/>
  <c r="A81" i="1350" s="1"/>
  <c r="A82" i="1350" s="1"/>
  <c r="AF61" i="1350"/>
  <c r="AF60" i="1350"/>
  <c r="AA22" i="1350"/>
  <c r="Z22" i="1350"/>
  <c r="Y22" i="1350"/>
  <c r="X22" i="1350"/>
  <c r="W22" i="1350"/>
  <c r="V22" i="1350"/>
  <c r="U22" i="1350"/>
  <c r="T22" i="1350"/>
  <c r="S22" i="1350"/>
  <c r="R22" i="1350"/>
  <c r="N22" i="1350"/>
  <c r="J22" i="1350"/>
  <c r="I22" i="1350"/>
  <c r="AF21" i="1350"/>
  <c r="AB21" i="1350"/>
  <c r="Q21" i="1350"/>
  <c r="P21" i="1350"/>
  <c r="AC21" i="1350" s="1"/>
  <c r="AD21" i="1350" s="1"/>
  <c r="O21" i="1350"/>
  <c r="M21" i="1350"/>
  <c r="K21" i="1350"/>
  <c r="AF20" i="1350"/>
  <c r="AB20" i="1350"/>
  <c r="Q20" i="1350"/>
  <c r="P20" i="1350"/>
  <c r="AC20" i="1350" s="1"/>
  <c r="AD20" i="1350" s="1"/>
  <c r="O20" i="1350"/>
  <c r="M20" i="1350"/>
  <c r="AF19" i="1350"/>
  <c r="AC19" i="1350"/>
  <c r="AD19" i="1350" s="1"/>
  <c r="AB19" i="1350"/>
  <c r="Q19" i="1350"/>
  <c r="P19" i="1350"/>
  <c r="O19" i="1350"/>
  <c r="M19" i="1350"/>
  <c r="AF18" i="1350"/>
  <c r="Q18" i="1350"/>
  <c r="P18" i="1350"/>
  <c r="AC18" i="1350" s="1"/>
  <c r="AF17" i="1350"/>
  <c r="Q17" i="1350"/>
  <c r="P17" i="1350"/>
  <c r="AC17" i="1350" s="1"/>
  <c r="O17" i="1350"/>
  <c r="AF16" i="1350"/>
  <c r="Q16" i="1350"/>
  <c r="P16" i="1350"/>
  <c r="AC16" i="1350" s="1"/>
  <c r="O16" i="1350"/>
  <c r="AB16" i="1350"/>
  <c r="AF15" i="1350"/>
  <c r="AC15" i="1350"/>
  <c r="AB15" i="1350"/>
  <c r="Q15" i="1350"/>
  <c r="P15" i="1350"/>
  <c r="O15" i="1350"/>
  <c r="M15" i="1350"/>
  <c r="K15" i="1350"/>
  <c r="AF14" i="1350"/>
  <c r="AB14" i="1350"/>
  <c r="Q14" i="1350"/>
  <c r="P14" i="1350"/>
  <c r="AC14" i="1350" s="1"/>
  <c r="O14" i="1350"/>
  <c r="M14" i="1350"/>
  <c r="K14" i="1350"/>
  <c r="AF13" i="1350"/>
  <c r="AB13" i="1350"/>
  <c r="Q13" i="1350"/>
  <c r="P13" i="1350"/>
  <c r="AC13" i="1350" s="1"/>
  <c r="AD13" i="1350" s="1"/>
  <c r="O13" i="1350"/>
  <c r="M13" i="1350"/>
  <c r="K13" i="1350"/>
  <c r="AF12" i="1350"/>
  <c r="AB12" i="1350"/>
  <c r="Q12" i="1350"/>
  <c r="P12" i="1350"/>
  <c r="AC12" i="1350" s="1"/>
  <c r="O12" i="1350"/>
  <c r="M12" i="1350"/>
  <c r="AF11" i="1350"/>
  <c r="AB11" i="1350"/>
  <c r="Q11" i="1350"/>
  <c r="P11" i="1350"/>
  <c r="AC11" i="1350" s="1"/>
  <c r="O11" i="1350"/>
  <c r="M11" i="1350"/>
  <c r="AF10" i="1350"/>
  <c r="Q10" i="1350"/>
  <c r="P10" i="1350"/>
  <c r="AC10" i="1350" s="1"/>
  <c r="AF9" i="1350"/>
  <c r="AB9" i="1350"/>
  <c r="Q9" i="1350"/>
  <c r="P9" i="1350"/>
  <c r="AC9" i="1350" s="1"/>
  <c r="O9" i="1350"/>
  <c r="M9" i="1350"/>
  <c r="AF8" i="1350"/>
  <c r="Q8" i="1350"/>
  <c r="P8" i="1350"/>
  <c r="AC8" i="1350" s="1"/>
  <c r="L22" i="1350"/>
  <c r="O22" i="1350" s="1"/>
  <c r="AF7" i="1350"/>
  <c r="AB7" i="1350"/>
  <c r="Q7" i="1350"/>
  <c r="P7" i="1350"/>
  <c r="AC7" i="1350" s="1"/>
  <c r="O7" i="1350"/>
  <c r="M7" i="1350"/>
  <c r="K7" i="1350"/>
  <c r="AF6" i="1350"/>
  <c r="AB6" i="1350"/>
  <c r="Q6" i="1350"/>
  <c r="Q22" i="1350" s="1"/>
  <c r="P6" i="1350"/>
  <c r="AC6" i="1350" s="1"/>
  <c r="AD6" i="1350" s="1"/>
  <c r="O6" i="1350"/>
  <c r="M6" i="1350"/>
  <c r="K6" i="1350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1349"/>
  <c r="K21" i="1349"/>
  <c r="K20" i="1349"/>
  <c r="AF20" i="1349"/>
  <c r="AB20" i="1349"/>
  <c r="Q20" i="1349"/>
  <c r="P20" i="1349"/>
  <c r="AC20" i="1349" s="1"/>
  <c r="AD20" i="1349" s="1"/>
  <c r="O20" i="1349"/>
  <c r="M20" i="1349"/>
  <c r="L19" i="1349"/>
  <c r="L18" i="1349"/>
  <c r="O18" i="1349" s="1"/>
  <c r="L17" i="1349"/>
  <c r="O17" i="1349" s="1"/>
  <c r="L12" i="1349"/>
  <c r="O12" i="1349" s="1"/>
  <c r="L11" i="1349"/>
  <c r="K10" i="1349"/>
  <c r="AF10" i="1349"/>
  <c r="AB10" i="1349"/>
  <c r="Q10" i="1349"/>
  <c r="P10" i="1349" s="1"/>
  <c r="AC10" i="1349" s="1"/>
  <c r="O10" i="1349"/>
  <c r="M10" i="1349"/>
  <c r="L8" i="1349"/>
  <c r="O8" i="1349" s="1"/>
  <c r="K19" i="1349"/>
  <c r="K18" i="1349"/>
  <c r="K17" i="1349"/>
  <c r="K13" i="1349"/>
  <c r="K12" i="1349"/>
  <c r="K11" i="1349"/>
  <c r="K9" i="1349"/>
  <c r="K8" i="1349"/>
  <c r="A77" i="1349"/>
  <c r="A78" i="1349" s="1"/>
  <c r="A79" i="1349" s="1"/>
  <c r="A80" i="1349" s="1"/>
  <c r="A81" i="1349" s="1"/>
  <c r="A82" i="1349" s="1"/>
  <c r="A83" i="1349" s="1"/>
  <c r="A76" i="1349"/>
  <c r="AF62" i="1349"/>
  <c r="AF61" i="1349"/>
  <c r="AF64" i="1349" s="1"/>
  <c r="AA23" i="1349"/>
  <c r="Z23" i="1349"/>
  <c r="Y23" i="1349"/>
  <c r="X23" i="1349"/>
  <c r="W23" i="1349"/>
  <c r="V23" i="1349"/>
  <c r="U23" i="1349"/>
  <c r="T23" i="1349"/>
  <c r="S23" i="1349"/>
  <c r="R23" i="1349"/>
  <c r="N23" i="1349"/>
  <c r="J23" i="1349"/>
  <c r="I23" i="1349"/>
  <c r="AF22" i="1349"/>
  <c r="AB22" i="1349"/>
  <c r="Q22" i="1349"/>
  <c r="P22" i="1349"/>
  <c r="AC22" i="1349" s="1"/>
  <c r="O22" i="1349"/>
  <c r="M22" i="1349"/>
  <c r="K22" i="1349"/>
  <c r="AF21" i="1349"/>
  <c r="Q21" i="1349"/>
  <c r="P21" i="1349" s="1"/>
  <c r="AC21" i="1349" s="1"/>
  <c r="O21" i="1349"/>
  <c r="AF19" i="1349"/>
  <c r="AB19" i="1349"/>
  <c r="Q19" i="1349"/>
  <c r="P19" i="1349" s="1"/>
  <c r="AC19" i="1349" s="1"/>
  <c r="M19" i="1349"/>
  <c r="AF18" i="1349"/>
  <c r="Q18" i="1349"/>
  <c r="AF17" i="1349"/>
  <c r="AB17" i="1349"/>
  <c r="Q17" i="1349"/>
  <c r="P17" i="1349"/>
  <c r="AC17" i="1349" s="1"/>
  <c r="M17" i="1349"/>
  <c r="AF16" i="1349"/>
  <c r="AB16" i="1349"/>
  <c r="Q16" i="1349"/>
  <c r="P16" i="1349"/>
  <c r="AC16" i="1349" s="1"/>
  <c r="O16" i="1349"/>
  <c r="M16" i="1349"/>
  <c r="K16" i="1349"/>
  <c r="AF15" i="1349"/>
  <c r="AB15" i="1349"/>
  <c r="Q15" i="1349"/>
  <c r="P15" i="1349"/>
  <c r="AC15" i="1349" s="1"/>
  <c r="AD15" i="1349" s="1"/>
  <c r="O15" i="1349"/>
  <c r="M15" i="1349"/>
  <c r="K15" i="1349"/>
  <c r="AF14" i="1349"/>
  <c r="AB14" i="1349"/>
  <c r="Q14" i="1349"/>
  <c r="P14" i="1349"/>
  <c r="AC14" i="1349" s="1"/>
  <c r="O14" i="1349"/>
  <c r="M14" i="1349"/>
  <c r="K14" i="1349"/>
  <c r="AF13" i="1349"/>
  <c r="Q13" i="1349"/>
  <c r="O13" i="1349"/>
  <c r="AF12" i="1349"/>
  <c r="AB12" i="1349"/>
  <c r="Q12" i="1349"/>
  <c r="P12" i="1349" s="1"/>
  <c r="AC12" i="1349" s="1"/>
  <c r="M12" i="1349"/>
  <c r="AF11" i="1349"/>
  <c r="Q11" i="1349"/>
  <c r="P11" i="1349" s="1"/>
  <c r="AC11" i="1349" s="1"/>
  <c r="O11" i="1349"/>
  <c r="AF9" i="1349"/>
  <c r="AB9" i="1349"/>
  <c r="Q9" i="1349"/>
  <c r="P9" i="1349" s="1"/>
  <c r="AC9" i="1349" s="1"/>
  <c r="M9" i="1349"/>
  <c r="O9" i="1349"/>
  <c r="AF8" i="1349"/>
  <c r="Q8" i="1349"/>
  <c r="AF7" i="1349"/>
  <c r="AB7" i="1349"/>
  <c r="Q7" i="1349"/>
  <c r="P7" i="1349"/>
  <c r="AC7" i="1349" s="1"/>
  <c r="O7" i="1349"/>
  <c r="M7" i="1349"/>
  <c r="K7" i="1349"/>
  <c r="AF6" i="1349"/>
  <c r="AB6" i="1349"/>
  <c r="Q6" i="1349"/>
  <c r="P6" i="1349"/>
  <c r="O6" i="1349"/>
  <c r="M6" i="1349"/>
  <c r="K6" i="1349"/>
  <c r="AD22" i="1351" l="1"/>
  <c r="AE16" i="1351" s="1"/>
  <c r="AD15" i="1350"/>
  <c r="AD9" i="1350"/>
  <c r="AF63" i="1350"/>
  <c r="AD11" i="1350"/>
  <c r="AD12" i="1350"/>
  <c r="AC22" i="1350"/>
  <c r="AD14" i="1350"/>
  <c r="P22" i="1350"/>
  <c r="AD16" i="1350"/>
  <c r="AD7" i="1350"/>
  <c r="AB10" i="1350"/>
  <c r="AB18" i="1350"/>
  <c r="M8" i="1350"/>
  <c r="AB8" i="1350"/>
  <c r="O10" i="1350"/>
  <c r="AD10" i="1350" s="1"/>
  <c r="M17" i="1350"/>
  <c r="AB17" i="1350"/>
  <c r="AD17" i="1350" s="1"/>
  <c r="O18" i="1350"/>
  <c r="M10" i="1350"/>
  <c r="M18" i="1350"/>
  <c r="O8" i="1350"/>
  <c r="K22" i="1350"/>
  <c r="M16" i="1350"/>
  <c r="AD10" i="1349"/>
  <c r="AD7" i="1349"/>
  <c r="AD14" i="1349"/>
  <c r="AD22" i="1349"/>
  <c r="Q23" i="1349"/>
  <c r="AD9" i="1349"/>
  <c r="AD16" i="1349"/>
  <c r="AD12" i="1349"/>
  <c r="AD17" i="1349"/>
  <c r="AD19" i="1349"/>
  <c r="P8" i="1349"/>
  <c r="AC8" i="1349" s="1"/>
  <c r="M11" i="1349"/>
  <c r="AB11" i="1349"/>
  <c r="AD11" i="1349" s="1"/>
  <c r="P13" i="1349"/>
  <c r="AC13" i="1349" s="1"/>
  <c r="P18" i="1349"/>
  <c r="AC18" i="1349" s="1"/>
  <c r="M21" i="1349"/>
  <c r="AB21" i="1349"/>
  <c r="AD21" i="1349" s="1"/>
  <c r="AC6" i="1349"/>
  <c r="M8" i="1349"/>
  <c r="AB8" i="1349"/>
  <c r="M13" i="1349"/>
  <c r="AB13" i="1349"/>
  <c r="M18" i="1349"/>
  <c r="AB18" i="1349"/>
  <c r="O19" i="1349"/>
  <c r="L23" i="1349"/>
  <c r="O23" i="1349" s="1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19" i="1348"/>
  <c r="L18" i="1348"/>
  <c r="L17" i="1348"/>
  <c r="AB17" i="1348" s="1"/>
  <c r="L16" i="1348"/>
  <c r="L12" i="1348"/>
  <c r="L11" i="1348"/>
  <c r="L10" i="1348"/>
  <c r="L9" i="1348"/>
  <c r="K9" i="1348"/>
  <c r="L8" i="1348"/>
  <c r="K19" i="1348"/>
  <c r="K18" i="1348"/>
  <c r="K17" i="1348"/>
  <c r="K16" i="1348"/>
  <c r="K12" i="1348"/>
  <c r="K11" i="1348"/>
  <c r="K10" i="1348"/>
  <c r="K8" i="1348"/>
  <c r="A74" i="1348"/>
  <c r="A75" i="1348" s="1"/>
  <c r="A76" i="1348" s="1"/>
  <c r="A77" i="1348" s="1"/>
  <c r="A78" i="1348" s="1"/>
  <c r="A79" i="1348" s="1"/>
  <c r="A80" i="1348" s="1"/>
  <c r="A81" i="1348" s="1"/>
  <c r="AF60" i="1348"/>
  <c r="AF59" i="1348"/>
  <c r="AF62" i="1348" s="1"/>
  <c r="AA21" i="1348"/>
  <c r="Z21" i="1348"/>
  <c r="Y21" i="1348"/>
  <c r="X21" i="1348"/>
  <c r="W21" i="1348"/>
  <c r="V21" i="1348"/>
  <c r="U21" i="1348"/>
  <c r="T21" i="1348"/>
  <c r="S21" i="1348"/>
  <c r="R21" i="1348"/>
  <c r="N21" i="1348"/>
  <c r="J21" i="1348"/>
  <c r="I21" i="1348"/>
  <c r="AF20" i="1348"/>
  <c r="AB20" i="1348"/>
  <c r="Q20" i="1348"/>
  <c r="P20" i="1348"/>
  <c r="AC20" i="1348" s="1"/>
  <c r="AD20" i="1348" s="1"/>
  <c r="O20" i="1348"/>
  <c r="M20" i="1348"/>
  <c r="K20" i="1348"/>
  <c r="AF19" i="1348"/>
  <c r="AB19" i="1348"/>
  <c r="Q19" i="1348"/>
  <c r="M19" i="1348"/>
  <c r="P19" i="1348"/>
  <c r="AC19" i="1348" s="1"/>
  <c r="AF18" i="1348"/>
  <c r="Q18" i="1348"/>
  <c r="P18" i="1348" s="1"/>
  <c r="AC18" i="1348" s="1"/>
  <c r="AF17" i="1348"/>
  <c r="Q17" i="1348"/>
  <c r="P17" i="1348"/>
  <c r="AC17" i="1348" s="1"/>
  <c r="O17" i="1348"/>
  <c r="AF16" i="1348"/>
  <c r="AB16" i="1348"/>
  <c r="Q16" i="1348"/>
  <c r="P16" i="1348"/>
  <c r="AC16" i="1348" s="1"/>
  <c r="O16" i="1348"/>
  <c r="M16" i="1348"/>
  <c r="AF15" i="1348"/>
  <c r="AB15" i="1348"/>
  <c r="Q15" i="1348"/>
  <c r="P15" i="1348"/>
  <c r="AC15" i="1348" s="1"/>
  <c r="AD15" i="1348" s="1"/>
  <c r="O15" i="1348"/>
  <c r="M15" i="1348"/>
  <c r="K15" i="1348"/>
  <c r="AF14" i="1348"/>
  <c r="AB14" i="1348"/>
  <c r="Q14" i="1348"/>
  <c r="P14" i="1348"/>
  <c r="AC14" i="1348" s="1"/>
  <c r="AD14" i="1348" s="1"/>
  <c r="O14" i="1348"/>
  <c r="M14" i="1348"/>
  <c r="K14" i="1348"/>
  <c r="AF13" i="1348"/>
  <c r="AB13" i="1348"/>
  <c r="Q13" i="1348"/>
  <c r="P13" i="1348"/>
  <c r="AC13" i="1348" s="1"/>
  <c r="O13" i="1348"/>
  <c r="M13" i="1348"/>
  <c r="K13" i="1348"/>
  <c r="AF12" i="1348"/>
  <c r="AB12" i="1348"/>
  <c r="Q12" i="1348"/>
  <c r="P12" i="1348"/>
  <c r="AC12" i="1348" s="1"/>
  <c r="O12" i="1348"/>
  <c r="M12" i="1348"/>
  <c r="AF11" i="1348"/>
  <c r="Q11" i="1348"/>
  <c r="O11" i="1348"/>
  <c r="AB11" i="1348"/>
  <c r="AF10" i="1348"/>
  <c r="AB10" i="1348"/>
  <c r="Q10" i="1348"/>
  <c r="M10" i="1348"/>
  <c r="P10" i="1348"/>
  <c r="AC10" i="1348" s="1"/>
  <c r="AF9" i="1348"/>
  <c r="AB9" i="1348"/>
  <c r="Q9" i="1348"/>
  <c r="P9" i="1348" s="1"/>
  <c r="AC9" i="1348" s="1"/>
  <c r="O9" i="1348"/>
  <c r="M9" i="1348"/>
  <c r="AF8" i="1348"/>
  <c r="Q8" i="1348"/>
  <c r="O8" i="1348"/>
  <c r="AB8" i="1348"/>
  <c r="AF7" i="1348"/>
  <c r="AB7" i="1348"/>
  <c r="Q7" i="1348"/>
  <c r="P7" i="1348"/>
  <c r="AC7" i="1348" s="1"/>
  <c r="AD7" i="1348" s="1"/>
  <c r="O7" i="1348"/>
  <c r="M7" i="1348"/>
  <c r="K7" i="1348"/>
  <c r="AF6" i="1348"/>
  <c r="AB6" i="1348"/>
  <c r="Q6" i="1348"/>
  <c r="P6" i="1348"/>
  <c r="AC6" i="1348" s="1"/>
  <c r="O6" i="1348"/>
  <c r="M6" i="1348"/>
  <c r="K6" i="1348"/>
  <c r="AE13" i="1351" l="1"/>
  <c r="AE19" i="1351"/>
  <c r="AE20" i="1351"/>
  <c r="AE7" i="1351"/>
  <c r="AE9" i="1351"/>
  <c r="AE8" i="1351"/>
  <c r="AE18" i="1351"/>
  <c r="AE12" i="1351"/>
  <c r="AE10" i="1351"/>
  <c r="AE6" i="1351"/>
  <c r="AE15" i="1351"/>
  <c r="AE14" i="1351"/>
  <c r="AE17" i="1351"/>
  <c r="AE11" i="1351"/>
  <c r="AE21" i="1351"/>
  <c r="AD8" i="1350"/>
  <c r="M22" i="1350"/>
  <c r="AD18" i="1350"/>
  <c r="AB22" i="1350"/>
  <c r="AB23" i="1349"/>
  <c r="M23" i="1349"/>
  <c r="AD18" i="1349"/>
  <c r="K23" i="1349"/>
  <c r="AD13" i="1349"/>
  <c r="AD8" i="1349"/>
  <c r="AC23" i="1349"/>
  <c r="AD6" i="1349"/>
  <c r="P23" i="1349"/>
  <c r="Q21" i="1348"/>
  <c r="AD9" i="1348"/>
  <c r="AD16" i="1348"/>
  <c r="AD13" i="1348"/>
  <c r="AD12" i="1348"/>
  <c r="AD6" i="1348"/>
  <c r="AD17" i="1348"/>
  <c r="P8" i="1348"/>
  <c r="AC8" i="1348" s="1"/>
  <c r="AD8" i="1348" s="1"/>
  <c r="O10" i="1348"/>
  <c r="AD10" i="1348" s="1"/>
  <c r="K21" i="1348"/>
  <c r="P11" i="1348"/>
  <c r="AC11" i="1348" s="1"/>
  <c r="AD11" i="1348" s="1"/>
  <c r="M18" i="1348"/>
  <c r="AB18" i="1348"/>
  <c r="AB21" i="1348" s="1"/>
  <c r="O19" i="1348"/>
  <c r="AD19" i="1348" s="1"/>
  <c r="M17" i="1348"/>
  <c r="O18" i="1348"/>
  <c r="L21" i="1348"/>
  <c r="O21" i="1348" s="1"/>
  <c r="M8" i="1348"/>
  <c r="M11" i="1348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19" i="1347"/>
  <c r="M19" i="1347" s="1"/>
  <c r="L18" i="1347"/>
  <c r="K18" i="1347"/>
  <c r="L17" i="1347"/>
  <c r="K17" i="1347"/>
  <c r="L16" i="1347"/>
  <c r="K16" i="1347" s="1"/>
  <c r="L12" i="1347"/>
  <c r="K12" i="1347" s="1"/>
  <c r="L11" i="1347"/>
  <c r="K11" i="1347" s="1"/>
  <c r="L10" i="1347"/>
  <c r="O10" i="1347" s="1"/>
  <c r="K10" i="1347"/>
  <c r="K9" i="1347"/>
  <c r="L8" i="1347"/>
  <c r="K8" i="1347"/>
  <c r="K19" i="1347"/>
  <c r="K13" i="1347"/>
  <c r="A74" i="1347"/>
  <c r="A75" i="1347" s="1"/>
  <c r="A76" i="1347" s="1"/>
  <c r="A77" i="1347" s="1"/>
  <c r="A78" i="1347" s="1"/>
  <c r="A79" i="1347" s="1"/>
  <c r="A80" i="1347" s="1"/>
  <c r="A81" i="1347" s="1"/>
  <c r="AF60" i="1347"/>
  <c r="AF62" i="1347" s="1"/>
  <c r="AF59" i="1347"/>
  <c r="AA21" i="1347"/>
  <c r="Z21" i="1347"/>
  <c r="Y21" i="1347"/>
  <c r="X21" i="1347"/>
  <c r="W21" i="1347"/>
  <c r="V21" i="1347"/>
  <c r="U21" i="1347"/>
  <c r="T21" i="1347"/>
  <c r="S21" i="1347"/>
  <c r="R21" i="1347"/>
  <c r="N21" i="1347"/>
  <c r="J21" i="1347"/>
  <c r="I21" i="1347"/>
  <c r="AF20" i="1347"/>
  <c r="AB20" i="1347"/>
  <c r="Q20" i="1347"/>
  <c r="P20" i="1347"/>
  <c r="AC20" i="1347" s="1"/>
  <c r="AD20" i="1347" s="1"/>
  <c r="O20" i="1347"/>
  <c r="M20" i="1347"/>
  <c r="K20" i="1347"/>
  <c r="AF19" i="1347"/>
  <c r="Q19" i="1347"/>
  <c r="P19" i="1347"/>
  <c r="AC19" i="1347" s="1"/>
  <c r="AF18" i="1347"/>
  <c r="Q18" i="1347"/>
  <c r="P18" i="1347"/>
  <c r="AC18" i="1347" s="1"/>
  <c r="AF17" i="1347"/>
  <c r="AB17" i="1347"/>
  <c r="Q17" i="1347"/>
  <c r="P17" i="1347"/>
  <c r="AC17" i="1347" s="1"/>
  <c r="O17" i="1347"/>
  <c r="M17" i="1347"/>
  <c r="AF16" i="1347"/>
  <c r="AB16" i="1347"/>
  <c r="Q16" i="1347"/>
  <c r="M16" i="1347"/>
  <c r="AF15" i="1347"/>
  <c r="AB15" i="1347"/>
  <c r="Q15" i="1347"/>
  <c r="P15" i="1347"/>
  <c r="AC15" i="1347" s="1"/>
  <c r="AD15" i="1347" s="1"/>
  <c r="O15" i="1347"/>
  <c r="M15" i="1347"/>
  <c r="K15" i="1347"/>
  <c r="AF14" i="1347"/>
  <c r="AB14" i="1347"/>
  <c r="Q14" i="1347"/>
  <c r="P14" i="1347"/>
  <c r="AC14" i="1347" s="1"/>
  <c r="O14" i="1347"/>
  <c r="M14" i="1347"/>
  <c r="K14" i="1347"/>
  <c r="AF13" i="1347"/>
  <c r="AB13" i="1347"/>
  <c r="Q13" i="1347"/>
  <c r="P13" i="1347"/>
  <c r="AC13" i="1347" s="1"/>
  <c r="O13" i="1347"/>
  <c r="M13" i="1347"/>
  <c r="AF12" i="1347"/>
  <c r="Q12" i="1347"/>
  <c r="AB12" i="1347"/>
  <c r="AF11" i="1347"/>
  <c r="AB11" i="1347"/>
  <c r="Q11" i="1347"/>
  <c r="P11" i="1347"/>
  <c r="AC11" i="1347" s="1"/>
  <c r="M11" i="1347"/>
  <c r="O11" i="1347"/>
  <c r="AF10" i="1347"/>
  <c r="AB10" i="1347"/>
  <c r="Q10" i="1347"/>
  <c r="P10" i="1347"/>
  <c r="AC10" i="1347" s="1"/>
  <c r="AD10" i="1347" s="1"/>
  <c r="M10" i="1347"/>
  <c r="AF9" i="1347"/>
  <c r="AB9" i="1347"/>
  <c r="Q9" i="1347"/>
  <c r="P9" i="1347" s="1"/>
  <c r="AC9" i="1347" s="1"/>
  <c r="O9" i="1347"/>
  <c r="M9" i="1347"/>
  <c r="AF8" i="1347"/>
  <c r="AB8" i="1347"/>
  <c r="Q8" i="1347"/>
  <c r="O8" i="1347"/>
  <c r="M8" i="1347"/>
  <c r="AF7" i="1347"/>
  <c r="AC7" i="1347"/>
  <c r="AD7" i="1347" s="1"/>
  <c r="AB7" i="1347"/>
  <c r="Q7" i="1347"/>
  <c r="P7" i="1347"/>
  <c r="O7" i="1347"/>
  <c r="M7" i="1347"/>
  <c r="K7" i="1347"/>
  <c r="AF6" i="1347"/>
  <c r="AC6" i="1347"/>
  <c r="AB6" i="1347"/>
  <c r="Q6" i="1347"/>
  <c r="P6" i="1347"/>
  <c r="O6" i="1347"/>
  <c r="M6" i="1347"/>
  <c r="K6" i="1347"/>
  <c r="AD22" i="1350" l="1"/>
  <c r="AE8" i="1350" s="1"/>
  <c r="AE15" i="1350"/>
  <c r="AE10" i="1350"/>
  <c r="AE13" i="1350"/>
  <c r="AE16" i="1350"/>
  <c r="AE21" i="1350"/>
  <c r="AE11" i="1350"/>
  <c r="AE7" i="1350"/>
  <c r="AE12" i="1350"/>
  <c r="AE19" i="1350"/>
  <c r="AE20" i="1350"/>
  <c r="AE9" i="1350"/>
  <c r="AE18" i="1350"/>
  <c r="AE17" i="1350"/>
  <c r="AE6" i="1350"/>
  <c r="AD23" i="1349"/>
  <c r="AD18" i="1348"/>
  <c r="M21" i="1348"/>
  <c r="AD21" i="1348"/>
  <c r="P21" i="1348"/>
  <c r="AC21" i="1348"/>
  <c r="O19" i="1347"/>
  <c r="AB19" i="1347"/>
  <c r="AD19" i="1347" s="1"/>
  <c r="O16" i="1347"/>
  <c r="P16" i="1347"/>
  <c r="AC16" i="1347" s="1"/>
  <c r="AD16" i="1347" s="1"/>
  <c r="O12" i="1347"/>
  <c r="AD9" i="1347"/>
  <c r="P8" i="1347"/>
  <c r="AC8" i="1347" s="1"/>
  <c r="Q21" i="1347"/>
  <c r="AD8" i="1347"/>
  <c r="AD13" i="1347"/>
  <c r="AD14" i="1347"/>
  <c r="AD17" i="1347"/>
  <c r="AD11" i="1347"/>
  <c r="K21" i="1347"/>
  <c r="P12" i="1347"/>
  <c r="AC12" i="1347" s="1"/>
  <c r="AD12" i="1347" s="1"/>
  <c r="M18" i="1347"/>
  <c r="AB18" i="1347"/>
  <c r="O18" i="1347"/>
  <c r="L21" i="1347"/>
  <c r="O21" i="1347" s="1"/>
  <c r="AD6" i="1347"/>
  <c r="M12" i="1347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19" i="1346"/>
  <c r="P19" i="1346" s="1"/>
  <c r="AC19" i="1346" s="1"/>
  <c r="L18" i="1346"/>
  <c r="O18" i="1346" s="1"/>
  <c r="L13" i="1346"/>
  <c r="K13" i="1346" s="1"/>
  <c r="L12" i="1346"/>
  <c r="K12" i="1346" s="1"/>
  <c r="L11" i="1346"/>
  <c r="O11" i="1346" s="1"/>
  <c r="K19" i="1346"/>
  <c r="K18" i="1346"/>
  <c r="K16" i="1346"/>
  <c r="K15" i="1346"/>
  <c r="A74" i="1346"/>
  <c r="A75" i="1346" s="1"/>
  <c r="A76" i="1346" s="1"/>
  <c r="A77" i="1346" s="1"/>
  <c r="A78" i="1346" s="1"/>
  <c r="A79" i="1346" s="1"/>
  <c r="A80" i="1346" s="1"/>
  <c r="A81" i="1346" s="1"/>
  <c r="AF60" i="1346"/>
  <c r="AF59" i="1346"/>
  <c r="AA21" i="1346"/>
  <c r="Z21" i="1346"/>
  <c r="Y21" i="1346"/>
  <c r="X21" i="1346"/>
  <c r="W21" i="1346"/>
  <c r="V21" i="1346"/>
  <c r="U21" i="1346"/>
  <c r="T21" i="1346"/>
  <c r="S21" i="1346"/>
  <c r="R21" i="1346"/>
  <c r="N21" i="1346"/>
  <c r="J21" i="1346"/>
  <c r="I21" i="1346"/>
  <c r="AF20" i="1346"/>
  <c r="AB20" i="1346"/>
  <c r="Q20" i="1346"/>
  <c r="P20" i="1346"/>
  <c r="AC20" i="1346" s="1"/>
  <c r="O20" i="1346"/>
  <c r="M20" i="1346"/>
  <c r="K20" i="1346"/>
  <c r="AF19" i="1346"/>
  <c r="AB19" i="1346"/>
  <c r="Q19" i="1346"/>
  <c r="O19" i="1346"/>
  <c r="M19" i="1346"/>
  <c r="AF18" i="1346"/>
  <c r="AB18" i="1346"/>
  <c r="Q18" i="1346"/>
  <c r="M18" i="1346"/>
  <c r="P18" i="1346"/>
  <c r="AC18" i="1346" s="1"/>
  <c r="AF17" i="1346"/>
  <c r="AB17" i="1346"/>
  <c r="Q17" i="1346"/>
  <c r="P17" i="1346"/>
  <c r="AC17" i="1346" s="1"/>
  <c r="O17" i="1346"/>
  <c r="M17" i="1346"/>
  <c r="K17" i="1346"/>
  <c r="AF16" i="1346"/>
  <c r="AB16" i="1346"/>
  <c r="Q16" i="1346"/>
  <c r="P16" i="1346" s="1"/>
  <c r="AC16" i="1346" s="1"/>
  <c r="O16" i="1346"/>
  <c r="M16" i="1346"/>
  <c r="AF15" i="1346"/>
  <c r="AB15" i="1346"/>
  <c r="Q15" i="1346"/>
  <c r="O15" i="1346"/>
  <c r="M15" i="1346"/>
  <c r="P15" i="1346"/>
  <c r="AC15" i="1346" s="1"/>
  <c r="AF14" i="1346"/>
  <c r="AB14" i="1346"/>
  <c r="Q14" i="1346"/>
  <c r="P14" i="1346"/>
  <c r="AC14" i="1346" s="1"/>
  <c r="O14" i="1346"/>
  <c r="M14" i="1346"/>
  <c r="K14" i="1346"/>
  <c r="AF13" i="1346"/>
  <c r="AB13" i="1346"/>
  <c r="Q13" i="1346"/>
  <c r="O13" i="1346"/>
  <c r="M13" i="1346"/>
  <c r="AF12" i="1346"/>
  <c r="Q12" i="1346"/>
  <c r="P12" i="1346" s="1"/>
  <c r="AC12" i="1346" s="1"/>
  <c r="AB12" i="1346"/>
  <c r="AF11" i="1346"/>
  <c r="Q11" i="1346"/>
  <c r="M11" i="1346"/>
  <c r="AB11" i="1346"/>
  <c r="AF10" i="1346"/>
  <c r="AB10" i="1346"/>
  <c r="Q10" i="1346"/>
  <c r="P10" i="1346"/>
  <c r="AC10" i="1346" s="1"/>
  <c r="AD10" i="1346" s="1"/>
  <c r="O10" i="1346"/>
  <c r="M10" i="1346"/>
  <c r="K10" i="1346"/>
  <c r="AF9" i="1346"/>
  <c r="AB9" i="1346"/>
  <c r="Q9" i="1346"/>
  <c r="P9" i="1346"/>
  <c r="AC9" i="1346" s="1"/>
  <c r="AD9" i="1346" s="1"/>
  <c r="O9" i="1346"/>
  <c r="M9" i="1346"/>
  <c r="K9" i="1346"/>
  <c r="AF8" i="1346"/>
  <c r="AB8" i="1346"/>
  <c r="Q8" i="1346"/>
  <c r="P8" i="1346"/>
  <c r="AC8" i="1346" s="1"/>
  <c r="AD8" i="1346" s="1"/>
  <c r="O8" i="1346"/>
  <c r="M8" i="1346"/>
  <c r="K8" i="1346"/>
  <c r="AF7" i="1346"/>
  <c r="AB7" i="1346"/>
  <c r="Q7" i="1346"/>
  <c r="P7" i="1346"/>
  <c r="O7" i="1346"/>
  <c r="M7" i="1346"/>
  <c r="K7" i="1346"/>
  <c r="AF6" i="1346"/>
  <c r="AB6" i="1346"/>
  <c r="Q6" i="1346"/>
  <c r="P6" i="1346"/>
  <c r="AC6" i="1346" s="1"/>
  <c r="O6" i="1346"/>
  <c r="M6" i="1346"/>
  <c r="K6" i="1346"/>
  <c r="AE14" i="1350" l="1"/>
  <c r="AE10" i="1349"/>
  <c r="AE20" i="1349"/>
  <c r="AE21" i="1349"/>
  <c r="AE16" i="1349"/>
  <c r="AE14" i="1349"/>
  <c r="AE11" i="1349"/>
  <c r="AE15" i="1349"/>
  <c r="AE13" i="1349"/>
  <c r="AE8" i="1349"/>
  <c r="AE17" i="1349"/>
  <c r="AE12" i="1349"/>
  <c r="AE7" i="1349"/>
  <c r="AE22" i="1349"/>
  <c r="AE19" i="1349"/>
  <c r="AE9" i="1349"/>
  <c r="AE6" i="1349"/>
  <c r="AE18" i="1349"/>
  <c r="AE19" i="1348"/>
  <c r="AE15" i="1348"/>
  <c r="AE13" i="1348"/>
  <c r="AE10" i="1348"/>
  <c r="AE7" i="1348"/>
  <c r="AE16" i="1348"/>
  <c r="AE11" i="1348"/>
  <c r="AE8" i="1348"/>
  <c r="AE20" i="1348"/>
  <c r="AE17" i="1348"/>
  <c r="AE14" i="1348"/>
  <c r="AE12" i="1348"/>
  <c r="AE6" i="1348"/>
  <c r="AE18" i="1348"/>
  <c r="AE9" i="1348"/>
  <c r="AB21" i="1347"/>
  <c r="M21" i="1347"/>
  <c r="P21" i="1347"/>
  <c r="AD18" i="1347"/>
  <c r="AD21" i="1347" s="1"/>
  <c r="AC21" i="1347"/>
  <c r="AD16" i="1346"/>
  <c r="AD19" i="1346"/>
  <c r="AF62" i="1346"/>
  <c r="K11" i="1346"/>
  <c r="P11" i="1346"/>
  <c r="AC11" i="1346" s="1"/>
  <c r="AD20" i="1346"/>
  <c r="Q21" i="1346"/>
  <c r="P13" i="1346"/>
  <c r="AC13" i="1346" s="1"/>
  <c r="AD13" i="1346" s="1"/>
  <c r="AD14" i="1346"/>
  <c r="AD18" i="1346"/>
  <c r="AD15" i="1346"/>
  <c r="AD17" i="1346"/>
  <c r="AD11" i="1346"/>
  <c r="AB21" i="1346"/>
  <c r="L21" i="1346"/>
  <c r="O21" i="1346" s="1"/>
  <c r="AC7" i="1346"/>
  <c r="AD7" i="1346" s="1"/>
  <c r="O12" i="1346"/>
  <c r="AD12" i="1346" s="1"/>
  <c r="AD6" i="1346"/>
  <c r="M12" i="1346"/>
  <c r="M21" i="1346" s="1"/>
  <c r="K21" i="134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345"/>
  <c r="AB20" i="1345" s="1"/>
  <c r="K20" i="1345"/>
  <c r="L19" i="1345"/>
  <c r="L17" i="1345"/>
  <c r="L16" i="1345"/>
  <c r="L14" i="1345"/>
  <c r="AB14" i="1345" s="1"/>
  <c r="K14" i="1345"/>
  <c r="AF14" i="1345"/>
  <c r="Q14" i="1345"/>
  <c r="P14" i="1345"/>
  <c r="AC14" i="1345" s="1"/>
  <c r="O14" i="1345"/>
  <c r="L12" i="1345"/>
  <c r="O12" i="1345" s="1"/>
  <c r="L11" i="1345"/>
  <c r="K11" i="1345"/>
  <c r="K19" i="1345"/>
  <c r="K17" i="1345"/>
  <c r="K13" i="1345"/>
  <c r="K12" i="1345"/>
  <c r="K9" i="1345"/>
  <c r="A75" i="1345"/>
  <c r="A76" i="1345" s="1"/>
  <c r="A77" i="1345" s="1"/>
  <c r="A78" i="1345" s="1"/>
  <c r="A79" i="1345" s="1"/>
  <c r="A80" i="1345" s="1"/>
  <c r="A81" i="1345" s="1"/>
  <c r="A82" i="1345" s="1"/>
  <c r="AF61" i="1345"/>
  <c r="AF63" i="1345" s="1"/>
  <c r="AF60" i="1345"/>
  <c r="AA22" i="1345"/>
  <c r="Z22" i="1345"/>
  <c r="Y22" i="1345"/>
  <c r="X22" i="1345"/>
  <c r="W22" i="1345"/>
  <c r="V22" i="1345"/>
  <c r="U22" i="1345"/>
  <c r="T22" i="1345"/>
  <c r="S22" i="1345"/>
  <c r="R22" i="1345"/>
  <c r="N22" i="1345"/>
  <c r="J22" i="1345"/>
  <c r="I22" i="1345"/>
  <c r="AF21" i="1345"/>
  <c r="AB21" i="1345"/>
  <c r="Q21" i="1345"/>
  <c r="P21" i="1345"/>
  <c r="AC21" i="1345" s="1"/>
  <c r="O21" i="1345"/>
  <c r="M21" i="1345"/>
  <c r="K21" i="1345"/>
  <c r="AF20" i="1345"/>
  <c r="Q20" i="1345"/>
  <c r="P20" i="1345" s="1"/>
  <c r="AC20" i="1345" s="1"/>
  <c r="O20" i="1345"/>
  <c r="M20" i="1345"/>
  <c r="AF19" i="1345"/>
  <c r="AB19" i="1345"/>
  <c r="Q19" i="1345"/>
  <c r="P19" i="1345"/>
  <c r="AC19" i="1345" s="1"/>
  <c r="O19" i="1345"/>
  <c r="M19" i="1345"/>
  <c r="AF18" i="1345"/>
  <c r="AB18" i="1345"/>
  <c r="Q18" i="1345"/>
  <c r="P18" i="1345"/>
  <c r="AC18" i="1345" s="1"/>
  <c r="O18" i="1345"/>
  <c r="M18" i="1345"/>
  <c r="K18" i="1345"/>
  <c r="AF17" i="1345"/>
  <c r="AB17" i="1345"/>
  <c r="Q17" i="1345"/>
  <c r="P17" i="1345" s="1"/>
  <c r="AC17" i="1345" s="1"/>
  <c r="M17" i="1345"/>
  <c r="O17" i="1345"/>
  <c r="AF16" i="1345"/>
  <c r="AB16" i="1345"/>
  <c r="Q16" i="1345"/>
  <c r="O16" i="1345"/>
  <c r="M16" i="1345"/>
  <c r="K16" i="1345"/>
  <c r="AF15" i="1345"/>
  <c r="AB15" i="1345"/>
  <c r="Q15" i="1345"/>
  <c r="P15" i="1345"/>
  <c r="AC15" i="1345" s="1"/>
  <c r="O15" i="1345"/>
  <c r="M15" i="1345"/>
  <c r="K15" i="1345"/>
  <c r="AF13" i="1345"/>
  <c r="AB13" i="1345"/>
  <c r="Q13" i="1345"/>
  <c r="P13" i="1345" s="1"/>
  <c r="AC13" i="1345" s="1"/>
  <c r="O13" i="1345"/>
  <c r="M13" i="1345"/>
  <c r="AF12" i="1345"/>
  <c r="AB12" i="1345"/>
  <c r="Q12" i="1345"/>
  <c r="P12" i="1345" s="1"/>
  <c r="AC12" i="1345" s="1"/>
  <c r="M12" i="1345"/>
  <c r="AF11" i="1345"/>
  <c r="AB11" i="1345"/>
  <c r="Q11" i="1345"/>
  <c r="O11" i="1345"/>
  <c r="M11" i="1345"/>
  <c r="AF10" i="1345"/>
  <c r="AB10" i="1345"/>
  <c r="Q10" i="1345"/>
  <c r="P10" i="1345"/>
  <c r="AC10" i="1345" s="1"/>
  <c r="AD10" i="1345" s="1"/>
  <c r="O10" i="1345"/>
  <c r="M10" i="1345"/>
  <c r="K10" i="1345"/>
  <c r="AF9" i="1345"/>
  <c r="AB9" i="1345"/>
  <c r="Q9" i="1345"/>
  <c r="P9" i="1345" s="1"/>
  <c r="AC9" i="1345" s="1"/>
  <c r="O9" i="1345"/>
  <c r="M9" i="1345"/>
  <c r="AF8" i="1345"/>
  <c r="AC8" i="1345"/>
  <c r="AB8" i="1345"/>
  <c r="Q8" i="1345"/>
  <c r="P8" i="1345"/>
  <c r="O8" i="1345"/>
  <c r="M8" i="1345"/>
  <c r="K8" i="1345"/>
  <c r="AF7" i="1345"/>
  <c r="AC7" i="1345"/>
  <c r="AB7" i="1345"/>
  <c r="Q7" i="1345"/>
  <c r="P7" i="1345"/>
  <c r="O7" i="1345"/>
  <c r="M7" i="1345"/>
  <c r="K7" i="1345"/>
  <c r="AF6" i="1345"/>
  <c r="AC6" i="1345"/>
  <c r="AB6" i="1345"/>
  <c r="Q6" i="1345"/>
  <c r="P6" i="1345"/>
  <c r="O6" i="1345"/>
  <c r="M6" i="1345"/>
  <c r="K6" i="1345"/>
  <c r="AE19" i="1347" l="1"/>
  <c r="AE16" i="1347"/>
  <c r="AE14" i="1347"/>
  <c r="AE11" i="1347"/>
  <c r="AE12" i="1347"/>
  <c r="AE6" i="1347"/>
  <c r="AE9" i="1347"/>
  <c r="AE7" i="1347"/>
  <c r="AE8" i="1347"/>
  <c r="AE20" i="1347"/>
  <c r="AE17" i="1347"/>
  <c r="AE15" i="1347"/>
  <c r="AE13" i="1347"/>
  <c r="AE18" i="1347"/>
  <c r="AE10" i="1347"/>
  <c r="P21" i="1346"/>
  <c r="AD21" i="1346"/>
  <c r="AC21" i="1346"/>
  <c r="P16" i="1345"/>
  <c r="AC16" i="1345" s="1"/>
  <c r="AD16" i="1345" s="1"/>
  <c r="AD14" i="1345"/>
  <c r="M14" i="1345"/>
  <c r="M22" i="1345" s="1"/>
  <c r="AD7" i="1345"/>
  <c r="AD9" i="1345"/>
  <c r="AD19" i="1345"/>
  <c r="AD15" i="1345"/>
  <c r="AD21" i="1345"/>
  <c r="AD8" i="1345"/>
  <c r="AD20" i="1345"/>
  <c r="AD13" i="1345"/>
  <c r="Q22" i="1345"/>
  <c r="P11" i="1345"/>
  <c r="AC11" i="1345" s="1"/>
  <c r="AD11" i="1345" s="1"/>
  <c r="AB22" i="1345"/>
  <c r="AD12" i="1345"/>
  <c r="AD18" i="1345"/>
  <c r="K22" i="1345"/>
  <c r="AD17" i="1345"/>
  <c r="L22" i="1345"/>
  <c r="O22" i="1345" s="1"/>
  <c r="AD6" i="1345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16" i="1344"/>
  <c r="L21" i="1344" s="1"/>
  <c r="K13" i="1344"/>
  <c r="K18" i="1344"/>
  <c r="K12" i="1344"/>
  <c r="K9" i="1344"/>
  <c r="A74" i="1344"/>
  <c r="A75" i="1344" s="1"/>
  <c r="A76" i="1344" s="1"/>
  <c r="A77" i="1344" s="1"/>
  <c r="A78" i="1344" s="1"/>
  <c r="A79" i="1344" s="1"/>
  <c r="A80" i="1344" s="1"/>
  <c r="A81" i="1344" s="1"/>
  <c r="AF60" i="1344"/>
  <c r="AF59" i="1344"/>
  <c r="AF62" i="1344" s="1"/>
  <c r="AA21" i="1344"/>
  <c r="Z21" i="1344"/>
  <c r="Y21" i="1344"/>
  <c r="X21" i="1344"/>
  <c r="W21" i="1344"/>
  <c r="V21" i="1344"/>
  <c r="U21" i="1344"/>
  <c r="T21" i="1344"/>
  <c r="S21" i="1344"/>
  <c r="R21" i="1344"/>
  <c r="N21" i="1344"/>
  <c r="J21" i="1344"/>
  <c r="I21" i="1344"/>
  <c r="AF20" i="1344"/>
  <c r="AB20" i="1344"/>
  <c r="Q20" i="1344"/>
  <c r="P20" i="1344"/>
  <c r="AC20" i="1344" s="1"/>
  <c r="AD20" i="1344" s="1"/>
  <c r="O20" i="1344"/>
  <c r="M20" i="1344"/>
  <c r="K20" i="1344"/>
  <c r="AF19" i="1344"/>
  <c r="AB19" i="1344"/>
  <c r="Q19" i="1344"/>
  <c r="P19" i="1344"/>
  <c r="AC19" i="1344" s="1"/>
  <c r="AD19" i="1344" s="1"/>
  <c r="O19" i="1344"/>
  <c r="M19" i="1344"/>
  <c r="K19" i="1344"/>
  <c r="AF18" i="1344"/>
  <c r="AB18" i="1344"/>
  <c r="Q18" i="1344"/>
  <c r="P18" i="1344" s="1"/>
  <c r="AC18" i="1344" s="1"/>
  <c r="O18" i="1344"/>
  <c r="M18" i="1344"/>
  <c r="AF17" i="1344"/>
  <c r="AB17" i="1344"/>
  <c r="Q17" i="1344"/>
  <c r="P17" i="1344"/>
  <c r="AC17" i="1344" s="1"/>
  <c r="O17" i="1344"/>
  <c r="M17" i="1344"/>
  <c r="K17" i="1344"/>
  <c r="AF16" i="1344"/>
  <c r="Q16" i="1344"/>
  <c r="O16" i="1344"/>
  <c r="AF15" i="1344"/>
  <c r="AB15" i="1344"/>
  <c r="Q15" i="1344"/>
  <c r="P15" i="1344"/>
  <c r="AC15" i="1344" s="1"/>
  <c r="O15" i="1344"/>
  <c r="M15" i="1344"/>
  <c r="K15" i="1344"/>
  <c r="AF14" i="1344"/>
  <c r="AB14" i="1344"/>
  <c r="Q14" i="1344"/>
  <c r="P14" i="1344"/>
  <c r="AC14" i="1344" s="1"/>
  <c r="O14" i="1344"/>
  <c r="M14" i="1344"/>
  <c r="K14" i="1344"/>
  <c r="AF13" i="1344"/>
  <c r="AB13" i="1344"/>
  <c r="Q13" i="1344"/>
  <c r="P13" i="1344" s="1"/>
  <c r="AC13" i="1344" s="1"/>
  <c r="O13" i="1344"/>
  <c r="M13" i="1344"/>
  <c r="AF12" i="1344"/>
  <c r="AB12" i="1344"/>
  <c r="Q12" i="1344"/>
  <c r="P12" i="1344" s="1"/>
  <c r="AC12" i="1344" s="1"/>
  <c r="O12" i="1344"/>
  <c r="M12" i="1344"/>
  <c r="AF11" i="1344"/>
  <c r="AB11" i="1344"/>
  <c r="Q11" i="1344"/>
  <c r="P11" i="1344"/>
  <c r="AC11" i="1344" s="1"/>
  <c r="O11" i="1344"/>
  <c r="M11" i="1344"/>
  <c r="K11" i="1344"/>
  <c r="AF10" i="1344"/>
  <c r="AB10" i="1344"/>
  <c r="Q10" i="1344"/>
  <c r="P10" i="1344"/>
  <c r="AC10" i="1344" s="1"/>
  <c r="O10" i="1344"/>
  <c r="M10" i="1344"/>
  <c r="K10" i="1344"/>
  <c r="AF9" i="1344"/>
  <c r="AB9" i="1344"/>
  <c r="Q9" i="1344"/>
  <c r="P9" i="1344" s="1"/>
  <c r="AC9" i="1344" s="1"/>
  <c r="O9" i="1344"/>
  <c r="M9" i="1344"/>
  <c r="AF8" i="1344"/>
  <c r="AB8" i="1344"/>
  <c r="Q8" i="1344"/>
  <c r="P8" i="1344"/>
  <c r="AC8" i="1344" s="1"/>
  <c r="O8" i="1344"/>
  <c r="M8" i="1344"/>
  <c r="K8" i="1344"/>
  <c r="AF7" i="1344"/>
  <c r="AB7" i="1344"/>
  <c r="Q7" i="1344"/>
  <c r="P7" i="1344"/>
  <c r="AC7" i="1344" s="1"/>
  <c r="O7" i="1344"/>
  <c r="M7" i="1344"/>
  <c r="K7" i="1344"/>
  <c r="AF6" i="1344"/>
  <c r="AB6" i="1344"/>
  <c r="Q6" i="1344"/>
  <c r="P6" i="1344"/>
  <c r="O6" i="1344"/>
  <c r="M6" i="1344"/>
  <c r="K6" i="1344"/>
  <c r="AE19" i="1346" l="1"/>
  <c r="AE16" i="1346"/>
  <c r="AE13" i="1346"/>
  <c r="AE11" i="1346"/>
  <c r="AE12" i="1346"/>
  <c r="AE7" i="1346"/>
  <c r="AE20" i="1346"/>
  <c r="AE17" i="1346"/>
  <c r="AE14" i="1346"/>
  <c r="AE18" i="1346"/>
  <c r="AE15" i="1346"/>
  <c r="AE10" i="1346"/>
  <c r="AE8" i="1346"/>
  <c r="AE6" i="1346"/>
  <c r="AE9" i="1346"/>
  <c r="AC22" i="1345"/>
  <c r="P22" i="1345"/>
  <c r="AD22" i="1345"/>
  <c r="AE14" i="1345" s="1"/>
  <c r="AD8" i="1344"/>
  <c r="AD7" i="1344"/>
  <c r="AD10" i="1344"/>
  <c r="AD15" i="1344"/>
  <c r="O21" i="1344"/>
  <c r="P16" i="1344"/>
  <c r="AC16" i="1344" s="1"/>
  <c r="K16" i="1344"/>
  <c r="Q21" i="1344"/>
  <c r="AD11" i="1344"/>
  <c r="P21" i="1344"/>
  <c r="AD9" i="1344"/>
  <c r="AD12" i="1344"/>
  <c r="AD14" i="1344"/>
  <c r="AD13" i="1344"/>
  <c r="AD17" i="1344"/>
  <c r="AD18" i="1344"/>
  <c r="AC6" i="1344"/>
  <c r="M21" i="1344"/>
  <c r="M16" i="1344"/>
  <c r="AB16" i="1344"/>
  <c r="AD16" i="1344" s="1"/>
  <c r="K21" i="1344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1" i="1343"/>
  <c r="K21" i="1343" s="1"/>
  <c r="L19" i="1343"/>
  <c r="L16" i="1343"/>
  <c r="K16" i="1343" s="1"/>
  <c r="K15" i="1343"/>
  <c r="L14" i="1343"/>
  <c r="K14" i="1343" s="1"/>
  <c r="K11" i="1343"/>
  <c r="K10" i="1343"/>
  <c r="AF11" i="1343"/>
  <c r="AB11" i="1343"/>
  <c r="Q11" i="1343"/>
  <c r="P11" i="1343" s="1"/>
  <c r="AC11" i="1343" s="1"/>
  <c r="AD11" i="1343" s="1"/>
  <c r="O11" i="1343"/>
  <c r="M11" i="1343"/>
  <c r="AF10" i="1343"/>
  <c r="AB10" i="1343"/>
  <c r="Q10" i="1343"/>
  <c r="P10" i="1343" s="1"/>
  <c r="AC10" i="1343" s="1"/>
  <c r="O10" i="1343"/>
  <c r="M10" i="1343"/>
  <c r="K22" i="1343"/>
  <c r="K13" i="1343"/>
  <c r="K9" i="1343"/>
  <c r="A77" i="1343"/>
  <c r="A78" i="1343" s="1"/>
  <c r="A79" i="1343" s="1"/>
  <c r="A80" i="1343" s="1"/>
  <c r="A81" i="1343" s="1"/>
  <c r="A82" i="1343" s="1"/>
  <c r="A83" i="1343" s="1"/>
  <c r="A84" i="1343" s="1"/>
  <c r="AF63" i="1343"/>
  <c r="AF62" i="1343"/>
  <c r="AF65" i="1343" s="1"/>
  <c r="AA24" i="1343"/>
  <c r="Z24" i="1343"/>
  <c r="Y24" i="1343"/>
  <c r="X24" i="1343"/>
  <c r="W24" i="1343"/>
  <c r="V24" i="1343"/>
  <c r="U24" i="1343"/>
  <c r="T24" i="1343"/>
  <c r="S24" i="1343"/>
  <c r="R24" i="1343"/>
  <c r="N24" i="1343"/>
  <c r="J24" i="1343"/>
  <c r="I24" i="1343"/>
  <c r="AF23" i="1343"/>
  <c r="AB23" i="1343"/>
  <c r="Q23" i="1343"/>
  <c r="P23" i="1343"/>
  <c r="AC23" i="1343" s="1"/>
  <c r="O23" i="1343"/>
  <c r="M23" i="1343"/>
  <c r="K23" i="1343"/>
  <c r="AF22" i="1343"/>
  <c r="Q22" i="1343"/>
  <c r="P22" i="1343"/>
  <c r="AC22" i="1343" s="1"/>
  <c r="AF21" i="1343"/>
  <c r="AB21" i="1343"/>
  <c r="Q21" i="1343"/>
  <c r="P21" i="1343"/>
  <c r="AC21" i="1343" s="1"/>
  <c r="O21" i="1343"/>
  <c r="AF20" i="1343"/>
  <c r="AB20" i="1343"/>
  <c r="Q20" i="1343"/>
  <c r="P20" i="1343"/>
  <c r="AC20" i="1343" s="1"/>
  <c r="O20" i="1343"/>
  <c r="M20" i="1343"/>
  <c r="K20" i="1343"/>
  <c r="AF19" i="1343"/>
  <c r="Q19" i="1343"/>
  <c r="AF18" i="1343"/>
  <c r="AB18" i="1343"/>
  <c r="Q18" i="1343"/>
  <c r="P18" i="1343"/>
  <c r="AC18" i="1343" s="1"/>
  <c r="O18" i="1343"/>
  <c r="M18" i="1343"/>
  <c r="K18" i="1343"/>
  <c r="AF17" i="1343"/>
  <c r="AB17" i="1343"/>
  <c r="Q17" i="1343"/>
  <c r="P17" i="1343"/>
  <c r="AC17" i="1343" s="1"/>
  <c r="O17" i="1343"/>
  <c r="M17" i="1343"/>
  <c r="K17" i="1343"/>
  <c r="AF16" i="1343"/>
  <c r="AB16" i="1343"/>
  <c r="Q16" i="1343"/>
  <c r="AF15" i="1343"/>
  <c r="AB15" i="1343"/>
  <c r="Q15" i="1343"/>
  <c r="P15" i="1343"/>
  <c r="AC15" i="1343" s="1"/>
  <c r="O15" i="1343"/>
  <c r="M15" i="1343"/>
  <c r="AF14" i="1343"/>
  <c r="Q14" i="1343"/>
  <c r="O14" i="1343"/>
  <c r="AF13" i="1343"/>
  <c r="AB13" i="1343"/>
  <c r="Q13" i="1343"/>
  <c r="P13" i="1343"/>
  <c r="AC13" i="1343" s="1"/>
  <c r="AD13" i="1343" s="1"/>
  <c r="M13" i="1343"/>
  <c r="O13" i="1343"/>
  <c r="AF12" i="1343"/>
  <c r="AB12" i="1343"/>
  <c r="Q12" i="1343"/>
  <c r="P12" i="1343"/>
  <c r="AC12" i="1343" s="1"/>
  <c r="O12" i="1343"/>
  <c r="M12" i="1343"/>
  <c r="K12" i="1343"/>
  <c r="AF9" i="1343"/>
  <c r="Q9" i="1343"/>
  <c r="AF8" i="1343"/>
  <c r="AB8" i="1343"/>
  <c r="Q8" i="1343"/>
  <c r="P8" i="1343"/>
  <c r="AC8" i="1343" s="1"/>
  <c r="O8" i="1343"/>
  <c r="M8" i="1343"/>
  <c r="K8" i="1343"/>
  <c r="AF7" i="1343"/>
  <c r="AB7" i="1343"/>
  <c r="Q7" i="1343"/>
  <c r="P7" i="1343"/>
  <c r="AC7" i="1343" s="1"/>
  <c r="O7" i="1343"/>
  <c r="M7" i="1343"/>
  <c r="K7" i="1343"/>
  <c r="AF6" i="1343"/>
  <c r="AB6" i="1343"/>
  <c r="Q6" i="1343"/>
  <c r="P6" i="1343"/>
  <c r="O6" i="1343"/>
  <c r="M6" i="1343"/>
  <c r="K6" i="1343"/>
  <c r="AE20" i="1345" l="1"/>
  <c r="AE18" i="1345"/>
  <c r="AE6" i="1345"/>
  <c r="AE16" i="1345"/>
  <c r="AE13" i="1345"/>
  <c r="AE11" i="1345"/>
  <c r="AE9" i="1345"/>
  <c r="AE7" i="1345"/>
  <c r="AE15" i="1345"/>
  <c r="AE12" i="1345"/>
  <c r="AE10" i="1345"/>
  <c r="AE21" i="1345"/>
  <c r="AE19" i="1345"/>
  <c r="AE17" i="1345"/>
  <c r="AE8" i="1345"/>
  <c r="AB21" i="1344"/>
  <c r="AC21" i="1344"/>
  <c r="AD6" i="1344"/>
  <c r="M16" i="1343"/>
  <c r="O16" i="1343"/>
  <c r="P16" i="1343"/>
  <c r="AC16" i="1343" s="1"/>
  <c r="AD16" i="1343" s="1"/>
  <c r="AD21" i="1343"/>
  <c r="L24" i="1343"/>
  <c r="O24" i="1343" s="1"/>
  <c r="M21" i="1343"/>
  <c r="P19" i="1343"/>
  <c r="AC19" i="1343" s="1"/>
  <c r="K19" i="1343"/>
  <c r="K24" i="1343" s="1"/>
  <c r="M14" i="1343"/>
  <c r="AB14" i="1343"/>
  <c r="P14" i="1343"/>
  <c r="AC14" i="1343" s="1"/>
  <c r="AD14" i="1343" s="1"/>
  <c r="AD10" i="1343"/>
  <c r="AD8" i="1343"/>
  <c r="AD17" i="1343"/>
  <c r="AD23" i="1343"/>
  <c r="AD7" i="1343"/>
  <c r="AD20" i="1343"/>
  <c r="AD15" i="1343"/>
  <c r="AD12" i="1343"/>
  <c r="Q24" i="1343"/>
  <c r="AD18" i="1343"/>
  <c r="M9" i="1343"/>
  <c r="AB9" i="1343"/>
  <c r="M19" i="1343"/>
  <c r="AB19" i="1343"/>
  <c r="M22" i="1343"/>
  <c r="AB22" i="1343"/>
  <c r="O9" i="1343"/>
  <c r="O19" i="1343"/>
  <c r="O22" i="1343"/>
  <c r="AC6" i="1343"/>
  <c r="P9" i="1343"/>
  <c r="AC9" i="1343" s="1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1" i="1342"/>
  <c r="L20" i="1342"/>
  <c r="L18" i="1342"/>
  <c r="AF14" i="1342"/>
  <c r="AB14" i="1342"/>
  <c r="Q14" i="1342"/>
  <c r="P14" i="1342" s="1"/>
  <c r="AC14" i="1342" s="1"/>
  <c r="O14" i="1342"/>
  <c r="M14" i="1342"/>
  <c r="K14" i="1342"/>
  <c r="AF13" i="1342"/>
  <c r="AB13" i="1342"/>
  <c r="Q13" i="1342"/>
  <c r="P13" i="1342"/>
  <c r="AC13" i="1342" s="1"/>
  <c r="O13" i="1342"/>
  <c r="M13" i="1342"/>
  <c r="K13" i="1342"/>
  <c r="K12" i="1342"/>
  <c r="L11" i="1342"/>
  <c r="K11" i="1342"/>
  <c r="L9" i="1342"/>
  <c r="AD21" i="1344" l="1"/>
  <c r="AE19" i="1344" s="1"/>
  <c r="AD9" i="1343"/>
  <c r="AB24" i="1343"/>
  <c r="AD19" i="1343"/>
  <c r="AD22" i="1343"/>
  <c r="M24" i="1343"/>
  <c r="AC24" i="1343"/>
  <c r="AD6" i="1343"/>
  <c r="P24" i="1343"/>
  <c r="AD14" i="1342"/>
  <c r="AD13" i="1342"/>
  <c r="K21" i="1342"/>
  <c r="K20" i="1342"/>
  <c r="K18" i="1342"/>
  <c r="K9" i="1342"/>
  <c r="A77" i="1342"/>
  <c r="A78" i="1342" s="1"/>
  <c r="A79" i="1342" s="1"/>
  <c r="A80" i="1342" s="1"/>
  <c r="A81" i="1342" s="1"/>
  <c r="A82" i="1342" s="1"/>
  <c r="A83" i="1342" s="1"/>
  <c r="A76" i="1342"/>
  <c r="AF62" i="1342"/>
  <c r="AF61" i="1342"/>
  <c r="AF64" i="1342" s="1"/>
  <c r="AA23" i="1342"/>
  <c r="Z23" i="1342"/>
  <c r="Y23" i="1342"/>
  <c r="X23" i="1342"/>
  <c r="W23" i="1342"/>
  <c r="V23" i="1342"/>
  <c r="U23" i="1342"/>
  <c r="T23" i="1342"/>
  <c r="S23" i="1342"/>
  <c r="R23" i="1342"/>
  <c r="N23" i="1342"/>
  <c r="J23" i="1342"/>
  <c r="I23" i="1342"/>
  <c r="AF22" i="1342"/>
  <c r="AB22" i="1342"/>
  <c r="Q22" i="1342"/>
  <c r="P22" i="1342"/>
  <c r="AC22" i="1342" s="1"/>
  <c r="O22" i="1342"/>
  <c r="M22" i="1342"/>
  <c r="K22" i="1342"/>
  <c r="AF21" i="1342"/>
  <c r="Q21" i="1342"/>
  <c r="O21" i="1342"/>
  <c r="P21" i="1342"/>
  <c r="AC21" i="1342" s="1"/>
  <c r="AF20" i="1342"/>
  <c r="AB20" i="1342"/>
  <c r="Q20" i="1342"/>
  <c r="P20" i="1342"/>
  <c r="AC20" i="1342" s="1"/>
  <c r="M20" i="1342"/>
  <c r="O20" i="1342"/>
  <c r="AF19" i="1342"/>
  <c r="AB19" i="1342"/>
  <c r="Q19" i="1342"/>
  <c r="P19" i="1342"/>
  <c r="AC19" i="1342" s="1"/>
  <c r="O19" i="1342"/>
  <c r="M19" i="1342"/>
  <c r="K19" i="1342"/>
  <c r="AF18" i="1342"/>
  <c r="Q18" i="1342"/>
  <c r="O18" i="1342"/>
  <c r="P18" i="1342"/>
  <c r="AC18" i="1342" s="1"/>
  <c r="AF17" i="1342"/>
  <c r="AB17" i="1342"/>
  <c r="Q17" i="1342"/>
  <c r="P17" i="1342"/>
  <c r="AC17" i="1342" s="1"/>
  <c r="O17" i="1342"/>
  <c r="M17" i="1342"/>
  <c r="K17" i="1342"/>
  <c r="AF16" i="1342"/>
  <c r="AB16" i="1342"/>
  <c r="Q16" i="1342"/>
  <c r="P16" i="1342"/>
  <c r="AC16" i="1342" s="1"/>
  <c r="O16" i="1342"/>
  <c r="M16" i="1342"/>
  <c r="K16" i="1342"/>
  <c r="AF15" i="1342"/>
  <c r="AB15" i="1342"/>
  <c r="Q15" i="1342"/>
  <c r="P15" i="1342"/>
  <c r="AC15" i="1342" s="1"/>
  <c r="O15" i="1342"/>
  <c r="M15" i="1342"/>
  <c r="K15" i="1342"/>
  <c r="AF12" i="1342"/>
  <c r="AB12" i="1342"/>
  <c r="Q12" i="1342"/>
  <c r="P12" i="1342" s="1"/>
  <c r="AC12" i="1342" s="1"/>
  <c r="O12" i="1342"/>
  <c r="M12" i="1342"/>
  <c r="AF11" i="1342"/>
  <c r="AB11" i="1342"/>
  <c r="Q11" i="1342"/>
  <c r="P11" i="1342" s="1"/>
  <c r="AC11" i="1342" s="1"/>
  <c r="M11" i="1342"/>
  <c r="O11" i="1342"/>
  <c r="AF10" i="1342"/>
  <c r="AB10" i="1342"/>
  <c r="Q10" i="1342"/>
  <c r="P10" i="1342"/>
  <c r="AC10" i="1342" s="1"/>
  <c r="O10" i="1342"/>
  <c r="M10" i="1342"/>
  <c r="K10" i="1342"/>
  <c r="AF9" i="1342"/>
  <c r="Q9" i="1342"/>
  <c r="O9" i="1342"/>
  <c r="L23" i="1342"/>
  <c r="AF8" i="1342"/>
  <c r="AB8" i="1342"/>
  <c r="Q8" i="1342"/>
  <c r="P8" i="1342"/>
  <c r="AC8" i="1342" s="1"/>
  <c r="O8" i="1342"/>
  <c r="M8" i="1342"/>
  <c r="K8" i="1342"/>
  <c r="AF7" i="1342"/>
  <c r="AB7" i="1342"/>
  <c r="Q7" i="1342"/>
  <c r="P7" i="1342"/>
  <c r="AC7" i="1342" s="1"/>
  <c r="O7" i="1342"/>
  <c r="M7" i="1342"/>
  <c r="K7" i="1342"/>
  <c r="AF6" i="1342"/>
  <c r="AB6" i="1342"/>
  <c r="Q6" i="1342"/>
  <c r="P6" i="1342"/>
  <c r="O6" i="1342"/>
  <c r="M6" i="1342"/>
  <c r="K6" i="1342"/>
  <c r="AE7" i="1344" l="1"/>
  <c r="AE10" i="1344"/>
  <c r="AE9" i="1344"/>
  <c r="AE15" i="1344"/>
  <c r="AE6" i="1344"/>
  <c r="AE14" i="1344"/>
  <c r="AE12" i="1344"/>
  <c r="AE11" i="1344"/>
  <c r="AE20" i="1344"/>
  <c r="AE13" i="1344"/>
  <c r="AE17" i="1344"/>
  <c r="AE16" i="1344"/>
  <c r="AE18" i="1344"/>
  <c r="AE8" i="1344"/>
  <c r="AD24" i="1343"/>
  <c r="AE7" i="1343" s="1"/>
  <c r="AD8" i="1342"/>
  <c r="AD11" i="1342"/>
  <c r="AD20" i="1342"/>
  <c r="O23" i="1342"/>
  <c r="AD7" i="1342"/>
  <c r="AD16" i="1342"/>
  <c r="AD22" i="1342"/>
  <c r="Q23" i="1342"/>
  <c r="AD17" i="1342"/>
  <c r="AD10" i="1342"/>
  <c r="AD15" i="1342"/>
  <c r="AD19" i="1342"/>
  <c r="AD12" i="1342"/>
  <c r="M9" i="1342"/>
  <c r="AB9" i="1342"/>
  <c r="M18" i="1342"/>
  <c r="AB18" i="1342"/>
  <c r="AD18" i="1342" s="1"/>
  <c r="M21" i="1342"/>
  <c r="AB21" i="1342"/>
  <c r="AD21" i="1342" s="1"/>
  <c r="AC6" i="1342"/>
  <c r="K23" i="1342"/>
  <c r="P9" i="1342"/>
  <c r="AC9" i="1342" s="1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19" i="1341"/>
  <c r="L18" i="1341"/>
  <c r="L16" i="1341"/>
  <c r="L11" i="1341"/>
  <c r="AB11" i="1341" s="1"/>
  <c r="L9" i="1341"/>
  <c r="K9" i="1341"/>
  <c r="AF9" i="1341"/>
  <c r="AB9" i="1341"/>
  <c r="Q9" i="1341"/>
  <c r="P9" i="1341" s="1"/>
  <c r="AC9" i="1341" s="1"/>
  <c r="O9" i="1341"/>
  <c r="M9" i="1341"/>
  <c r="K19" i="1341"/>
  <c r="K18" i="1341"/>
  <c r="K17" i="1341"/>
  <c r="K16" i="1341"/>
  <c r="K14" i="1341"/>
  <c r="K12" i="1341"/>
  <c r="K10" i="1341"/>
  <c r="A74" i="1341"/>
  <c r="A75" i="1341" s="1"/>
  <c r="A76" i="1341" s="1"/>
  <c r="A77" i="1341" s="1"/>
  <c r="A78" i="1341" s="1"/>
  <c r="A79" i="1341" s="1"/>
  <c r="A80" i="1341" s="1"/>
  <c r="A81" i="1341" s="1"/>
  <c r="AF60" i="1341"/>
  <c r="AF62" i="1341" s="1"/>
  <c r="AF59" i="1341"/>
  <c r="AA21" i="1341"/>
  <c r="Z21" i="1341"/>
  <c r="Y21" i="1341"/>
  <c r="X21" i="1341"/>
  <c r="W21" i="1341"/>
  <c r="V21" i="1341"/>
  <c r="U21" i="1341"/>
  <c r="T21" i="1341"/>
  <c r="S21" i="1341"/>
  <c r="R21" i="1341"/>
  <c r="N21" i="1341"/>
  <c r="J21" i="1341"/>
  <c r="I21" i="1341"/>
  <c r="AF20" i="1341"/>
  <c r="AB20" i="1341"/>
  <c r="Q20" i="1341"/>
  <c r="P20" i="1341"/>
  <c r="AC20" i="1341" s="1"/>
  <c r="AD20" i="1341" s="1"/>
  <c r="O20" i="1341"/>
  <c r="M20" i="1341"/>
  <c r="K20" i="1341"/>
  <c r="AF19" i="1341"/>
  <c r="AB19" i="1341"/>
  <c r="Q19" i="1341"/>
  <c r="P19" i="1341" s="1"/>
  <c r="AC19" i="1341" s="1"/>
  <c r="AD19" i="1341" s="1"/>
  <c r="M19" i="1341"/>
  <c r="O19" i="1341"/>
  <c r="AF18" i="1341"/>
  <c r="Q18" i="1341"/>
  <c r="P18" i="1341" s="1"/>
  <c r="AC18" i="1341" s="1"/>
  <c r="O18" i="1341"/>
  <c r="AF17" i="1341"/>
  <c r="AB17" i="1341"/>
  <c r="Q17" i="1341"/>
  <c r="P17" i="1341"/>
  <c r="AC17" i="1341" s="1"/>
  <c r="O17" i="1341"/>
  <c r="M17" i="1341"/>
  <c r="AF16" i="1341"/>
  <c r="Q16" i="1341"/>
  <c r="AB16" i="1341"/>
  <c r="AF15" i="1341"/>
  <c r="AB15" i="1341"/>
  <c r="Q15" i="1341"/>
  <c r="P15" i="1341"/>
  <c r="AC15" i="1341" s="1"/>
  <c r="O15" i="1341"/>
  <c r="M15" i="1341"/>
  <c r="K15" i="1341"/>
  <c r="AF14" i="1341"/>
  <c r="AB14" i="1341"/>
  <c r="Q14" i="1341"/>
  <c r="P14" i="1341"/>
  <c r="AC14" i="1341" s="1"/>
  <c r="O14" i="1341"/>
  <c r="M14" i="1341"/>
  <c r="AF13" i="1341"/>
  <c r="AB13" i="1341"/>
  <c r="Q13" i="1341"/>
  <c r="P13" i="1341"/>
  <c r="AC13" i="1341" s="1"/>
  <c r="O13" i="1341"/>
  <c r="M13" i="1341"/>
  <c r="K13" i="1341"/>
  <c r="AF12" i="1341"/>
  <c r="AB12" i="1341"/>
  <c r="Q12" i="1341"/>
  <c r="P12" i="1341" s="1"/>
  <c r="AC12" i="1341" s="1"/>
  <c r="O12" i="1341"/>
  <c r="M12" i="1341"/>
  <c r="AF11" i="1341"/>
  <c r="Q11" i="1341"/>
  <c r="P11" i="1341" s="1"/>
  <c r="AC11" i="1341" s="1"/>
  <c r="O11" i="1341"/>
  <c r="AF10" i="1341"/>
  <c r="Q10" i="1341"/>
  <c r="P10" i="1341"/>
  <c r="AC10" i="1341" s="1"/>
  <c r="AF8" i="1341"/>
  <c r="AC8" i="1341"/>
  <c r="AD8" i="1341" s="1"/>
  <c r="AB8" i="1341"/>
  <c r="Q8" i="1341"/>
  <c r="P8" i="1341"/>
  <c r="O8" i="1341"/>
  <c r="M8" i="1341"/>
  <c r="K8" i="1341"/>
  <c r="AF7" i="1341"/>
  <c r="AC7" i="1341"/>
  <c r="AD7" i="1341" s="1"/>
  <c r="AB7" i="1341"/>
  <c r="Q7" i="1341"/>
  <c r="P7" i="1341"/>
  <c r="O7" i="1341"/>
  <c r="M7" i="1341"/>
  <c r="K7" i="1341"/>
  <c r="AF6" i="1341"/>
  <c r="AC6" i="1341"/>
  <c r="AB6" i="1341"/>
  <c r="Q6" i="1341"/>
  <c r="P6" i="1341"/>
  <c r="O6" i="1341"/>
  <c r="M6" i="1341"/>
  <c r="K6" i="1341"/>
  <c r="AE19" i="1343" l="1"/>
  <c r="AE18" i="1343"/>
  <c r="AE6" i="1343"/>
  <c r="AE21" i="1343"/>
  <c r="AE16" i="1343"/>
  <c r="AE14" i="1343"/>
  <c r="AE10" i="1343"/>
  <c r="AE11" i="1343"/>
  <c r="AE8" i="1343"/>
  <c r="AE23" i="1343"/>
  <c r="AE9" i="1343"/>
  <c r="AE13" i="1343"/>
  <c r="AE20" i="1343"/>
  <c r="AE17" i="1343"/>
  <c r="AE22" i="1343"/>
  <c r="AE15" i="1343"/>
  <c r="AE12" i="1343"/>
  <c r="M23" i="1342"/>
  <c r="P23" i="1342"/>
  <c r="AB23" i="1342"/>
  <c r="AD9" i="1342"/>
  <c r="AC23" i="1342"/>
  <c r="AD6" i="1342"/>
  <c r="K11" i="1341"/>
  <c r="M11" i="1341"/>
  <c r="AD9" i="1341"/>
  <c r="Q21" i="1341"/>
  <c r="AD13" i="1341"/>
  <c r="AD11" i="1341"/>
  <c r="AD12" i="1341"/>
  <c r="AD15" i="1341"/>
  <c r="AD14" i="1341"/>
  <c r="AD17" i="1341"/>
  <c r="O16" i="1341"/>
  <c r="AD6" i="1341"/>
  <c r="M10" i="1341"/>
  <c r="AB10" i="1341"/>
  <c r="AD10" i="1341" s="1"/>
  <c r="P16" i="1341"/>
  <c r="AC16" i="1341" s="1"/>
  <c r="AC21" i="1341" s="1"/>
  <c r="M18" i="1341"/>
  <c r="AB18" i="1341"/>
  <c r="AD18" i="1341" s="1"/>
  <c r="L21" i="1341"/>
  <c r="O21" i="1341" s="1"/>
  <c r="O10" i="1341"/>
  <c r="K21" i="1341"/>
  <c r="M16" i="1341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9" i="1340"/>
  <c r="L18" i="1340"/>
  <c r="L17" i="1340"/>
  <c r="AB17" i="1340" s="1"/>
  <c r="L16" i="1340"/>
  <c r="K16" i="1340"/>
  <c r="L12" i="1340"/>
  <c r="K12" i="1340" s="1"/>
  <c r="L10" i="1340"/>
  <c r="O10" i="1340" s="1"/>
  <c r="L9" i="1340"/>
  <c r="K9" i="1340" s="1"/>
  <c r="K19" i="1340"/>
  <c r="K18" i="1340"/>
  <c r="K17" i="1340"/>
  <c r="K14" i="1340"/>
  <c r="K13" i="1340"/>
  <c r="K10" i="1340"/>
  <c r="K8" i="1340"/>
  <c r="A75" i="1340"/>
  <c r="A76" i="1340" s="1"/>
  <c r="A77" i="1340" s="1"/>
  <c r="A78" i="1340" s="1"/>
  <c r="A79" i="1340" s="1"/>
  <c r="A80" i="1340" s="1"/>
  <c r="A81" i="1340" s="1"/>
  <c r="A74" i="1340"/>
  <c r="AF60" i="1340"/>
  <c r="AF59" i="1340"/>
  <c r="AF62" i="1340" s="1"/>
  <c r="AA21" i="1340"/>
  <c r="Z21" i="1340"/>
  <c r="Y21" i="1340"/>
  <c r="X21" i="1340"/>
  <c r="W21" i="1340"/>
  <c r="V21" i="1340"/>
  <c r="U21" i="1340"/>
  <c r="T21" i="1340"/>
  <c r="S21" i="1340"/>
  <c r="R21" i="1340"/>
  <c r="N21" i="1340"/>
  <c r="J21" i="1340"/>
  <c r="I21" i="1340"/>
  <c r="AF20" i="1340"/>
  <c r="AB20" i="1340"/>
  <c r="Q20" i="1340"/>
  <c r="P20" i="1340"/>
  <c r="AC20" i="1340" s="1"/>
  <c r="AD20" i="1340" s="1"/>
  <c r="O20" i="1340"/>
  <c r="M20" i="1340"/>
  <c r="K20" i="1340"/>
  <c r="AF19" i="1340"/>
  <c r="Q19" i="1340"/>
  <c r="AB19" i="1340"/>
  <c r="AF18" i="1340"/>
  <c r="AB18" i="1340"/>
  <c r="Q18" i="1340"/>
  <c r="O18" i="1340"/>
  <c r="M18" i="1340"/>
  <c r="AF17" i="1340"/>
  <c r="Q17" i="1340"/>
  <c r="P17" i="1340" s="1"/>
  <c r="AC17" i="1340" s="1"/>
  <c r="O17" i="1340"/>
  <c r="AF16" i="1340"/>
  <c r="AB16" i="1340"/>
  <c r="Q16" i="1340"/>
  <c r="P16" i="1340" s="1"/>
  <c r="AC16" i="1340" s="1"/>
  <c r="O16" i="1340"/>
  <c r="M16" i="1340"/>
  <c r="AF15" i="1340"/>
  <c r="AB15" i="1340"/>
  <c r="Q15" i="1340"/>
  <c r="P15" i="1340"/>
  <c r="AC15" i="1340" s="1"/>
  <c r="O15" i="1340"/>
  <c r="M15" i="1340"/>
  <c r="K15" i="1340"/>
  <c r="AF14" i="1340"/>
  <c r="AB14" i="1340"/>
  <c r="Q14" i="1340"/>
  <c r="P14" i="1340" s="1"/>
  <c r="AC14" i="1340" s="1"/>
  <c r="O14" i="1340"/>
  <c r="M14" i="1340"/>
  <c r="AF13" i="1340"/>
  <c r="AB13" i="1340"/>
  <c r="Q13" i="1340"/>
  <c r="P13" i="1340"/>
  <c r="AC13" i="1340" s="1"/>
  <c r="O13" i="1340"/>
  <c r="M13" i="1340"/>
  <c r="AF12" i="1340"/>
  <c r="Q12" i="1340"/>
  <c r="AF11" i="1340"/>
  <c r="AC11" i="1340"/>
  <c r="AB11" i="1340"/>
  <c r="Q11" i="1340"/>
  <c r="P11" i="1340"/>
  <c r="O11" i="1340"/>
  <c r="M11" i="1340"/>
  <c r="K11" i="1340"/>
  <c r="AF10" i="1340"/>
  <c r="Q10" i="1340"/>
  <c r="P10" i="1340"/>
  <c r="AC10" i="1340" s="1"/>
  <c r="AB10" i="1340"/>
  <c r="AF9" i="1340"/>
  <c r="AB9" i="1340"/>
  <c r="Q9" i="1340"/>
  <c r="P9" i="1340" s="1"/>
  <c r="AC9" i="1340" s="1"/>
  <c r="O9" i="1340"/>
  <c r="M9" i="1340"/>
  <c r="AF8" i="1340"/>
  <c r="AB8" i="1340"/>
  <c r="Q8" i="1340"/>
  <c r="P8" i="1340"/>
  <c r="AC8" i="1340" s="1"/>
  <c r="AD8" i="1340" s="1"/>
  <c r="O8" i="1340"/>
  <c r="M8" i="1340"/>
  <c r="AF7" i="1340"/>
  <c r="AC7" i="1340"/>
  <c r="AD7" i="1340" s="1"/>
  <c r="AB7" i="1340"/>
  <c r="Q7" i="1340"/>
  <c r="P7" i="1340"/>
  <c r="O7" i="1340"/>
  <c r="M7" i="1340"/>
  <c r="K7" i="1340"/>
  <c r="AF6" i="1340"/>
  <c r="AB6" i="1340"/>
  <c r="Q6" i="1340"/>
  <c r="P6" i="1340"/>
  <c r="AC6" i="1340" s="1"/>
  <c r="O6" i="1340"/>
  <c r="M6" i="1340"/>
  <c r="K6" i="1340"/>
  <c r="AD23" i="1342" l="1"/>
  <c r="AE14" i="1342" s="1"/>
  <c r="P21" i="1341"/>
  <c r="M21" i="1341"/>
  <c r="AB21" i="1341"/>
  <c r="AD16" i="1341"/>
  <c r="AD21" i="1341" s="1"/>
  <c r="AE9" i="1341" s="1"/>
  <c r="P19" i="1340"/>
  <c r="AC19" i="1340" s="1"/>
  <c r="AD19" i="1340" s="1"/>
  <c r="O19" i="1340"/>
  <c r="P18" i="1340"/>
  <c r="AC18" i="1340" s="1"/>
  <c r="AD18" i="1340"/>
  <c r="M17" i="1340"/>
  <c r="M12" i="1340"/>
  <c r="AB12" i="1340"/>
  <c r="AB21" i="1340" s="1"/>
  <c r="L21" i="1340"/>
  <c r="O21" i="1340" s="1"/>
  <c r="O12" i="1340"/>
  <c r="P12" i="1340"/>
  <c r="AC12" i="1340" s="1"/>
  <c r="Q21" i="1340"/>
  <c r="AD14" i="1340"/>
  <c r="AD9" i="1340"/>
  <c r="AD16" i="1340"/>
  <c r="AD17" i="1340"/>
  <c r="AD11" i="1340"/>
  <c r="AD15" i="1340"/>
  <c r="AD13" i="1340"/>
  <c r="K21" i="1340"/>
  <c r="AD6" i="1340"/>
  <c r="AD10" i="1340"/>
  <c r="M10" i="1340"/>
  <c r="M21" i="1340" s="1"/>
  <c r="M19" i="1340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19" i="1339"/>
  <c r="K19" i="1339" s="1"/>
  <c r="AB16" i="1339"/>
  <c r="K16" i="1339"/>
  <c r="K14" i="1339"/>
  <c r="L12" i="1339"/>
  <c r="K12" i="1339" s="1"/>
  <c r="L10" i="1339"/>
  <c r="K9" i="1339"/>
  <c r="K18" i="1339"/>
  <c r="K17" i="1339"/>
  <c r="K13" i="1339"/>
  <c r="K10" i="1339"/>
  <c r="K8" i="1339"/>
  <c r="A74" i="1339"/>
  <c r="A75" i="1339" s="1"/>
  <c r="A76" i="1339" s="1"/>
  <c r="A77" i="1339" s="1"/>
  <c r="A78" i="1339" s="1"/>
  <c r="A79" i="1339" s="1"/>
  <c r="A80" i="1339" s="1"/>
  <c r="A81" i="1339" s="1"/>
  <c r="AF60" i="1339"/>
  <c r="AF59" i="1339"/>
  <c r="AF62" i="1339" s="1"/>
  <c r="AA21" i="1339"/>
  <c r="Z21" i="1339"/>
  <c r="Y21" i="1339"/>
  <c r="X21" i="1339"/>
  <c r="W21" i="1339"/>
  <c r="V21" i="1339"/>
  <c r="U21" i="1339"/>
  <c r="T21" i="1339"/>
  <c r="S21" i="1339"/>
  <c r="R21" i="1339"/>
  <c r="N21" i="1339"/>
  <c r="J21" i="1339"/>
  <c r="I21" i="1339"/>
  <c r="AF20" i="1339"/>
  <c r="AB20" i="1339"/>
  <c r="Q20" i="1339"/>
  <c r="P20" i="1339"/>
  <c r="AC20" i="1339" s="1"/>
  <c r="O20" i="1339"/>
  <c r="M20" i="1339"/>
  <c r="K20" i="1339"/>
  <c r="AF19" i="1339"/>
  <c r="AB19" i="1339"/>
  <c r="Q19" i="1339"/>
  <c r="P19" i="1339" s="1"/>
  <c r="AC19" i="1339" s="1"/>
  <c r="M19" i="1339"/>
  <c r="AF18" i="1339"/>
  <c r="Q18" i="1339"/>
  <c r="P18" i="1339" s="1"/>
  <c r="AC18" i="1339" s="1"/>
  <c r="AF17" i="1339"/>
  <c r="Q17" i="1339"/>
  <c r="P17" i="1339"/>
  <c r="AC17" i="1339" s="1"/>
  <c r="O17" i="1339"/>
  <c r="M17" i="1339"/>
  <c r="AB17" i="1339"/>
  <c r="AF16" i="1339"/>
  <c r="Q16" i="1339"/>
  <c r="P16" i="1339"/>
  <c r="AC16" i="1339" s="1"/>
  <c r="O16" i="1339"/>
  <c r="M16" i="1339"/>
  <c r="AF15" i="1339"/>
  <c r="AB15" i="1339"/>
  <c r="Q15" i="1339"/>
  <c r="P15" i="1339"/>
  <c r="AC15" i="1339" s="1"/>
  <c r="O15" i="1339"/>
  <c r="M15" i="1339"/>
  <c r="K15" i="1339"/>
  <c r="AF14" i="1339"/>
  <c r="AB14" i="1339"/>
  <c r="Q14" i="1339"/>
  <c r="P14" i="1339" s="1"/>
  <c r="AC14" i="1339" s="1"/>
  <c r="O14" i="1339"/>
  <c r="M14" i="1339"/>
  <c r="AF13" i="1339"/>
  <c r="Q13" i="1339"/>
  <c r="P13" i="1339" s="1"/>
  <c r="AC13" i="1339" s="1"/>
  <c r="AF12" i="1339"/>
  <c r="Q12" i="1339"/>
  <c r="P12" i="1339"/>
  <c r="AC12" i="1339" s="1"/>
  <c r="AB12" i="1339"/>
  <c r="AF11" i="1339"/>
  <c r="AB11" i="1339"/>
  <c r="Q11" i="1339"/>
  <c r="P11" i="1339"/>
  <c r="AC11" i="1339" s="1"/>
  <c r="O11" i="1339"/>
  <c r="M11" i="1339"/>
  <c r="K11" i="1339"/>
  <c r="AF10" i="1339"/>
  <c r="Q10" i="1339"/>
  <c r="AF9" i="1339"/>
  <c r="AB9" i="1339"/>
  <c r="Q9" i="1339"/>
  <c r="P9" i="1339" s="1"/>
  <c r="AC9" i="1339" s="1"/>
  <c r="O9" i="1339"/>
  <c r="M9" i="1339"/>
  <c r="AF8" i="1339"/>
  <c r="Q8" i="1339"/>
  <c r="P8" i="1339" s="1"/>
  <c r="AC8" i="1339" s="1"/>
  <c r="O8" i="1339"/>
  <c r="L21" i="1339"/>
  <c r="O21" i="1339" s="1"/>
  <c r="AF7" i="1339"/>
  <c r="AB7" i="1339"/>
  <c r="Q7" i="1339"/>
  <c r="P7" i="1339"/>
  <c r="AC7" i="1339" s="1"/>
  <c r="AD7" i="1339" s="1"/>
  <c r="O7" i="1339"/>
  <c r="M7" i="1339"/>
  <c r="K7" i="1339"/>
  <c r="AF6" i="1339"/>
  <c r="AB6" i="1339"/>
  <c r="Q6" i="1339"/>
  <c r="P6" i="1339"/>
  <c r="O6" i="1339"/>
  <c r="M6" i="1339"/>
  <c r="K6" i="1339"/>
  <c r="K12" i="1338"/>
  <c r="O17" i="16"/>
  <c r="O16" i="16"/>
  <c r="O15" i="16"/>
  <c r="O14" i="16"/>
  <c r="O13" i="16"/>
  <c r="O12" i="16"/>
  <c r="O11" i="16"/>
  <c r="O10" i="16"/>
  <c r="O9" i="16"/>
  <c r="O7" i="16"/>
  <c r="O6" i="16"/>
  <c r="O5" i="16"/>
  <c r="O4" i="16"/>
  <c r="O3" i="16"/>
  <c r="L20" i="1338"/>
  <c r="L19" i="1338"/>
  <c r="K19" i="1338" s="1"/>
  <c r="L18" i="1338"/>
  <c r="P18" i="1338" s="1"/>
  <c r="AC18" i="1338" s="1"/>
  <c r="L14" i="1338"/>
  <c r="AB14" i="1338" s="1"/>
  <c r="L13" i="1338"/>
  <c r="P13" i="1338" s="1"/>
  <c r="AC13" i="1338" s="1"/>
  <c r="K13" i="1338"/>
  <c r="L11" i="1338"/>
  <c r="K11" i="1338" s="1"/>
  <c r="AF10" i="1338"/>
  <c r="AB10" i="1338"/>
  <c r="Q10" i="1338"/>
  <c r="P10" i="1338" s="1"/>
  <c r="AC10" i="1338" s="1"/>
  <c r="O10" i="1338"/>
  <c r="M10" i="1338"/>
  <c r="K10" i="1338"/>
  <c r="K9" i="1338"/>
  <c r="L8" i="1338"/>
  <c r="K17" i="1338"/>
  <c r="K8" i="1338"/>
  <c r="A75" i="1338"/>
  <c r="A76" i="1338" s="1"/>
  <c r="A77" i="1338" s="1"/>
  <c r="A78" i="1338" s="1"/>
  <c r="A79" i="1338" s="1"/>
  <c r="A80" i="1338" s="1"/>
  <c r="A81" i="1338" s="1"/>
  <c r="A82" i="1338" s="1"/>
  <c r="AF61" i="1338"/>
  <c r="AF60" i="1338"/>
  <c r="AF63" i="1338" s="1"/>
  <c r="AA22" i="1338"/>
  <c r="Z22" i="1338"/>
  <c r="Y22" i="1338"/>
  <c r="X22" i="1338"/>
  <c r="W22" i="1338"/>
  <c r="V22" i="1338"/>
  <c r="U22" i="1338"/>
  <c r="T22" i="1338"/>
  <c r="S22" i="1338"/>
  <c r="R22" i="1338"/>
  <c r="N22" i="1338"/>
  <c r="J22" i="1338"/>
  <c r="I22" i="1338"/>
  <c r="AF21" i="1338"/>
  <c r="AB21" i="1338"/>
  <c r="Q21" i="1338"/>
  <c r="P21" i="1338"/>
  <c r="AC21" i="1338" s="1"/>
  <c r="O21" i="1338"/>
  <c r="M21" i="1338"/>
  <c r="K21" i="1338"/>
  <c r="AF20" i="1338"/>
  <c r="Q20" i="1338"/>
  <c r="AF19" i="1338"/>
  <c r="Q19" i="1338"/>
  <c r="P19" i="1338"/>
  <c r="AC19" i="1338" s="1"/>
  <c r="O19" i="1338"/>
  <c r="AF18" i="1338"/>
  <c r="Q18" i="1338"/>
  <c r="AF17" i="1338"/>
  <c r="AB17" i="1338"/>
  <c r="Q17" i="1338"/>
  <c r="P17" i="1338"/>
  <c r="AC17" i="1338" s="1"/>
  <c r="AD17" i="1338" s="1"/>
  <c r="O17" i="1338"/>
  <c r="M17" i="1338"/>
  <c r="AF16" i="1338"/>
  <c r="AB16" i="1338"/>
  <c r="Q16" i="1338"/>
  <c r="P16" i="1338"/>
  <c r="AC16" i="1338" s="1"/>
  <c r="O16" i="1338"/>
  <c r="M16" i="1338"/>
  <c r="K16" i="1338"/>
  <c r="AF15" i="1338"/>
  <c r="AB15" i="1338"/>
  <c r="Q15" i="1338"/>
  <c r="P15" i="1338"/>
  <c r="AC15" i="1338" s="1"/>
  <c r="O15" i="1338"/>
  <c r="M15" i="1338"/>
  <c r="K15" i="1338"/>
  <c r="AF14" i="1338"/>
  <c r="Q14" i="1338"/>
  <c r="AF13" i="1338"/>
  <c r="Q13" i="1338"/>
  <c r="AB13" i="1338"/>
  <c r="AF12" i="1338"/>
  <c r="AB12" i="1338"/>
  <c r="Q12" i="1338"/>
  <c r="P12" i="1338"/>
  <c r="AC12" i="1338" s="1"/>
  <c r="O12" i="1338"/>
  <c r="M12" i="1338"/>
  <c r="AF11" i="1338"/>
  <c r="Q11" i="1338"/>
  <c r="O11" i="1338"/>
  <c r="AF9" i="1338"/>
  <c r="Q9" i="1338"/>
  <c r="P9" i="1338" s="1"/>
  <c r="AC9" i="1338" s="1"/>
  <c r="O9" i="1338"/>
  <c r="AB9" i="1338"/>
  <c r="AF8" i="1338"/>
  <c r="AB8" i="1338"/>
  <c r="Q8" i="1338"/>
  <c r="P8" i="1338"/>
  <c r="AC8" i="1338" s="1"/>
  <c r="O8" i="1338"/>
  <c r="M8" i="1338"/>
  <c r="AF7" i="1338"/>
  <c r="AC7" i="1338"/>
  <c r="AB7" i="1338"/>
  <c r="Q7" i="1338"/>
  <c r="P7" i="1338"/>
  <c r="O7" i="1338"/>
  <c r="M7" i="1338"/>
  <c r="K7" i="1338"/>
  <c r="AF6" i="1338"/>
  <c r="AC6" i="1338"/>
  <c r="AB6" i="1338"/>
  <c r="Q6" i="1338"/>
  <c r="P6" i="1338"/>
  <c r="O6" i="1338"/>
  <c r="M6" i="1338"/>
  <c r="K6" i="1338"/>
  <c r="AE16" i="1342" l="1"/>
  <c r="AE13" i="1342"/>
  <c r="AE8" i="1342"/>
  <c r="AE11" i="1342"/>
  <c r="AE22" i="1342"/>
  <c r="AE9" i="1342"/>
  <c r="AE10" i="1342"/>
  <c r="AE17" i="1342"/>
  <c r="AE7" i="1342"/>
  <c r="AE6" i="1342"/>
  <c r="AE20" i="1342"/>
  <c r="AE12" i="1342"/>
  <c r="AE21" i="1342"/>
  <c r="AE18" i="1342"/>
  <c r="AE15" i="1342"/>
  <c r="AE19" i="1342"/>
  <c r="AE19" i="1341"/>
  <c r="AE15" i="1341"/>
  <c r="AE13" i="1341"/>
  <c r="AE11" i="1341"/>
  <c r="AE8" i="1341"/>
  <c r="AE6" i="1341"/>
  <c r="AE10" i="1341"/>
  <c r="AE16" i="1341"/>
  <c r="AE7" i="1341"/>
  <c r="AE20" i="1341"/>
  <c r="AE17" i="1341"/>
  <c r="AE14" i="1341"/>
  <c r="AE12" i="1341"/>
  <c r="AE18" i="1341"/>
  <c r="AD12" i="1340"/>
  <c r="AD21" i="1340" s="1"/>
  <c r="AC21" i="1340"/>
  <c r="P21" i="1340"/>
  <c r="O12" i="1339"/>
  <c r="AD12" i="1339" s="1"/>
  <c r="P10" i="1339"/>
  <c r="AC10" i="1339" s="1"/>
  <c r="AD17" i="1339"/>
  <c r="AD16" i="1339"/>
  <c r="AD20" i="1339"/>
  <c r="Q21" i="1339"/>
  <c r="AD14" i="1339"/>
  <c r="AD15" i="1339"/>
  <c r="AD11" i="1339"/>
  <c r="AD9" i="1339"/>
  <c r="M10" i="1339"/>
  <c r="AB10" i="1339"/>
  <c r="M13" i="1339"/>
  <c r="AB13" i="1339"/>
  <c r="AD13" i="1339" s="1"/>
  <c r="M18" i="1339"/>
  <c r="AB18" i="1339"/>
  <c r="O19" i="1339"/>
  <c r="AD19" i="1339" s="1"/>
  <c r="AC6" i="1339"/>
  <c r="M8" i="1339"/>
  <c r="AB8" i="1339"/>
  <c r="O10" i="1339"/>
  <c r="M12" i="1339"/>
  <c r="O13" i="1339"/>
  <c r="O18" i="1339"/>
  <c r="K21" i="1339"/>
  <c r="P20" i="1338"/>
  <c r="AC20" i="1338" s="1"/>
  <c r="O18" i="1338"/>
  <c r="K18" i="1338"/>
  <c r="AB18" i="1338"/>
  <c r="K14" i="1338"/>
  <c r="P14" i="1338"/>
  <c r="AC14" i="1338" s="1"/>
  <c r="AD14" i="1338" s="1"/>
  <c r="M14" i="1338"/>
  <c r="O14" i="1338"/>
  <c r="O13" i="1338"/>
  <c r="AD13" i="1338" s="1"/>
  <c r="L22" i="1338"/>
  <c r="O22" i="1338" s="1"/>
  <c r="P11" i="1338"/>
  <c r="AC11" i="1338" s="1"/>
  <c r="AD10" i="1338"/>
  <c r="AD7" i="1338"/>
  <c r="Q22" i="1338"/>
  <c r="AD21" i="1338"/>
  <c r="AD8" i="1338"/>
  <c r="AD15" i="1338"/>
  <c r="AD16" i="1338"/>
  <c r="AD12" i="1338"/>
  <c r="O8" i="16" s="1"/>
  <c r="AD9" i="1338"/>
  <c r="AD18" i="1338"/>
  <c r="AD6" i="1338"/>
  <c r="M20" i="1338"/>
  <c r="AB20" i="1338"/>
  <c r="M11" i="1338"/>
  <c r="AB11" i="1338"/>
  <c r="AD11" i="1338" s="1"/>
  <c r="M19" i="1338"/>
  <c r="AB19" i="1338"/>
  <c r="AD19" i="1338" s="1"/>
  <c r="O20" i="1338"/>
  <c r="AD20" i="1338" s="1"/>
  <c r="M9" i="1338"/>
  <c r="M13" i="1338"/>
  <c r="M18" i="1338"/>
  <c r="K20" i="1338"/>
  <c r="K22" i="1338" s="1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18" i="1337"/>
  <c r="K18" i="1337" s="1"/>
  <c r="L17" i="1337"/>
  <c r="L16" i="1337"/>
  <c r="K16" i="1337" s="1"/>
  <c r="L12" i="1337"/>
  <c r="AB12" i="1337" s="1"/>
  <c r="L10" i="1337"/>
  <c r="L9" i="1337"/>
  <c r="L8" i="1337"/>
  <c r="K8" i="1337" s="1"/>
  <c r="K17" i="1337"/>
  <c r="K13" i="1337"/>
  <c r="K10" i="1337"/>
  <c r="K9" i="1337"/>
  <c r="A74" i="1337"/>
  <c r="A75" i="1337" s="1"/>
  <c r="A76" i="1337" s="1"/>
  <c r="A77" i="1337" s="1"/>
  <c r="A78" i="1337" s="1"/>
  <c r="A79" i="1337" s="1"/>
  <c r="A80" i="1337" s="1"/>
  <c r="A81" i="1337" s="1"/>
  <c r="AF60" i="1337"/>
  <c r="AF62" i="1337" s="1"/>
  <c r="AF59" i="1337"/>
  <c r="AA21" i="1337"/>
  <c r="Z21" i="1337"/>
  <c r="Y21" i="1337"/>
  <c r="X21" i="1337"/>
  <c r="W21" i="1337"/>
  <c r="V21" i="1337"/>
  <c r="U21" i="1337"/>
  <c r="T21" i="1337"/>
  <c r="S21" i="1337"/>
  <c r="R21" i="1337"/>
  <c r="N21" i="1337"/>
  <c r="J21" i="1337"/>
  <c r="I21" i="1337"/>
  <c r="AF20" i="1337"/>
  <c r="AB20" i="1337"/>
  <c r="Q20" i="1337"/>
  <c r="P20" i="1337"/>
  <c r="AC20" i="1337" s="1"/>
  <c r="O20" i="1337"/>
  <c r="M20" i="1337"/>
  <c r="K20" i="1337"/>
  <c r="AF19" i="1337"/>
  <c r="AB19" i="1337"/>
  <c r="Q19" i="1337"/>
  <c r="L19" i="1337"/>
  <c r="P19" i="1337" s="1"/>
  <c r="AC19" i="1337" s="1"/>
  <c r="AF18" i="1337"/>
  <c r="Q18" i="1337"/>
  <c r="AF17" i="1337"/>
  <c r="AB17" i="1337"/>
  <c r="Q17" i="1337"/>
  <c r="P17" i="1337" s="1"/>
  <c r="AC17" i="1337" s="1"/>
  <c r="O17" i="1337"/>
  <c r="M17" i="1337"/>
  <c r="AF16" i="1337"/>
  <c r="AB16" i="1337"/>
  <c r="Q16" i="1337"/>
  <c r="M16" i="1337"/>
  <c r="AF15" i="1337"/>
  <c r="AB15" i="1337"/>
  <c r="Q15" i="1337"/>
  <c r="P15" i="1337"/>
  <c r="AC15" i="1337" s="1"/>
  <c r="O15" i="1337"/>
  <c r="M15" i="1337"/>
  <c r="K15" i="1337"/>
  <c r="AF14" i="1337"/>
  <c r="AB14" i="1337"/>
  <c r="Q14" i="1337"/>
  <c r="P14" i="1337"/>
  <c r="AC14" i="1337" s="1"/>
  <c r="O14" i="1337"/>
  <c r="M14" i="1337"/>
  <c r="K14" i="1337"/>
  <c r="AF13" i="1337"/>
  <c r="Q13" i="1337"/>
  <c r="P13" i="1337"/>
  <c r="AC13" i="1337" s="1"/>
  <c r="O13" i="1337"/>
  <c r="M13" i="1337"/>
  <c r="AB13" i="1337"/>
  <c r="AF12" i="1337"/>
  <c r="Q12" i="1337"/>
  <c r="M12" i="1337"/>
  <c r="AF11" i="1337"/>
  <c r="AB11" i="1337"/>
  <c r="Q11" i="1337"/>
  <c r="P11" i="1337"/>
  <c r="AC11" i="1337" s="1"/>
  <c r="AD11" i="1337" s="1"/>
  <c r="O11" i="1337"/>
  <c r="M11" i="1337"/>
  <c r="K11" i="1337"/>
  <c r="AF10" i="1337"/>
  <c r="AB10" i="1337"/>
  <c r="Q10" i="1337"/>
  <c r="P10" i="1337" s="1"/>
  <c r="AC10" i="1337" s="1"/>
  <c r="O10" i="1337"/>
  <c r="M10" i="1337"/>
  <c r="AF9" i="1337"/>
  <c r="AB9" i="1337"/>
  <c r="Q9" i="1337"/>
  <c r="P9" i="1337" s="1"/>
  <c r="AC9" i="1337" s="1"/>
  <c r="M9" i="1337"/>
  <c r="AF8" i="1337"/>
  <c r="Q8" i="1337"/>
  <c r="P8" i="1337"/>
  <c r="AC8" i="1337" s="1"/>
  <c r="AF7" i="1337"/>
  <c r="AB7" i="1337"/>
  <c r="Q7" i="1337"/>
  <c r="P7" i="1337"/>
  <c r="AC7" i="1337" s="1"/>
  <c r="AD7" i="1337" s="1"/>
  <c r="O7" i="1337"/>
  <c r="M7" i="1337"/>
  <c r="K7" i="1337"/>
  <c r="AF6" i="1337"/>
  <c r="AB6" i="1337"/>
  <c r="Q6" i="1337"/>
  <c r="P6" i="1337"/>
  <c r="O6" i="1337"/>
  <c r="M6" i="1337"/>
  <c r="K6" i="1337"/>
  <c r="AE19" i="1340" l="1"/>
  <c r="AE20" i="1340"/>
  <c r="AE11" i="1340"/>
  <c r="AE18" i="1340"/>
  <c r="AE16" i="1340"/>
  <c r="AE14" i="1340"/>
  <c r="AE12" i="1340"/>
  <c r="AE9" i="1340"/>
  <c r="AE7" i="1340"/>
  <c r="AE10" i="1340"/>
  <c r="AE17" i="1340"/>
  <c r="AE15" i="1340"/>
  <c r="AE13" i="1340"/>
  <c r="AE8" i="1340"/>
  <c r="AE6" i="1340"/>
  <c r="P21" i="1339"/>
  <c r="AB21" i="1339"/>
  <c r="AD18" i="1339"/>
  <c r="AD10" i="1339"/>
  <c r="AD8" i="1339"/>
  <c r="M21" i="1339"/>
  <c r="AC21" i="1339"/>
  <c r="AD6" i="1339"/>
  <c r="AC22" i="1338"/>
  <c r="P22" i="1338"/>
  <c r="M22" i="1338"/>
  <c r="AB22" i="1338"/>
  <c r="AD22" i="1338"/>
  <c r="P12" i="1337"/>
  <c r="AC12" i="1337" s="1"/>
  <c r="AD12" i="1337" s="1"/>
  <c r="AD20" i="1337"/>
  <c r="K12" i="1337"/>
  <c r="O12" i="1337"/>
  <c r="O18" i="1337"/>
  <c r="M19" i="1337"/>
  <c r="P18" i="1337"/>
  <c r="AC18" i="1337" s="1"/>
  <c r="M18" i="1337"/>
  <c r="AB18" i="1337"/>
  <c r="AD17" i="1337"/>
  <c r="O16" i="1337"/>
  <c r="P16" i="1337"/>
  <c r="AC16" i="1337" s="1"/>
  <c r="AD16" i="1337" s="1"/>
  <c r="Q21" i="1337"/>
  <c r="AD15" i="1337"/>
  <c r="AD14" i="1337"/>
  <c r="AD10" i="1337"/>
  <c r="AD13" i="1337"/>
  <c r="AC6" i="1337"/>
  <c r="M8" i="1337"/>
  <c r="AB8" i="1337"/>
  <c r="O9" i="1337"/>
  <c r="AD9" i="1337" s="1"/>
  <c r="O19" i="1337"/>
  <c r="AD19" i="1337" s="1"/>
  <c r="O8" i="1337"/>
  <c r="K19" i="1337"/>
  <c r="L21" i="1337"/>
  <c r="O21" i="1337" s="1"/>
  <c r="K21" i="1337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0" i="1336"/>
  <c r="O20" i="1336" s="1"/>
  <c r="K20" i="1336"/>
  <c r="AF19" i="1336"/>
  <c r="Q19" i="1336"/>
  <c r="P19" i="1336"/>
  <c r="AC19" i="1336" s="1"/>
  <c r="L19" i="1336"/>
  <c r="AB19" i="1336" s="1"/>
  <c r="K19" i="1336"/>
  <c r="L18" i="1336"/>
  <c r="L17" i="1336"/>
  <c r="O17" i="1336" s="1"/>
  <c r="L13" i="1336"/>
  <c r="K13" i="1336"/>
  <c r="L10" i="1336"/>
  <c r="L9" i="1336"/>
  <c r="O9" i="1336" s="1"/>
  <c r="K9" i="1336"/>
  <c r="L8" i="1336"/>
  <c r="M8" i="1336" s="1"/>
  <c r="K18" i="1336"/>
  <c r="K17" i="1336"/>
  <c r="K15" i="1336"/>
  <c r="K12" i="1336"/>
  <c r="K10" i="1336"/>
  <c r="K8" i="1336"/>
  <c r="A76" i="1336"/>
  <c r="A77" i="1336" s="1"/>
  <c r="A78" i="1336" s="1"/>
  <c r="A79" i="1336" s="1"/>
  <c r="A80" i="1336" s="1"/>
  <c r="A81" i="1336" s="1"/>
  <c r="A82" i="1336" s="1"/>
  <c r="A75" i="1336"/>
  <c r="AF61" i="1336"/>
  <c r="AF60" i="1336"/>
  <c r="AF63" i="1336" s="1"/>
  <c r="AA22" i="1336"/>
  <c r="Z22" i="1336"/>
  <c r="Y22" i="1336"/>
  <c r="X22" i="1336"/>
  <c r="W22" i="1336"/>
  <c r="V22" i="1336"/>
  <c r="U22" i="1336"/>
  <c r="T22" i="1336"/>
  <c r="S22" i="1336"/>
  <c r="R22" i="1336"/>
  <c r="N22" i="1336"/>
  <c r="J22" i="1336"/>
  <c r="I22" i="1336"/>
  <c r="AF21" i="1336"/>
  <c r="AB21" i="1336"/>
  <c r="Q21" i="1336"/>
  <c r="P21" i="1336"/>
  <c r="AC21" i="1336" s="1"/>
  <c r="AD21" i="1336" s="1"/>
  <c r="O21" i="1336"/>
  <c r="M21" i="1336"/>
  <c r="K21" i="1336"/>
  <c r="AF20" i="1336"/>
  <c r="Q20" i="1336"/>
  <c r="AF18" i="1336"/>
  <c r="AB18" i="1336"/>
  <c r="Q18" i="1336"/>
  <c r="O18" i="1336"/>
  <c r="M18" i="1336"/>
  <c r="AF17" i="1336"/>
  <c r="Q17" i="1336"/>
  <c r="AF16" i="1336"/>
  <c r="AB16" i="1336"/>
  <c r="Q16" i="1336"/>
  <c r="P16" i="1336"/>
  <c r="AC16" i="1336" s="1"/>
  <c r="O16" i="1336"/>
  <c r="M16" i="1336"/>
  <c r="K16" i="1336"/>
  <c r="AF15" i="1336"/>
  <c r="AB15" i="1336"/>
  <c r="Q15" i="1336"/>
  <c r="P15" i="1336"/>
  <c r="AC15" i="1336" s="1"/>
  <c r="O15" i="1336"/>
  <c r="M15" i="1336"/>
  <c r="AF14" i="1336"/>
  <c r="AB14" i="1336"/>
  <c r="Q14" i="1336"/>
  <c r="P14" i="1336"/>
  <c r="AC14" i="1336" s="1"/>
  <c r="O14" i="1336"/>
  <c r="M14" i="1336"/>
  <c r="K14" i="1336"/>
  <c r="AF13" i="1336"/>
  <c r="AB13" i="1336"/>
  <c r="Q13" i="1336"/>
  <c r="P13" i="1336"/>
  <c r="AC13" i="1336" s="1"/>
  <c r="O13" i="1336"/>
  <c r="M13" i="1336"/>
  <c r="AF12" i="1336"/>
  <c r="Q12" i="1336"/>
  <c r="AB12" i="1336"/>
  <c r="AF11" i="1336"/>
  <c r="AB11" i="1336"/>
  <c r="Q11" i="1336"/>
  <c r="P11" i="1336"/>
  <c r="AC11" i="1336" s="1"/>
  <c r="O11" i="1336"/>
  <c r="M11" i="1336"/>
  <c r="K11" i="1336"/>
  <c r="AF10" i="1336"/>
  <c r="AB10" i="1336"/>
  <c r="Q10" i="1336"/>
  <c r="O10" i="1336"/>
  <c r="M10" i="1336"/>
  <c r="AF9" i="1336"/>
  <c r="Q9" i="1336"/>
  <c r="AF8" i="1336"/>
  <c r="AB8" i="1336"/>
  <c r="Q8" i="1336"/>
  <c r="P8" i="1336" s="1"/>
  <c r="AC8" i="1336" s="1"/>
  <c r="L22" i="1336"/>
  <c r="O22" i="1336" s="1"/>
  <c r="AF7" i="1336"/>
  <c r="AB7" i="1336"/>
  <c r="Q7" i="1336"/>
  <c r="P7" i="1336"/>
  <c r="AC7" i="1336" s="1"/>
  <c r="AD7" i="1336" s="1"/>
  <c r="O7" i="1336"/>
  <c r="M7" i="1336"/>
  <c r="K7" i="1336"/>
  <c r="AF6" i="1336"/>
  <c r="AB6" i="1336"/>
  <c r="Q6" i="1336"/>
  <c r="P6" i="1336"/>
  <c r="AC6" i="1336" s="1"/>
  <c r="O6" i="1336"/>
  <c r="M6" i="1336"/>
  <c r="K6" i="1336"/>
  <c r="AD21" i="1339" l="1"/>
  <c r="AE19" i="1339" s="1"/>
  <c r="AE10" i="1338"/>
  <c r="O18" i="16"/>
  <c r="AE17" i="1338"/>
  <c r="AE12" i="1338"/>
  <c r="AE8" i="1338"/>
  <c r="AE21" i="1338"/>
  <c r="AE18" i="1338"/>
  <c r="AE15" i="1338"/>
  <c r="AE13" i="1338"/>
  <c r="AE9" i="1338"/>
  <c r="AE6" i="1338"/>
  <c r="AE19" i="1338"/>
  <c r="AE11" i="1338"/>
  <c r="AE20" i="1338"/>
  <c r="AE16" i="1338"/>
  <c r="AE14" i="1338"/>
  <c r="AE7" i="1338"/>
  <c r="AD18" i="1337"/>
  <c r="P21" i="1337"/>
  <c r="M21" i="1337"/>
  <c r="AD8" i="1337"/>
  <c r="AC21" i="1337"/>
  <c r="AD6" i="1337"/>
  <c r="AB21" i="1337"/>
  <c r="AD19" i="1336"/>
  <c r="O19" i="1336"/>
  <c r="P10" i="1336"/>
  <c r="AC10" i="1336" s="1"/>
  <c r="P18" i="1336"/>
  <c r="AC18" i="1336" s="1"/>
  <c r="M19" i="1336"/>
  <c r="P20" i="1336"/>
  <c r="AC20" i="1336" s="1"/>
  <c r="Q22" i="1336"/>
  <c r="AD11" i="1336"/>
  <c r="AD15" i="1336"/>
  <c r="AD16" i="1336"/>
  <c r="AD10" i="1336"/>
  <c r="AD13" i="1336"/>
  <c r="AD14" i="1336"/>
  <c r="AD18" i="1336"/>
  <c r="O12" i="1336"/>
  <c r="AD6" i="1336"/>
  <c r="O8" i="1336"/>
  <c r="AD8" i="1336" s="1"/>
  <c r="K22" i="1336"/>
  <c r="P9" i="1336"/>
  <c r="AC9" i="1336" s="1"/>
  <c r="P12" i="1336"/>
  <c r="AC12" i="1336" s="1"/>
  <c r="P17" i="1336"/>
  <c r="AC17" i="1336" s="1"/>
  <c r="AD17" i="1336" s="1"/>
  <c r="M20" i="1336"/>
  <c r="AB20" i="1336"/>
  <c r="M9" i="1336"/>
  <c r="AB9" i="1336"/>
  <c r="M12" i="1336"/>
  <c r="M17" i="1336"/>
  <c r="AB17" i="133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19" i="1335"/>
  <c r="K19" i="1335" s="1"/>
  <c r="L18" i="1335"/>
  <c r="K18" i="1335" s="1"/>
  <c r="L17" i="1335"/>
  <c r="K17" i="1335" s="1"/>
  <c r="L15" i="1335"/>
  <c r="L12" i="1335"/>
  <c r="L10" i="1335"/>
  <c r="L9" i="1335"/>
  <c r="L8" i="1335"/>
  <c r="K8" i="1335" s="1"/>
  <c r="K20" i="1335"/>
  <c r="K15" i="1335"/>
  <c r="K13" i="1335"/>
  <c r="K12" i="1335"/>
  <c r="K10" i="1335"/>
  <c r="K9" i="1335"/>
  <c r="A75" i="1335"/>
  <c r="A76" i="1335" s="1"/>
  <c r="A77" i="1335" s="1"/>
  <c r="A78" i="1335" s="1"/>
  <c r="A79" i="1335" s="1"/>
  <c r="A80" i="1335" s="1"/>
  <c r="A81" i="1335" s="1"/>
  <c r="A74" i="1335"/>
  <c r="AF60" i="1335"/>
  <c r="AF59" i="1335"/>
  <c r="AF62" i="1335" s="1"/>
  <c r="AA21" i="1335"/>
  <c r="Z21" i="1335"/>
  <c r="Y21" i="1335"/>
  <c r="X21" i="1335"/>
  <c r="W21" i="1335"/>
  <c r="V21" i="1335"/>
  <c r="U21" i="1335"/>
  <c r="T21" i="1335"/>
  <c r="S21" i="1335"/>
  <c r="R21" i="1335"/>
  <c r="N21" i="1335"/>
  <c r="J21" i="1335"/>
  <c r="I21" i="1335"/>
  <c r="AF20" i="1335"/>
  <c r="Q20" i="1335"/>
  <c r="O20" i="1335"/>
  <c r="AF19" i="1335"/>
  <c r="Q19" i="1335"/>
  <c r="AB19" i="1335"/>
  <c r="AF18" i="1335"/>
  <c r="Q18" i="1335"/>
  <c r="O18" i="1335"/>
  <c r="P18" i="1335"/>
  <c r="AC18" i="1335" s="1"/>
  <c r="AF17" i="1335"/>
  <c r="AB17" i="1335"/>
  <c r="Q17" i="1335"/>
  <c r="O17" i="1335"/>
  <c r="M17" i="1335"/>
  <c r="P17" i="1335"/>
  <c r="AC17" i="1335" s="1"/>
  <c r="AF16" i="1335"/>
  <c r="AB16" i="1335"/>
  <c r="Q16" i="1335"/>
  <c r="P16" i="1335"/>
  <c r="AC16" i="1335" s="1"/>
  <c r="O16" i="1335"/>
  <c r="M16" i="1335"/>
  <c r="K16" i="1335"/>
  <c r="AF15" i="1335"/>
  <c r="Q15" i="1335"/>
  <c r="O15" i="1335"/>
  <c r="P15" i="1335"/>
  <c r="AC15" i="1335" s="1"/>
  <c r="AF14" i="1335"/>
  <c r="AB14" i="1335"/>
  <c r="Q14" i="1335"/>
  <c r="P14" i="1335"/>
  <c r="AC14" i="1335" s="1"/>
  <c r="O14" i="1335"/>
  <c r="M14" i="1335"/>
  <c r="K14" i="1335"/>
  <c r="AF13" i="1335"/>
  <c r="Q13" i="1335"/>
  <c r="P13" i="1335"/>
  <c r="AC13" i="1335" s="1"/>
  <c r="AB13" i="1335"/>
  <c r="AF12" i="1335"/>
  <c r="Q12" i="1335"/>
  <c r="P12" i="1335" s="1"/>
  <c r="AC12" i="1335" s="1"/>
  <c r="O12" i="1335"/>
  <c r="AB12" i="1335"/>
  <c r="AF11" i="1335"/>
  <c r="AC11" i="1335"/>
  <c r="AB11" i="1335"/>
  <c r="Q11" i="1335"/>
  <c r="P11" i="1335"/>
  <c r="O11" i="1335"/>
  <c r="M11" i="1335"/>
  <c r="K11" i="1335"/>
  <c r="AF10" i="1335"/>
  <c r="Q10" i="1335"/>
  <c r="P10" i="1335" s="1"/>
  <c r="AC10" i="1335" s="1"/>
  <c r="O10" i="1335"/>
  <c r="AF9" i="1335"/>
  <c r="AB9" i="1335"/>
  <c r="Q9" i="1335"/>
  <c r="P9" i="1335" s="1"/>
  <c r="AC9" i="1335" s="1"/>
  <c r="O9" i="1335"/>
  <c r="M9" i="1335"/>
  <c r="AF8" i="1335"/>
  <c r="Q8" i="1335"/>
  <c r="AB8" i="1335"/>
  <c r="AF7" i="1335"/>
  <c r="AB7" i="1335"/>
  <c r="Q7" i="1335"/>
  <c r="P7" i="1335"/>
  <c r="AC7" i="1335" s="1"/>
  <c r="AD7" i="1335" s="1"/>
  <c r="O7" i="1335"/>
  <c r="M7" i="1335"/>
  <c r="K7" i="1335"/>
  <c r="AF6" i="1335"/>
  <c r="AC6" i="1335"/>
  <c r="AB6" i="1335"/>
  <c r="Q6" i="1335"/>
  <c r="P6" i="1335"/>
  <c r="O6" i="1335"/>
  <c r="M6" i="1335"/>
  <c r="K6" i="1335"/>
  <c r="AE10" i="1339" l="1"/>
  <c r="AE17" i="1339"/>
  <c r="AE7" i="1339"/>
  <c r="AE8" i="1339"/>
  <c r="AE20" i="1339"/>
  <c r="AE11" i="1339"/>
  <c r="AE13" i="1339"/>
  <c r="AE15" i="1339"/>
  <c r="AE14" i="1339"/>
  <c r="AE9" i="1339"/>
  <c r="AE6" i="1339"/>
  <c r="AE12" i="1339"/>
  <c r="AE18" i="1339"/>
  <c r="AE16" i="1339"/>
  <c r="AD21" i="1337"/>
  <c r="AE19" i="1337" s="1"/>
  <c r="AD20" i="1336"/>
  <c r="M22" i="1336"/>
  <c r="AD12" i="1336"/>
  <c r="AB22" i="1336"/>
  <c r="P22" i="1336"/>
  <c r="AD9" i="1336"/>
  <c r="AC22" i="1336"/>
  <c r="P19" i="1335"/>
  <c r="AC19" i="1335" s="1"/>
  <c r="Q21" i="1335"/>
  <c r="AD9" i="1335"/>
  <c r="AD11" i="1335"/>
  <c r="AD16" i="1335"/>
  <c r="AD17" i="1335"/>
  <c r="AD14" i="1335"/>
  <c r="AD12" i="1335"/>
  <c r="AD6" i="1335"/>
  <c r="O8" i="1335"/>
  <c r="M10" i="1335"/>
  <c r="AB10" i="1335"/>
  <c r="P8" i="1335"/>
  <c r="AC8" i="1335" s="1"/>
  <c r="M12" i="1335"/>
  <c r="O13" i="1335"/>
  <c r="AD13" i="1335" s="1"/>
  <c r="M15" i="1335"/>
  <c r="AB15" i="1335"/>
  <c r="AD15" i="1335" s="1"/>
  <c r="M18" i="1335"/>
  <c r="AB18" i="1335"/>
  <c r="AD18" i="1335" s="1"/>
  <c r="O19" i="1335"/>
  <c r="AD19" i="1335" s="1"/>
  <c r="P20" i="1335"/>
  <c r="AC20" i="1335" s="1"/>
  <c r="M8" i="1335"/>
  <c r="M20" i="1335"/>
  <c r="AB20" i="1335"/>
  <c r="L21" i="1335"/>
  <c r="O21" i="1335" s="1"/>
  <c r="M13" i="1335"/>
  <c r="M19" i="1335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AE15" i="1337" l="1"/>
  <c r="AE11" i="1337"/>
  <c r="AE12" i="1337"/>
  <c r="AE9" i="1337"/>
  <c r="AE18" i="1337"/>
  <c r="AE17" i="1337"/>
  <c r="AE14" i="1337"/>
  <c r="AE7" i="1337"/>
  <c r="AE20" i="1337"/>
  <c r="AE8" i="1337"/>
  <c r="AE16" i="1337"/>
  <c r="AE13" i="1337"/>
  <c r="AE10" i="1337"/>
  <c r="AE6" i="1337"/>
  <c r="AD22" i="1336"/>
  <c r="M21" i="1335"/>
  <c r="AD8" i="1335"/>
  <c r="AB21" i="1335"/>
  <c r="P21" i="1335"/>
  <c r="AD10" i="1335"/>
  <c r="K21" i="1335"/>
  <c r="AD20" i="1335"/>
  <c r="AC21" i="1335"/>
  <c r="L20" i="1334"/>
  <c r="L19" i="1334"/>
  <c r="L18" i="1334"/>
  <c r="L17" i="1334"/>
  <c r="L15" i="1334"/>
  <c r="AE16" i="1336" l="1"/>
  <c r="AE19" i="1336"/>
  <c r="AE21" i="1336"/>
  <c r="AE20" i="1336"/>
  <c r="AE10" i="1336"/>
  <c r="AE7" i="1336"/>
  <c r="AE9" i="1336"/>
  <c r="AE11" i="1336"/>
  <c r="AE18" i="1336"/>
  <c r="AE8" i="1336"/>
  <c r="AE13" i="1336"/>
  <c r="AE14" i="1336"/>
  <c r="AE6" i="1336"/>
  <c r="AE12" i="1336"/>
  <c r="AE15" i="1336"/>
  <c r="AE17" i="1336"/>
  <c r="AD21" i="1335"/>
  <c r="AE15" i="1335" s="1"/>
  <c r="L13" i="1334"/>
  <c r="M13" i="1334"/>
  <c r="K13" i="1334"/>
  <c r="L12" i="1334"/>
  <c r="K12" i="1334"/>
  <c r="L10" i="1334"/>
  <c r="K10" i="1334"/>
  <c r="K9" i="1334"/>
  <c r="L8" i="1334"/>
  <c r="O8" i="1334" s="1"/>
  <c r="K19" i="1334"/>
  <c r="K18" i="1334"/>
  <c r="K17" i="1334"/>
  <c r="K15" i="1334"/>
  <c r="K11" i="1334"/>
  <c r="K8" i="1334"/>
  <c r="A74" i="1334"/>
  <c r="A75" i="1334" s="1"/>
  <c r="A76" i="1334" s="1"/>
  <c r="A77" i="1334" s="1"/>
  <c r="A78" i="1334" s="1"/>
  <c r="A79" i="1334" s="1"/>
  <c r="A80" i="1334" s="1"/>
  <c r="A81" i="1334" s="1"/>
  <c r="AF60" i="1334"/>
  <c r="AF59" i="1334"/>
  <c r="AF62" i="1334" s="1"/>
  <c r="AA21" i="1334"/>
  <c r="Z21" i="1334"/>
  <c r="Y21" i="1334"/>
  <c r="X21" i="1334"/>
  <c r="W21" i="1334"/>
  <c r="V21" i="1334"/>
  <c r="U21" i="1334"/>
  <c r="T21" i="1334"/>
  <c r="S21" i="1334"/>
  <c r="R21" i="1334"/>
  <c r="N21" i="1334"/>
  <c r="J21" i="1334"/>
  <c r="I21" i="1334"/>
  <c r="AF20" i="1334"/>
  <c r="AB20" i="1334"/>
  <c r="Q20" i="1334"/>
  <c r="P20" i="1334"/>
  <c r="AC20" i="1334" s="1"/>
  <c r="O20" i="1334"/>
  <c r="M20" i="1334"/>
  <c r="K20" i="1334"/>
  <c r="AF19" i="1334"/>
  <c r="AB19" i="1334"/>
  <c r="Q19" i="1334"/>
  <c r="M19" i="1334"/>
  <c r="P19" i="1334"/>
  <c r="AC19" i="1334" s="1"/>
  <c r="AF18" i="1334"/>
  <c r="Q18" i="1334"/>
  <c r="P18" i="1334"/>
  <c r="AC18" i="1334" s="1"/>
  <c r="AF17" i="1334"/>
  <c r="Q17" i="1334"/>
  <c r="P17" i="1334"/>
  <c r="AC17" i="1334" s="1"/>
  <c r="O17" i="1334"/>
  <c r="AB17" i="1334"/>
  <c r="AF16" i="1334"/>
  <c r="AC16" i="1334"/>
  <c r="AB16" i="1334"/>
  <c r="Q16" i="1334"/>
  <c r="P16" i="1334"/>
  <c r="O16" i="1334"/>
  <c r="M16" i="1334"/>
  <c r="K16" i="1334"/>
  <c r="AF15" i="1334"/>
  <c r="Q15" i="1334"/>
  <c r="P15" i="1334"/>
  <c r="AC15" i="1334" s="1"/>
  <c r="AF14" i="1334"/>
  <c r="AB14" i="1334"/>
  <c r="Q14" i="1334"/>
  <c r="P14" i="1334"/>
  <c r="AC14" i="1334" s="1"/>
  <c r="AD14" i="1334" s="1"/>
  <c r="O14" i="1334"/>
  <c r="M14" i="1334"/>
  <c r="K14" i="1334"/>
  <c r="AF13" i="1334"/>
  <c r="AB13" i="1334"/>
  <c r="Q13" i="1334"/>
  <c r="P13" i="1334" s="1"/>
  <c r="AC13" i="1334" s="1"/>
  <c r="AF12" i="1334"/>
  <c r="Q12" i="1334"/>
  <c r="P12" i="1334" s="1"/>
  <c r="AC12" i="1334" s="1"/>
  <c r="AF11" i="1334"/>
  <c r="Q11" i="1334"/>
  <c r="P11" i="1334"/>
  <c r="AC11" i="1334" s="1"/>
  <c r="O11" i="1334"/>
  <c r="AB11" i="1334"/>
  <c r="AF10" i="1334"/>
  <c r="AB10" i="1334"/>
  <c r="Q10" i="1334"/>
  <c r="O10" i="1334"/>
  <c r="M10" i="1334"/>
  <c r="AF9" i="1334"/>
  <c r="Q9" i="1334"/>
  <c r="P9" i="1334" s="1"/>
  <c r="AC9" i="1334" s="1"/>
  <c r="AF8" i="1334"/>
  <c r="Q8" i="1334"/>
  <c r="P8" i="1334"/>
  <c r="AC8" i="1334" s="1"/>
  <c r="AF7" i="1334"/>
  <c r="AC7" i="1334"/>
  <c r="AD7" i="1334" s="1"/>
  <c r="AB7" i="1334"/>
  <c r="Q7" i="1334"/>
  <c r="P7" i="1334"/>
  <c r="O7" i="1334"/>
  <c r="M7" i="1334"/>
  <c r="K7" i="1334"/>
  <c r="AF6" i="1334"/>
  <c r="AB6" i="1334"/>
  <c r="Q6" i="1334"/>
  <c r="P6" i="1334"/>
  <c r="O6" i="1334"/>
  <c r="M6" i="1334"/>
  <c r="K6" i="1334"/>
  <c r="AE10" i="1335" l="1"/>
  <c r="AE11" i="1335"/>
  <c r="AE7" i="1335"/>
  <c r="AE14" i="1335"/>
  <c r="AE13" i="1335"/>
  <c r="AE20" i="1335"/>
  <c r="AE18" i="1335"/>
  <c r="AE9" i="1335"/>
  <c r="AE17" i="1335"/>
  <c r="AE19" i="1335"/>
  <c r="AE12" i="1335"/>
  <c r="AE6" i="1335"/>
  <c r="AE16" i="1335"/>
  <c r="AE8" i="1335"/>
  <c r="AD20" i="1334"/>
  <c r="P10" i="1334"/>
  <c r="AC10" i="1334" s="1"/>
  <c r="AD10" i="1334" s="1"/>
  <c r="L21" i="1334"/>
  <c r="O21" i="1334" s="1"/>
  <c r="Q21" i="1334"/>
  <c r="AD16" i="1334"/>
  <c r="AD11" i="1334"/>
  <c r="AD17" i="1334"/>
  <c r="M9" i="1334"/>
  <c r="AB9" i="1334"/>
  <c r="AD9" i="1334" s="1"/>
  <c r="M12" i="1334"/>
  <c r="AB12" i="1334"/>
  <c r="O13" i="1334"/>
  <c r="AD13" i="1334" s="1"/>
  <c r="M15" i="1334"/>
  <c r="AB15" i="1334"/>
  <c r="M18" i="1334"/>
  <c r="AB18" i="1334"/>
  <c r="AD18" i="1334" s="1"/>
  <c r="O19" i="1334"/>
  <c r="AD19" i="1334" s="1"/>
  <c r="AC6" i="1334"/>
  <c r="M8" i="1334"/>
  <c r="AB8" i="1334"/>
  <c r="AD8" i="1334" s="1"/>
  <c r="O9" i="1334"/>
  <c r="M11" i="1334"/>
  <c r="O12" i="1334"/>
  <c r="O15" i="1334"/>
  <c r="M17" i="1334"/>
  <c r="O18" i="1334"/>
  <c r="K21" i="1334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19" i="1333"/>
  <c r="L18" i="1333"/>
  <c r="K18" i="1333" s="1"/>
  <c r="L17" i="1333"/>
  <c r="AB17" i="1333" s="1"/>
  <c r="L15" i="1333"/>
  <c r="K15" i="1333" s="1"/>
  <c r="L13" i="1333"/>
  <c r="K13" i="1333" s="1"/>
  <c r="L12" i="1333"/>
  <c r="K12" i="1333"/>
  <c r="K10" i="1333"/>
  <c r="AF10" i="1333"/>
  <c r="AB10" i="1333"/>
  <c r="Q10" i="1333"/>
  <c r="P10" i="1333"/>
  <c r="AC10" i="1333" s="1"/>
  <c r="O10" i="1333"/>
  <c r="M10" i="1333"/>
  <c r="L11" i="1333"/>
  <c r="K11" i="1333"/>
  <c r="L9" i="1333"/>
  <c r="K9" i="1333"/>
  <c r="L8" i="1333"/>
  <c r="K19" i="1333"/>
  <c r="K16" i="1333"/>
  <c r="K8" i="1333"/>
  <c r="A74" i="1333"/>
  <c r="A75" i="1333" s="1"/>
  <c r="A76" i="1333" s="1"/>
  <c r="A77" i="1333" s="1"/>
  <c r="A78" i="1333" s="1"/>
  <c r="A79" i="1333" s="1"/>
  <c r="A80" i="1333" s="1"/>
  <c r="A81" i="1333" s="1"/>
  <c r="AF60" i="1333"/>
  <c r="AF59" i="1333"/>
  <c r="AA21" i="1333"/>
  <c r="Z21" i="1333"/>
  <c r="Y21" i="1333"/>
  <c r="X21" i="1333"/>
  <c r="W21" i="1333"/>
  <c r="V21" i="1333"/>
  <c r="U21" i="1333"/>
  <c r="T21" i="1333"/>
  <c r="S21" i="1333"/>
  <c r="R21" i="1333"/>
  <c r="N21" i="1333"/>
  <c r="J21" i="1333"/>
  <c r="I21" i="1333"/>
  <c r="AF20" i="1333"/>
  <c r="AB20" i="1333"/>
  <c r="Q20" i="1333"/>
  <c r="P20" i="1333"/>
  <c r="AC20" i="1333" s="1"/>
  <c r="O20" i="1333"/>
  <c r="M20" i="1333"/>
  <c r="K20" i="1333"/>
  <c r="AF19" i="1333"/>
  <c r="Q19" i="1333"/>
  <c r="P19" i="1333" s="1"/>
  <c r="AC19" i="1333" s="1"/>
  <c r="O19" i="1333"/>
  <c r="AF18" i="1333"/>
  <c r="Q18" i="1333"/>
  <c r="O18" i="1333"/>
  <c r="P18" i="1333"/>
  <c r="AC18" i="1333" s="1"/>
  <c r="AF17" i="1333"/>
  <c r="Q17" i="1333"/>
  <c r="O17" i="1333"/>
  <c r="AF16" i="1333"/>
  <c r="AB16" i="1333"/>
  <c r="Q16" i="1333"/>
  <c r="P16" i="1333" s="1"/>
  <c r="AC16" i="1333" s="1"/>
  <c r="O16" i="1333"/>
  <c r="M16" i="1333"/>
  <c r="AF15" i="1333"/>
  <c r="Q15" i="1333"/>
  <c r="AF14" i="1333"/>
  <c r="AB14" i="1333"/>
  <c r="Q14" i="1333"/>
  <c r="P14" i="1333"/>
  <c r="AC14" i="1333" s="1"/>
  <c r="O14" i="1333"/>
  <c r="M14" i="1333"/>
  <c r="K14" i="1333"/>
  <c r="AF13" i="1333"/>
  <c r="Q13" i="1333"/>
  <c r="O13" i="1333"/>
  <c r="AF12" i="1333"/>
  <c r="AB12" i="1333"/>
  <c r="Q12" i="1333"/>
  <c r="P12" i="1333"/>
  <c r="AC12" i="1333" s="1"/>
  <c r="O12" i="1333"/>
  <c r="M12" i="1333"/>
  <c r="AF11" i="1333"/>
  <c r="AB11" i="1333"/>
  <c r="Q11" i="1333"/>
  <c r="P11" i="1333" s="1"/>
  <c r="AC11" i="1333" s="1"/>
  <c r="O11" i="1333"/>
  <c r="M11" i="1333"/>
  <c r="AF9" i="1333"/>
  <c r="Q9" i="1333"/>
  <c r="AB9" i="1333"/>
  <c r="AF8" i="1333"/>
  <c r="AB8" i="1333"/>
  <c r="Q8" i="1333"/>
  <c r="M8" i="1333"/>
  <c r="AF7" i="1333"/>
  <c r="AC7" i="1333"/>
  <c r="AB7" i="1333"/>
  <c r="Q7" i="1333"/>
  <c r="P7" i="1333"/>
  <c r="O7" i="1333"/>
  <c r="M7" i="1333"/>
  <c r="K7" i="1333"/>
  <c r="AF6" i="1333"/>
  <c r="AC6" i="1333"/>
  <c r="AB6" i="1333"/>
  <c r="Q6" i="1333"/>
  <c r="P6" i="1333"/>
  <c r="O6" i="1333"/>
  <c r="M6" i="1333"/>
  <c r="K6" i="1333"/>
  <c r="P21" i="1334" l="1"/>
  <c r="M21" i="1334"/>
  <c r="AD12" i="1334"/>
  <c r="AD15" i="1334"/>
  <c r="AB21" i="1334"/>
  <c r="AC21" i="1334"/>
  <c r="AD6" i="1334"/>
  <c r="M17" i="1333"/>
  <c r="P8" i="1333"/>
  <c r="AC8" i="1333" s="1"/>
  <c r="P17" i="1333"/>
  <c r="AC17" i="1333" s="1"/>
  <c r="AD17" i="1333" s="1"/>
  <c r="AF62" i="1333"/>
  <c r="K17" i="1333"/>
  <c r="K21" i="1333" s="1"/>
  <c r="O15" i="1333"/>
  <c r="P15" i="1333"/>
  <c r="AC15" i="1333" s="1"/>
  <c r="L21" i="1333"/>
  <c r="O21" i="1333" s="1"/>
  <c r="P13" i="1333"/>
  <c r="AC13" i="1333" s="1"/>
  <c r="M13" i="1333"/>
  <c r="AB13" i="1333"/>
  <c r="AD10" i="1333"/>
  <c r="AD20" i="1333"/>
  <c r="AD7" i="1333"/>
  <c r="AD14" i="1333"/>
  <c r="Q21" i="1333"/>
  <c r="AD11" i="1333"/>
  <c r="AD16" i="1333"/>
  <c r="AD12" i="1333"/>
  <c r="O9" i="1333"/>
  <c r="M19" i="1333"/>
  <c r="AB19" i="1333"/>
  <c r="AD19" i="1333" s="1"/>
  <c r="AD6" i="1333"/>
  <c r="O8" i="1333"/>
  <c r="AD8" i="1333" s="1"/>
  <c r="P9" i="1333"/>
  <c r="AC9" i="1333" s="1"/>
  <c r="M15" i="1333"/>
  <c r="AB15" i="1333"/>
  <c r="AD15" i="1333" s="1"/>
  <c r="M18" i="1333"/>
  <c r="AB18" i="1333"/>
  <c r="AD18" i="1333" s="1"/>
  <c r="M9" i="1333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19" i="1332"/>
  <c r="K19" i="1332"/>
  <c r="L18" i="1332"/>
  <c r="K18" i="1332" s="1"/>
  <c r="L17" i="1332"/>
  <c r="K17" i="1332" s="1"/>
  <c r="L15" i="1332"/>
  <c r="O15" i="1332" s="1"/>
  <c r="L10" i="1332"/>
  <c r="L9" i="1332"/>
  <c r="K9" i="1332"/>
  <c r="L8" i="1332"/>
  <c r="K16" i="1332"/>
  <c r="K13" i="1332"/>
  <c r="K10" i="1332"/>
  <c r="K8" i="1332"/>
  <c r="A74" i="1332"/>
  <c r="A75" i="1332" s="1"/>
  <c r="A76" i="1332" s="1"/>
  <c r="A77" i="1332" s="1"/>
  <c r="A78" i="1332" s="1"/>
  <c r="A79" i="1332" s="1"/>
  <c r="A80" i="1332" s="1"/>
  <c r="A81" i="1332" s="1"/>
  <c r="AF60" i="1332"/>
  <c r="AF62" i="1332" s="1"/>
  <c r="AF59" i="1332"/>
  <c r="AA21" i="1332"/>
  <c r="Z21" i="1332"/>
  <c r="Y21" i="1332"/>
  <c r="X21" i="1332"/>
  <c r="W21" i="1332"/>
  <c r="V21" i="1332"/>
  <c r="U21" i="1332"/>
  <c r="T21" i="1332"/>
  <c r="S21" i="1332"/>
  <c r="R21" i="1332"/>
  <c r="N21" i="1332"/>
  <c r="J21" i="1332"/>
  <c r="I21" i="1332"/>
  <c r="AF20" i="1332"/>
  <c r="AB20" i="1332"/>
  <c r="Q20" i="1332"/>
  <c r="P20" i="1332"/>
  <c r="AC20" i="1332" s="1"/>
  <c r="AD20" i="1332" s="1"/>
  <c r="O20" i="1332"/>
  <c r="M20" i="1332"/>
  <c r="K20" i="1332"/>
  <c r="AF19" i="1332"/>
  <c r="AB19" i="1332"/>
  <c r="Q19" i="1332"/>
  <c r="O19" i="1332"/>
  <c r="M19" i="1332"/>
  <c r="AF18" i="1332"/>
  <c r="Q18" i="1332"/>
  <c r="P18" i="1332"/>
  <c r="AC18" i="1332" s="1"/>
  <c r="O18" i="1332"/>
  <c r="AF17" i="1332"/>
  <c r="Q17" i="1332"/>
  <c r="AB17" i="1332"/>
  <c r="AF16" i="1332"/>
  <c r="AB16" i="1332"/>
  <c r="Q16" i="1332"/>
  <c r="P16" i="1332" s="1"/>
  <c r="AC16" i="1332" s="1"/>
  <c r="M16" i="1332"/>
  <c r="O16" i="1332"/>
  <c r="AF15" i="1332"/>
  <c r="Q15" i="1332"/>
  <c r="P15" i="1332"/>
  <c r="AC15" i="1332" s="1"/>
  <c r="AF14" i="1332"/>
  <c r="AB14" i="1332"/>
  <c r="Q14" i="1332"/>
  <c r="P14" i="1332"/>
  <c r="AC14" i="1332" s="1"/>
  <c r="O14" i="1332"/>
  <c r="M14" i="1332"/>
  <c r="K14" i="1332"/>
  <c r="AF13" i="1332"/>
  <c r="AB13" i="1332"/>
  <c r="Q13" i="1332"/>
  <c r="P13" i="1332"/>
  <c r="AC13" i="1332" s="1"/>
  <c r="M13" i="1332"/>
  <c r="O13" i="1332"/>
  <c r="AF12" i="1332"/>
  <c r="AB12" i="1332"/>
  <c r="Q12" i="1332"/>
  <c r="P12" i="1332"/>
  <c r="AC12" i="1332" s="1"/>
  <c r="AD12" i="1332" s="1"/>
  <c r="O12" i="1332"/>
  <c r="M12" i="1332"/>
  <c r="K12" i="1332"/>
  <c r="AF11" i="1332"/>
  <c r="AB11" i="1332"/>
  <c r="Q11" i="1332"/>
  <c r="P11" i="1332"/>
  <c r="AC11" i="1332" s="1"/>
  <c r="AD11" i="1332" s="1"/>
  <c r="O11" i="1332"/>
  <c r="M11" i="1332"/>
  <c r="K11" i="1332"/>
  <c r="AF10" i="1332"/>
  <c r="Q10" i="1332"/>
  <c r="P10" i="1332"/>
  <c r="AC10" i="1332" s="1"/>
  <c r="AF9" i="1332"/>
  <c r="AB9" i="1332"/>
  <c r="Q9" i="1332"/>
  <c r="P9" i="1332"/>
  <c r="AC9" i="1332" s="1"/>
  <c r="O9" i="1332"/>
  <c r="M9" i="1332"/>
  <c r="AF8" i="1332"/>
  <c r="Q8" i="1332"/>
  <c r="O8" i="1332"/>
  <c r="AB8" i="1332"/>
  <c r="AF7" i="1332"/>
  <c r="AB7" i="1332"/>
  <c r="Q7" i="1332"/>
  <c r="P7" i="1332"/>
  <c r="AC7" i="1332" s="1"/>
  <c r="AD7" i="1332" s="1"/>
  <c r="O7" i="1332"/>
  <c r="M7" i="1332"/>
  <c r="K7" i="1332"/>
  <c r="AF6" i="1332"/>
  <c r="AB6" i="1332"/>
  <c r="Q6" i="1332"/>
  <c r="P6" i="1332"/>
  <c r="AC6" i="1332" s="1"/>
  <c r="O6" i="1332"/>
  <c r="M6" i="1332"/>
  <c r="K6" i="1332"/>
  <c r="AD21" i="1334" l="1"/>
  <c r="AE18" i="1334" s="1"/>
  <c r="M21" i="1333"/>
  <c r="AD13" i="1333"/>
  <c r="P21" i="1333"/>
  <c r="AB21" i="1333"/>
  <c r="AD9" i="1333"/>
  <c r="AC21" i="1333"/>
  <c r="P19" i="1332"/>
  <c r="AC19" i="1332" s="1"/>
  <c r="AD19" i="1332"/>
  <c r="M18" i="1332"/>
  <c r="AB18" i="1332"/>
  <c r="Q21" i="1332"/>
  <c r="K15" i="1332"/>
  <c r="AD13" i="1332"/>
  <c r="AD18" i="1332"/>
  <c r="AD9" i="1332"/>
  <c r="AD14" i="1332"/>
  <c r="AD16" i="1332"/>
  <c r="AD6" i="1332"/>
  <c r="O17" i="1332"/>
  <c r="K21" i="1332"/>
  <c r="P8" i="1332"/>
  <c r="AC8" i="1332" s="1"/>
  <c r="AD8" i="1332" s="1"/>
  <c r="M10" i="1332"/>
  <c r="AB10" i="1332"/>
  <c r="M15" i="1332"/>
  <c r="AB15" i="1332"/>
  <c r="AD15" i="1332" s="1"/>
  <c r="P17" i="1332"/>
  <c r="AC17" i="1332" s="1"/>
  <c r="O10" i="1332"/>
  <c r="L21" i="1332"/>
  <c r="O21" i="1332" s="1"/>
  <c r="M8" i="1332"/>
  <c r="M17" i="1332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18" i="1331"/>
  <c r="K18" i="1331" s="1"/>
  <c r="L17" i="1331"/>
  <c r="K17" i="1331" s="1"/>
  <c r="L16" i="1331"/>
  <c r="K16" i="1331"/>
  <c r="L15" i="1331"/>
  <c r="O15" i="1331" s="1"/>
  <c r="K15" i="1331"/>
  <c r="L13" i="1331"/>
  <c r="AB13" i="1331" s="1"/>
  <c r="L10" i="1331"/>
  <c r="L9" i="1331"/>
  <c r="K9" i="1331"/>
  <c r="L8" i="1331"/>
  <c r="P8" i="1331" s="1"/>
  <c r="AC8" i="1331" s="1"/>
  <c r="K13" i="1331"/>
  <c r="K12" i="1331"/>
  <c r="K10" i="1331"/>
  <c r="K8" i="1331"/>
  <c r="A75" i="1331"/>
  <c r="A76" i="1331" s="1"/>
  <c r="A77" i="1331" s="1"/>
  <c r="A78" i="1331" s="1"/>
  <c r="A79" i="1331" s="1"/>
  <c r="A80" i="1331" s="1"/>
  <c r="A81" i="1331" s="1"/>
  <c r="A74" i="1331"/>
  <c r="AF60" i="1331"/>
  <c r="AF59" i="1331"/>
  <c r="AF62" i="1331" s="1"/>
  <c r="AA21" i="1331"/>
  <c r="Z21" i="1331"/>
  <c r="Y21" i="1331"/>
  <c r="X21" i="1331"/>
  <c r="W21" i="1331"/>
  <c r="V21" i="1331"/>
  <c r="U21" i="1331"/>
  <c r="T21" i="1331"/>
  <c r="S21" i="1331"/>
  <c r="R21" i="1331"/>
  <c r="N21" i="1331"/>
  <c r="J21" i="1331"/>
  <c r="I21" i="1331"/>
  <c r="AF20" i="1331"/>
  <c r="AB20" i="1331"/>
  <c r="Q20" i="1331"/>
  <c r="P20" i="1331"/>
  <c r="AC20" i="1331" s="1"/>
  <c r="AD20" i="1331" s="1"/>
  <c r="O20" i="1331"/>
  <c r="M20" i="1331"/>
  <c r="K20" i="1331"/>
  <c r="AF19" i="1331"/>
  <c r="AC19" i="1331"/>
  <c r="AD19" i="1331" s="1"/>
  <c r="AB19" i="1331"/>
  <c r="Q19" i="1331"/>
  <c r="P19" i="1331"/>
  <c r="O19" i="1331"/>
  <c r="M19" i="1331"/>
  <c r="K19" i="1331"/>
  <c r="AF18" i="1331"/>
  <c r="Q18" i="1331"/>
  <c r="O18" i="1331"/>
  <c r="AF17" i="1331"/>
  <c r="AB17" i="1331"/>
  <c r="Q17" i="1331"/>
  <c r="P17" i="1331"/>
  <c r="AC17" i="1331" s="1"/>
  <c r="O17" i="1331"/>
  <c r="AF16" i="1331"/>
  <c r="AB16" i="1331"/>
  <c r="Q16" i="1331"/>
  <c r="O16" i="1331"/>
  <c r="M16" i="1331"/>
  <c r="AF15" i="1331"/>
  <c r="Q15" i="1331"/>
  <c r="AF14" i="1331"/>
  <c r="AB14" i="1331"/>
  <c r="Q14" i="1331"/>
  <c r="P14" i="1331"/>
  <c r="AC14" i="1331" s="1"/>
  <c r="O14" i="1331"/>
  <c r="M14" i="1331"/>
  <c r="K14" i="1331"/>
  <c r="AF13" i="1331"/>
  <c r="Q13" i="1331"/>
  <c r="P13" i="1331"/>
  <c r="AC13" i="1331" s="1"/>
  <c r="O13" i="1331"/>
  <c r="AF12" i="1331"/>
  <c r="Q12" i="1331"/>
  <c r="AB12" i="1331"/>
  <c r="AF11" i="1331"/>
  <c r="AB11" i="1331"/>
  <c r="Q11" i="1331"/>
  <c r="P11" i="1331"/>
  <c r="AC11" i="1331" s="1"/>
  <c r="O11" i="1331"/>
  <c r="M11" i="1331"/>
  <c r="K11" i="1331"/>
  <c r="AF10" i="1331"/>
  <c r="AB10" i="1331"/>
  <c r="Q10" i="1331"/>
  <c r="P10" i="1331"/>
  <c r="AC10" i="1331" s="1"/>
  <c r="O10" i="1331"/>
  <c r="M10" i="1331"/>
  <c r="AF9" i="1331"/>
  <c r="Q9" i="1331"/>
  <c r="O9" i="1331"/>
  <c r="AF8" i="1331"/>
  <c r="AB8" i="1331"/>
  <c r="Q8" i="1331"/>
  <c r="M8" i="1331"/>
  <c r="AF7" i="1331"/>
  <c r="AC7" i="1331"/>
  <c r="AD7" i="1331" s="1"/>
  <c r="AB7" i="1331"/>
  <c r="Q7" i="1331"/>
  <c r="P7" i="1331"/>
  <c r="O7" i="1331"/>
  <c r="M7" i="1331"/>
  <c r="K7" i="1331"/>
  <c r="AF6" i="1331"/>
  <c r="AC6" i="1331"/>
  <c r="AB6" i="1331"/>
  <c r="Q6" i="1331"/>
  <c r="P6" i="1331"/>
  <c r="O6" i="1331"/>
  <c r="M6" i="1331"/>
  <c r="K6" i="1331"/>
  <c r="AE15" i="1334" l="1"/>
  <c r="AE13" i="1334"/>
  <c r="AE20" i="1334"/>
  <c r="AE14" i="1334"/>
  <c r="AE16" i="1334"/>
  <c r="AE12" i="1334"/>
  <c r="AE17" i="1334"/>
  <c r="AE6" i="1334"/>
  <c r="AE8" i="1334"/>
  <c r="AE10" i="1334"/>
  <c r="AE19" i="1334"/>
  <c r="AE9" i="1334"/>
  <c r="AE11" i="1334"/>
  <c r="AE7" i="1334"/>
  <c r="AD21" i="1333"/>
  <c r="AE9" i="1333" s="1"/>
  <c r="M21" i="1332"/>
  <c r="AD10" i="1332"/>
  <c r="AD17" i="1332"/>
  <c r="AB21" i="1332"/>
  <c r="AC21" i="1332"/>
  <c r="P21" i="1332"/>
  <c r="M17" i="1331"/>
  <c r="P16" i="1331"/>
  <c r="AC16" i="1331" s="1"/>
  <c r="AD16" i="1331"/>
  <c r="Q21" i="1331"/>
  <c r="L21" i="1331"/>
  <c r="O21" i="1331" s="1"/>
  <c r="M13" i="1331"/>
  <c r="AD11" i="1331"/>
  <c r="AD14" i="1331"/>
  <c r="AD10" i="1331"/>
  <c r="AD13" i="1331"/>
  <c r="AD17" i="1331"/>
  <c r="O12" i="1331"/>
  <c r="AD6" i="1331"/>
  <c r="O8" i="1331"/>
  <c r="AD8" i="1331" s="1"/>
  <c r="P9" i="1331"/>
  <c r="AC9" i="1331" s="1"/>
  <c r="K21" i="1331"/>
  <c r="P12" i="1331"/>
  <c r="AC12" i="1331" s="1"/>
  <c r="P15" i="1331"/>
  <c r="AC15" i="1331" s="1"/>
  <c r="P18" i="1331"/>
  <c r="AC18" i="1331" s="1"/>
  <c r="AD18" i="1331" s="1"/>
  <c r="M9" i="1331"/>
  <c r="AB9" i="1331"/>
  <c r="M12" i="1331"/>
  <c r="M15" i="1331"/>
  <c r="AB15" i="1331"/>
  <c r="M18" i="1331"/>
  <c r="AB18" i="1331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18" i="1330"/>
  <c r="O18" i="1330" s="1"/>
  <c r="L17" i="1330"/>
  <c r="K17" i="1330" s="1"/>
  <c r="L15" i="1330"/>
  <c r="M15" i="1330" s="1"/>
  <c r="L13" i="1330"/>
  <c r="AB13" i="1330" s="1"/>
  <c r="L12" i="1330"/>
  <c r="L10" i="1330"/>
  <c r="O10" i="1330" s="1"/>
  <c r="L9" i="1330"/>
  <c r="O9" i="1330" s="1"/>
  <c r="L8" i="1330"/>
  <c r="K8" i="1330" s="1"/>
  <c r="K18" i="1330"/>
  <c r="K15" i="1330"/>
  <c r="K12" i="1330"/>
  <c r="K10" i="1330"/>
  <c r="A74" i="1330"/>
  <c r="A75" i="1330" s="1"/>
  <c r="A76" i="1330" s="1"/>
  <c r="A77" i="1330" s="1"/>
  <c r="A78" i="1330" s="1"/>
  <c r="A79" i="1330" s="1"/>
  <c r="A80" i="1330" s="1"/>
  <c r="A81" i="1330" s="1"/>
  <c r="AF60" i="1330"/>
  <c r="AF59" i="1330"/>
  <c r="AF62" i="1330" s="1"/>
  <c r="AA21" i="1330"/>
  <c r="Z21" i="1330"/>
  <c r="Y21" i="1330"/>
  <c r="X21" i="1330"/>
  <c r="W21" i="1330"/>
  <c r="V21" i="1330"/>
  <c r="U21" i="1330"/>
  <c r="T21" i="1330"/>
  <c r="S21" i="1330"/>
  <c r="R21" i="1330"/>
  <c r="N21" i="1330"/>
  <c r="J21" i="1330"/>
  <c r="I21" i="1330"/>
  <c r="AF20" i="1330"/>
  <c r="AB20" i="1330"/>
  <c r="Q20" i="1330"/>
  <c r="P20" i="1330"/>
  <c r="AC20" i="1330" s="1"/>
  <c r="AD20" i="1330" s="1"/>
  <c r="O20" i="1330"/>
  <c r="M20" i="1330"/>
  <c r="K20" i="1330"/>
  <c r="AF19" i="1330"/>
  <c r="AB19" i="1330"/>
  <c r="Q19" i="1330"/>
  <c r="P19" i="1330"/>
  <c r="AC19" i="1330" s="1"/>
  <c r="AD19" i="1330" s="1"/>
  <c r="O19" i="1330"/>
  <c r="M19" i="1330"/>
  <c r="K19" i="1330"/>
  <c r="AF18" i="1330"/>
  <c r="Q18" i="1330"/>
  <c r="M18" i="1330"/>
  <c r="AF17" i="1330"/>
  <c r="Q17" i="1330"/>
  <c r="AB17" i="1330"/>
  <c r="AF16" i="1330"/>
  <c r="AB16" i="1330"/>
  <c r="Q16" i="1330"/>
  <c r="P16" i="1330"/>
  <c r="AC16" i="1330" s="1"/>
  <c r="O16" i="1330"/>
  <c r="M16" i="1330"/>
  <c r="K16" i="1330"/>
  <c r="AF15" i="1330"/>
  <c r="AB15" i="1330"/>
  <c r="Q15" i="1330"/>
  <c r="O15" i="1330"/>
  <c r="AF14" i="1330"/>
  <c r="AB14" i="1330"/>
  <c r="Q14" i="1330"/>
  <c r="P14" i="1330"/>
  <c r="AC14" i="1330" s="1"/>
  <c r="O14" i="1330"/>
  <c r="M14" i="1330"/>
  <c r="K14" i="1330"/>
  <c r="AF13" i="1330"/>
  <c r="Q13" i="1330"/>
  <c r="P13" i="1330"/>
  <c r="AC13" i="1330" s="1"/>
  <c r="AF12" i="1330"/>
  <c r="AB12" i="1330"/>
  <c r="Q12" i="1330"/>
  <c r="M12" i="1330"/>
  <c r="O12" i="1330"/>
  <c r="AF11" i="1330"/>
  <c r="AB11" i="1330"/>
  <c r="Q11" i="1330"/>
  <c r="P11" i="1330"/>
  <c r="AC11" i="1330" s="1"/>
  <c r="O11" i="1330"/>
  <c r="M11" i="1330"/>
  <c r="K11" i="1330"/>
  <c r="AF10" i="1330"/>
  <c r="AB10" i="1330"/>
  <c r="Q10" i="1330"/>
  <c r="M10" i="1330"/>
  <c r="P10" i="1330"/>
  <c r="AC10" i="1330" s="1"/>
  <c r="AF9" i="1330"/>
  <c r="Q9" i="1330"/>
  <c r="P9" i="1330"/>
  <c r="AC9" i="1330" s="1"/>
  <c r="AF8" i="1330"/>
  <c r="AB8" i="1330"/>
  <c r="Q8" i="1330"/>
  <c r="O8" i="1330"/>
  <c r="M8" i="1330"/>
  <c r="AF7" i="1330"/>
  <c r="AC7" i="1330"/>
  <c r="AD7" i="1330" s="1"/>
  <c r="AB7" i="1330"/>
  <c r="Q7" i="1330"/>
  <c r="P7" i="1330"/>
  <c r="O7" i="1330"/>
  <c r="M7" i="1330"/>
  <c r="K7" i="1330"/>
  <c r="AF6" i="1330"/>
  <c r="AB6" i="1330"/>
  <c r="Q6" i="1330"/>
  <c r="P6" i="1330"/>
  <c r="O6" i="1330"/>
  <c r="M6" i="1330"/>
  <c r="K6" i="1330"/>
  <c r="AE17" i="1333" l="1"/>
  <c r="AE19" i="1333"/>
  <c r="AE6" i="1333"/>
  <c r="AE15" i="1333"/>
  <c r="AE20" i="1333"/>
  <c r="AE10" i="1333"/>
  <c r="AE18" i="1333"/>
  <c r="AE16" i="1333"/>
  <c r="AE12" i="1333"/>
  <c r="AE13" i="1333"/>
  <c r="AE11" i="1333"/>
  <c r="AE7" i="1333"/>
  <c r="AE14" i="1333"/>
  <c r="AE8" i="1333"/>
  <c r="AD21" i="1332"/>
  <c r="AE16" i="1332" s="1"/>
  <c r="M21" i="1331"/>
  <c r="AD15" i="1331"/>
  <c r="AB21" i="1331"/>
  <c r="AD12" i="1331"/>
  <c r="AD9" i="1331"/>
  <c r="P21" i="1331"/>
  <c r="AC21" i="1331"/>
  <c r="AB18" i="1330"/>
  <c r="AB21" i="1330" s="1"/>
  <c r="Q21" i="1330"/>
  <c r="M13" i="1330"/>
  <c r="K13" i="1330"/>
  <c r="O13" i="1330"/>
  <c r="AD13" i="1330"/>
  <c r="K9" i="1330"/>
  <c r="M9" i="1330"/>
  <c r="AB9" i="1330"/>
  <c r="P8" i="1330"/>
  <c r="AC8" i="1330" s="1"/>
  <c r="AD14" i="1330"/>
  <c r="AD9" i="1330"/>
  <c r="AD10" i="1330"/>
  <c r="AD8" i="1330"/>
  <c r="AD11" i="1330"/>
  <c r="AD16" i="1330"/>
  <c r="AC6" i="1330"/>
  <c r="P12" i="1330"/>
  <c r="AC12" i="1330" s="1"/>
  <c r="AD12" i="1330" s="1"/>
  <c r="P15" i="1330"/>
  <c r="AC15" i="1330" s="1"/>
  <c r="AD15" i="1330" s="1"/>
  <c r="O17" i="1330"/>
  <c r="P18" i="1330"/>
  <c r="AC18" i="1330" s="1"/>
  <c r="AD18" i="1330" s="1"/>
  <c r="P17" i="1330"/>
  <c r="AC17" i="1330" s="1"/>
  <c r="AD17" i="1330" s="1"/>
  <c r="L21" i="1330"/>
  <c r="O21" i="1330" s="1"/>
  <c r="M17" i="1330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L18" i="1329"/>
  <c r="L17" i="1329"/>
  <c r="L15" i="1329"/>
  <c r="L13" i="1329"/>
  <c r="K13" i="1329"/>
  <c r="L12" i="1329"/>
  <c r="L10" i="1329"/>
  <c r="L8" i="1329"/>
  <c r="K20" i="1329"/>
  <c r="K18" i="1329"/>
  <c r="K17" i="1329"/>
  <c r="K15" i="1329"/>
  <c r="K14" i="1329"/>
  <c r="K12" i="1329"/>
  <c r="K10" i="1329"/>
  <c r="K9" i="1329"/>
  <c r="K8" i="1329"/>
  <c r="AE7" i="1332" l="1"/>
  <c r="AE19" i="1332"/>
  <c r="AE6" i="1332"/>
  <c r="AE18" i="1332"/>
  <c r="AE20" i="1332"/>
  <c r="AE15" i="1332"/>
  <c r="AE8" i="1332"/>
  <c r="AE10" i="1332"/>
  <c r="AE9" i="1332"/>
  <c r="AE11" i="1332"/>
  <c r="AE13" i="1332"/>
  <c r="AE12" i="1332"/>
  <c r="AE14" i="1332"/>
  <c r="AE17" i="1332"/>
  <c r="AD21" i="1331"/>
  <c r="AE16" i="1331" s="1"/>
  <c r="K21" i="1330"/>
  <c r="M21" i="1330"/>
  <c r="AC21" i="1330"/>
  <c r="AD6" i="1330"/>
  <c r="AD21" i="1330" s="1"/>
  <c r="P21" i="1330"/>
  <c r="M20" i="1329"/>
  <c r="P20" i="1329"/>
  <c r="AC20" i="1329" s="1"/>
  <c r="P18" i="1329"/>
  <c r="AC18" i="1329" s="1"/>
  <c r="O15" i="1329"/>
  <c r="M12" i="1329"/>
  <c r="AB9" i="1329"/>
  <c r="AB8" i="1329"/>
  <c r="K19" i="1329"/>
  <c r="A74" i="1329"/>
  <c r="A75" i="1329" s="1"/>
  <c r="A76" i="1329" s="1"/>
  <c r="A77" i="1329" s="1"/>
  <c r="A78" i="1329" s="1"/>
  <c r="A79" i="1329" s="1"/>
  <c r="A80" i="1329" s="1"/>
  <c r="A81" i="1329" s="1"/>
  <c r="AF62" i="1329"/>
  <c r="AF60" i="1329"/>
  <c r="AF59" i="1329"/>
  <c r="AA21" i="1329"/>
  <c r="Z21" i="1329"/>
  <c r="Y21" i="1329"/>
  <c r="X21" i="1329"/>
  <c r="W21" i="1329"/>
  <c r="V21" i="1329"/>
  <c r="U21" i="1329"/>
  <c r="T21" i="1329"/>
  <c r="S21" i="1329"/>
  <c r="R21" i="1329"/>
  <c r="N21" i="1329"/>
  <c r="J21" i="1329"/>
  <c r="I21" i="1329"/>
  <c r="AF20" i="1329"/>
  <c r="AB20" i="1329"/>
  <c r="Q20" i="1329"/>
  <c r="AF19" i="1329"/>
  <c r="AB19" i="1329"/>
  <c r="Q19" i="1329"/>
  <c r="O19" i="1329"/>
  <c r="M19" i="1329"/>
  <c r="P19" i="1329"/>
  <c r="AC19" i="1329" s="1"/>
  <c r="AF18" i="1329"/>
  <c r="Q18" i="1329"/>
  <c r="M18" i="1329"/>
  <c r="AF17" i="1329"/>
  <c r="Q17" i="1329"/>
  <c r="P17" i="1329"/>
  <c r="AC17" i="1329" s="1"/>
  <c r="AF16" i="1329"/>
  <c r="AB16" i="1329"/>
  <c r="Q16" i="1329"/>
  <c r="P16" i="1329"/>
  <c r="AC16" i="1329" s="1"/>
  <c r="O16" i="1329"/>
  <c r="M16" i="1329"/>
  <c r="K16" i="1329"/>
  <c r="AF15" i="1329"/>
  <c r="AB15" i="1329"/>
  <c r="Q15" i="1329"/>
  <c r="P15" i="1329" s="1"/>
  <c r="AC15" i="1329" s="1"/>
  <c r="AF14" i="1329"/>
  <c r="AB14" i="1329"/>
  <c r="Q14" i="1329"/>
  <c r="P14" i="1329" s="1"/>
  <c r="AC14" i="1329" s="1"/>
  <c r="O14" i="1329"/>
  <c r="M14" i="1329"/>
  <c r="AF13" i="1329"/>
  <c r="AB13" i="1329"/>
  <c r="Q13" i="1329"/>
  <c r="M13" i="1329"/>
  <c r="AF12" i="1329"/>
  <c r="AB12" i="1329"/>
  <c r="Q12" i="1329"/>
  <c r="P12" i="1329" s="1"/>
  <c r="AC12" i="1329" s="1"/>
  <c r="O12" i="1329"/>
  <c r="AF11" i="1329"/>
  <c r="AC11" i="1329"/>
  <c r="AB11" i="1329"/>
  <c r="Q11" i="1329"/>
  <c r="P11" i="1329"/>
  <c r="O11" i="1329"/>
  <c r="M11" i="1329"/>
  <c r="K11" i="1329"/>
  <c r="AF10" i="1329"/>
  <c r="Q10" i="1329"/>
  <c r="P10" i="1329" s="1"/>
  <c r="AC10" i="1329" s="1"/>
  <c r="AF9" i="1329"/>
  <c r="Q9" i="1329"/>
  <c r="P9" i="1329" s="1"/>
  <c r="AC9" i="1329" s="1"/>
  <c r="O9" i="1329"/>
  <c r="M9" i="1329"/>
  <c r="AF8" i="1329"/>
  <c r="Q8" i="1329"/>
  <c r="AF7" i="1329"/>
  <c r="AB7" i="1329"/>
  <c r="Q7" i="1329"/>
  <c r="P7" i="1329"/>
  <c r="AC7" i="1329" s="1"/>
  <c r="AD7" i="1329" s="1"/>
  <c r="O7" i="1329"/>
  <c r="M7" i="1329"/>
  <c r="K7" i="1329"/>
  <c r="AF6" i="1329"/>
  <c r="AC6" i="1329"/>
  <c r="AB6" i="1329"/>
  <c r="Q6" i="1329"/>
  <c r="P6" i="1329"/>
  <c r="O6" i="1329"/>
  <c r="M6" i="1329"/>
  <c r="K6" i="1329"/>
  <c r="AE19" i="1331" l="1"/>
  <c r="AE17" i="1331"/>
  <c r="AE9" i="1331"/>
  <c r="AE18" i="1331"/>
  <c r="AE20" i="1331"/>
  <c r="AE6" i="1331"/>
  <c r="AE14" i="1331"/>
  <c r="AE10" i="1331"/>
  <c r="AE12" i="1331"/>
  <c r="AE8" i="1331"/>
  <c r="AE7" i="1331"/>
  <c r="AE13" i="1331"/>
  <c r="AE15" i="1331"/>
  <c r="AE11" i="1331"/>
  <c r="AE19" i="1330"/>
  <c r="AE16" i="1330"/>
  <c r="AE8" i="1330"/>
  <c r="AE17" i="1330"/>
  <c r="AE14" i="1330"/>
  <c r="AE11" i="1330"/>
  <c r="AE6" i="1330"/>
  <c r="AE20" i="1330"/>
  <c r="AE18" i="1330"/>
  <c r="AE15" i="1330"/>
  <c r="AE12" i="1330"/>
  <c r="AE9" i="1330"/>
  <c r="AE13" i="1330"/>
  <c r="AE10" i="1330"/>
  <c r="AE7" i="1330"/>
  <c r="AD11" i="1329"/>
  <c r="O20" i="1329"/>
  <c r="AD20" i="1329" s="1"/>
  <c r="D17" i="16" s="1"/>
  <c r="AG17" i="16" s="1"/>
  <c r="AB18" i="1329"/>
  <c r="L21" i="1329"/>
  <c r="O21" i="1329" s="1"/>
  <c r="M15" i="1329"/>
  <c r="P13" i="1329"/>
  <c r="AC13" i="1329" s="1"/>
  <c r="Q21" i="1329"/>
  <c r="AD12" i="1329"/>
  <c r="M8" i="1329"/>
  <c r="AD15" i="1329"/>
  <c r="AD9" i="1329"/>
  <c r="AD14" i="1329"/>
  <c r="AD16" i="1329"/>
  <c r="AD19" i="1329"/>
  <c r="D16" i="16" s="1"/>
  <c r="AG16" i="16" s="1"/>
  <c r="AD6" i="1329"/>
  <c r="O8" i="1329"/>
  <c r="M10" i="1329"/>
  <c r="AB10" i="1329"/>
  <c r="O13" i="1329"/>
  <c r="M17" i="1329"/>
  <c r="AB17" i="1329"/>
  <c r="O18" i="1329"/>
  <c r="P8" i="1329"/>
  <c r="AC8" i="1329" s="1"/>
  <c r="O10" i="1329"/>
  <c r="K21" i="1329"/>
  <c r="O17" i="1329"/>
  <c r="AD18" i="1329" l="1"/>
  <c r="AD13" i="1329"/>
  <c r="AD8" i="1329"/>
  <c r="AD10" i="1329"/>
  <c r="AD17" i="1329"/>
  <c r="M21" i="1329"/>
  <c r="AC21" i="1329"/>
  <c r="AB21" i="1329"/>
  <c r="P21" i="1329"/>
  <c r="AD21" i="1329" l="1"/>
  <c r="AE18" i="1329" l="1"/>
  <c r="D18" i="16"/>
  <c r="AG18" i="16" s="1"/>
  <c r="AE15" i="1329"/>
  <c r="AE7" i="1329"/>
  <c r="AE10" i="1329"/>
  <c r="AE9" i="1329"/>
  <c r="AE19" i="1329"/>
  <c r="AE14" i="1329"/>
  <c r="AE8" i="1329"/>
  <c r="AE12" i="1329"/>
  <c r="AE16" i="1329"/>
  <c r="AE6" i="1329"/>
  <c r="AE13" i="1329"/>
  <c r="AE17" i="1329"/>
  <c r="AE20" i="1329"/>
  <c r="AE11" i="1329"/>
</calcChain>
</file>

<file path=xl/sharedStrings.xml><?xml version="1.0" encoding="utf-8"?>
<sst xmlns="http://schemas.openxmlformats.org/spreadsheetml/2006/main" count="4516" uniqueCount="505">
  <si>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</si>
  <si>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</si>
  <si>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</si>
  <si>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</si>
  <si>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</si>
  <si>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</si>
  <si>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</si>
  <si>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</si>
  <si>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</si>
  <si>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</si>
  <si>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</si>
  <si>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</si>
  <si>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</si>
  <si>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</si>
  <si>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</si>
  <si>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</si>
  <si>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</si>
  <si>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</si>
  <si>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</si>
  <si>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</si>
  <si>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</si>
  <si>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</si>
  <si>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</si>
  <si>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</si>
  <si>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</si>
  <si>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</si>
  <si>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</si>
  <si>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</si>
  <si>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</si>
  <si>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</si>
  <si>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</si>
  <si>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</si>
  <si>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</si>
  <si>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</si>
  <si>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</si>
  <si>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</si>
  <si>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</si>
  <si>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</si>
  <si>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</si>
  <si>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</si>
  <si>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</si>
  <si>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</si>
  <si>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</si>
  <si>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</si>
  <si>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</si>
  <si>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</si>
  <si>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</si>
  <si>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</si>
  <si>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</si>
  <si>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</si>
  <si>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</si>
  <si>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</si>
  <si>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</si>
  <si>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</si>
  <si>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</si>
  <si>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</si>
  <si>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</si>
  <si>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</si>
  <si>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</si>
  <si>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</si>
  <si>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</si>
  <si>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</si>
  <si>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</si>
  <si>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</si>
  <si>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</si>
  <si>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</si>
  <si>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</si>
  <si>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</si>
  <si>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</si>
  <si>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</si>
  <si>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</si>
  <si>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</si>
  <si>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</si>
  <si>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</si>
  <si>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</si>
  <si>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</si>
  <si>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</si>
  <si>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</si>
  <si>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</si>
  <si>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</si>
  <si>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</si>
  <si>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</si>
  <si>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</si>
  <si>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</si>
  <si>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</si>
  <si>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</si>
  <si>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</si>
  <si>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</si>
  <si>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</si>
  <si>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</si>
  <si>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</si>
  <si>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</si>
  <si>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</si>
  <si>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</si>
  <si>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</si>
  <si>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</si>
  <si>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</si>
  <si>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</si>
  <si>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</si>
  <si>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</si>
  <si>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</si>
  <si>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</si>
  <si>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</si>
  <si>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</si>
  <si>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</si>
  <si>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</si>
  <si>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</si>
  <si>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</si>
  <si>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</si>
  <si>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</si>
  <si>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</si>
  <si>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</si>
  <si>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</si>
  <si>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</si>
  <si>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</si>
  <si>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</si>
  <si>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</si>
  <si>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</si>
  <si>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SST</t>
    <phoneticPr fontId="2" type="noConversion"/>
  </si>
  <si>
    <t>발주분양산</t>
    <phoneticPr fontId="2" type="noConversion"/>
  </si>
  <si>
    <t>STOPPER</t>
    <phoneticPr fontId="2" type="noConversion"/>
  </si>
  <si>
    <t>SLIDER</t>
    <phoneticPr fontId="2" type="noConversion"/>
  </si>
  <si>
    <t>SGF2030</t>
    <phoneticPr fontId="2" type="noConversion"/>
  </si>
  <si>
    <t>5</t>
    <phoneticPr fontId="2" type="noConversion"/>
  </si>
  <si>
    <t>수리후양산</t>
    <phoneticPr fontId="2" type="noConversion"/>
  </si>
  <si>
    <t>8</t>
    <phoneticPr fontId="2" type="noConversion"/>
  </si>
  <si>
    <t>HICON</t>
    <phoneticPr fontId="2" type="noConversion"/>
  </si>
  <si>
    <t>SGF2033</t>
    <phoneticPr fontId="2" type="noConversion"/>
  </si>
  <si>
    <t>COVER</t>
    <phoneticPr fontId="2" type="noConversion"/>
  </si>
  <si>
    <t>KR6182-B624CB</t>
    <phoneticPr fontId="2" type="noConversion"/>
  </si>
  <si>
    <t>4</t>
    <phoneticPr fontId="2" type="noConversion"/>
  </si>
  <si>
    <t>LEAD GUIDE</t>
    <phoneticPr fontId="2" type="noConversion"/>
  </si>
  <si>
    <t>AMB0114H-JAA-R1</t>
    <phoneticPr fontId="2" type="noConversion"/>
  </si>
  <si>
    <t>BODY</t>
    <phoneticPr fontId="2" type="noConversion"/>
  </si>
  <si>
    <t>ADAPTER</t>
    <phoneticPr fontId="2" type="noConversion"/>
  </si>
  <si>
    <t>미성형</t>
    <phoneticPr fontId="2" type="noConversion"/>
  </si>
  <si>
    <t>SF2255 I/V</t>
    <phoneticPr fontId="2" type="noConversion"/>
  </si>
  <si>
    <t>14</t>
    <phoneticPr fontId="2" type="noConversion"/>
  </si>
  <si>
    <t>SGF2050</t>
    <phoneticPr fontId="2" type="noConversion"/>
  </si>
  <si>
    <t>SF2255</t>
    <phoneticPr fontId="2" type="noConversion"/>
  </si>
  <si>
    <t>KR6170-GL496QA</t>
    <phoneticPr fontId="2" type="noConversion"/>
  </si>
  <si>
    <t>12</t>
    <phoneticPr fontId="2" type="noConversion"/>
  </si>
  <si>
    <t>HSCB65-M01A1(B)</t>
    <phoneticPr fontId="2" type="noConversion"/>
  </si>
  <si>
    <t>AMB0403A-JAA-R1</t>
    <phoneticPr fontId="2" type="noConversion"/>
  </si>
  <si>
    <t>SGF2041</t>
    <phoneticPr fontId="2" type="noConversion"/>
  </si>
  <si>
    <t>AMB0463A-KAA-R1</t>
    <phoneticPr fontId="2" type="noConversion"/>
  </si>
  <si>
    <t>세척후양산</t>
    <phoneticPr fontId="2" type="noConversion"/>
  </si>
  <si>
    <t>HSCB65-M04A1(B)</t>
    <phoneticPr fontId="2" type="noConversion"/>
  </si>
  <si>
    <t>HSC65-M053A1(B)</t>
    <phoneticPr fontId="2" type="noConversion"/>
  </si>
  <si>
    <t>SGF2030 N/P</t>
    <phoneticPr fontId="2" type="noConversion"/>
  </si>
  <si>
    <t>HSCB65-M05A1(B)</t>
    <phoneticPr fontId="2" type="noConversion"/>
  </si>
  <si>
    <t>HSC65-M053A1(A)</t>
    <phoneticPr fontId="2" type="noConversion"/>
  </si>
  <si>
    <t>HDB08N-S2</t>
    <phoneticPr fontId="2" type="noConversion"/>
  </si>
  <si>
    <t>BURR수리후양산</t>
    <phoneticPr fontId="2" type="noConversion"/>
  </si>
  <si>
    <t>72P</t>
    <phoneticPr fontId="2" type="noConversion"/>
  </si>
  <si>
    <t>BOTTOM</t>
    <phoneticPr fontId="2" type="noConversion"/>
  </si>
  <si>
    <t>HB1208-10M2</t>
    <phoneticPr fontId="2" type="noConversion"/>
  </si>
  <si>
    <t>KR6156CA841YA</t>
    <phoneticPr fontId="2" type="noConversion"/>
  </si>
  <si>
    <t>KR6182-D624PA</t>
    <phoneticPr fontId="2" type="noConversion"/>
  </si>
  <si>
    <r>
      <t>2018년 12월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</si>
  <si>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12월 호기별 가동현황</t>
    <phoneticPr fontId="2" type="noConversion"/>
  </si>
  <si>
    <t>전일 ISSUE 사항(03일)</t>
    <phoneticPr fontId="2" type="noConversion"/>
  </si>
  <si>
    <t>AMB0201A-JAA-R3</t>
    <phoneticPr fontId="2" type="noConversion"/>
  </si>
  <si>
    <t>MCS</t>
    <phoneticPr fontId="2" type="noConversion"/>
  </si>
  <si>
    <t>14</t>
    <phoneticPr fontId="2" type="noConversion"/>
  </si>
  <si>
    <t>코아파손정지</t>
    <phoneticPr fontId="2" type="noConversion"/>
  </si>
  <si>
    <t>당일 진행 사항(04일)</t>
    <phoneticPr fontId="2" type="noConversion"/>
  </si>
  <si>
    <t>AMB0201A-JAA-R3</t>
    <phoneticPr fontId="2" type="noConversion"/>
  </si>
  <si>
    <t>AMB0129A-KAA-R4</t>
    <phoneticPr fontId="2" type="noConversion"/>
  </si>
  <si>
    <t>SAMPLE 진행 사항(03일)</t>
    <phoneticPr fontId="2" type="noConversion"/>
  </si>
  <si>
    <t>수정</t>
    <phoneticPr fontId="2" type="noConversion"/>
  </si>
  <si>
    <t>SGF2030</t>
    <phoneticPr fontId="2" type="noConversion"/>
  </si>
  <si>
    <t>AMB1927A-KAA-R1</t>
    <phoneticPr fontId="2" type="noConversion"/>
  </si>
  <si>
    <t>ACTUATOR</t>
    <phoneticPr fontId="2" type="noConversion"/>
  </si>
  <si>
    <t>SGF2041</t>
    <phoneticPr fontId="2" type="noConversion"/>
  </si>
  <si>
    <t>신작</t>
    <phoneticPr fontId="2" type="noConversion"/>
  </si>
  <si>
    <t>AMB0168A-KAA-R1</t>
    <phoneticPr fontId="2" type="noConversion"/>
  </si>
  <si>
    <t>BASE</t>
    <phoneticPr fontId="2" type="noConversion"/>
  </si>
  <si>
    <t>SGP2030R</t>
    <phoneticPr fontId="2" type="noConversion"/>
  </si>
  <si>
    <t>상측박힘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</si>
  <si>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</si>
  <si>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</si>
  <si>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2018년 12월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</si>
  <si>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전일 ISSUE 사항(04일)</t>
    <phoneticPr fontId="2" type="noConversion"/>
  </si>
  <si>
    <t>13</t>
    <phoneticPr fontId="2" type="noConversion"/>
  </si>
  <si>
    <t>치수수정</t>
    <phoneticPr fontId="2" type="noConversion"/>
  </si>
  <si>
    <t>당일 진행 사항(05일)</t>
    <phoneticPr fontId="2" type="noConversion"/>
  </si>
  <si>
    <t>LID-0089</t>
    <phoneticPr fontId="2" type="noConversion"/>
  </si>
  <si>
    <t>RJR</t>
    <phoneticPr fontId="2" type="noConversion"/>
  </si>
  <si>
    <t>10</t>
    <phoneticPr fontId="2" type="noConversion"/>
  </si>
  <si>
    <t>AMB0222A-KAA-R1</t>
    <phoneticPr fontId="2" type="noConversion"/>
  </si>
  <si>
    <t>11</t>
    <phoneticPr fontId="2" type="noConversion"/>
  </si>
  <si>
    <t>SAMPLE 진행 사항(04일)</t>
    <phoneticPr fontId="2" type="noConversion"/>
  </si>
  <si>
    <t>SGP2030R,SGF2041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</si>
  <si>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</si>
  <si>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</si>
  <si>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2018년 12월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</si>
  <si>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LID</t>
    <phoneticPr fontId="2" type="noConversion"/>
  </si>
  <si>
    <t>S475 N/P</t>
    <phoneticPr fontId="2" type="noConversion"/>
  </si>
  <si>
    <t>7301</t>
    <phoneticPr fontId="2" type="noConversion"/>
  </si>
  <si>
    <t>전일 ISSUE 사항(05일)</t>
    <phoneticPr fontId="2" type="noConversion"/>
  </si>
  <si>
    <t>발주분양산-&gt;뜯김수리</t>
    <phoneticPr fontId="2" type="noConversion"/>
  </si>
  <si>
    <t>당일 진행 사항(06일)</t>
    <phoneticPr fontId="2" type="noConversion"/>
  </si>
  <si>
    <t>BC1-LG411A</t>
    <phoneticPr fontId="2" type="noConversion"/>
  </si>
  <si>
    <t>OKINS</t>
    <phoneticPr fontId="2" type="noConversion"/>
  </si>
  <si>
    <t>HSF05-M04B1</t>
    <phoneticPr fontId="2" type="noConversion"/>
  </si>
  <si>
    <t>SAMPLE 진행 사항(05일)</t>
    <phoneticPr fontId="2" type="noConversion"/>
  </si>
  <si>
    <t>BODY,BOTTOM</t>
    <phoneticPr fontId="2" type="noConversion"/>
  </si>
  <si>
    <t>프라임텍</t>
    <phoneticPr fontId="2" type="noConversion"/>
  </si>
  <si>
    <t>각 50EA</t>
    <phoneticPr fontId="2" type="noConversion"/>
  </si>
  <si>
    <t>BP22-127A1</t>
    <phoneticPr fontId="2" type="noConversion"/>
  </si>
  <si>
    <t>HEARD</t>
    <phoneticPr fontId="2" type="noConversion"/>
  </si>
  <si>
    <t>E130i</t>
    <phoneticPr fontId="2" type="noConversion"/>
  </si>
  <si>
    <t>BURR</t>
    <phoneticPr fontId="2" type="noConversion"/>
  </si>
  <si>
    <t>AMB0237A-KAA-R1</t>
    <phoneticPr fontId="2" type="noConversion"/>
  </si>
  <si>
    <t>SGP2030R,SGF2041,LG35</t>
    <phoneticPr fontId="2" type="noConversion"/>
  </si>
  <si>
    <t>LG35진행</t>
    <phoneticPr fontId="2" type="noConversion"/>
  </si>
  <si>
    <t>AMB0349A-KAA-R1</t>
    <phoneticPr fontId="2" type="noConversion"/>
  </si>
  <si>
    <t>JD4901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</si>
  <si>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</si>
  <si>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</si>
  <si>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2018년 12월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</si>
  <si>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SGP2021R</t>
    <phoneticPr fontId="2" type="noConversion"/>
  </si>
  <si>
    <t>전일 ISSUE 사항(06일)</t>
    <phoneticPr fontId="2" type="noConversion"/>
  </si>
  <si>
    <t>당일 진행 사항(07일)</t>
    <phoneticPr fontId="2" type="noConversion"/>
  </si>
  <si>
    <t>AAM1209A-KAA-R2</t>
    <phoneticPr fontId="2" type="noConversion"/>
  </si>
  <si>
    <t>AMB07J1B-KAA-R1</t>
    <phoneticPr fontId="2" type="noConversion"/>
  </si>
  <si>
    <t>IC GUIDE</t>
    <phoneticPr fontId="2" type="noConversion"/>
  </si>
  <si>
    <t>6</t>
    <phoneticPr fontId="2" type="noConversion"/>
  </si>
  <si>
    <t>24P(4POST)</t>
    <phoneticPr fontId="2" type="noConversion"/>
  </si>
  <si>
    <t>7</t>
    <phoneticPr fontId="2" type="noConversion"/>
  </si>
  <si>
    <t>SAMPLE 진행 사항(06일)</t>
    <phoneticPr fontId="2" type="noConversion"/>
  </si>
  <si>
    <t>AMB07T4A-KAA-R1</t>
    <phoneticPr fontId="2" type="noConversion"/>
  </si>
  <si>
    <t>칼퀴,밀핀 3회진행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</si>
  <si>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</si>
  <si>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</si>
  <si>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2018년 12월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</si>
  <si>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AAM1209A/B</t>
    <phoneticPr fontId="2" type="noConversion"/>
  </si>
  <si>
    <t>2*1</t>
    <phoneticPr fontId="2" type="noConversion"/>
  </si>
  <si>
    <t>24P</t>
    <phoneticPr fontId="2" type="noConversion"/>
  </si>
  <si>
    <t>AMB0403A-JAA-R4</t>
    <phoneticPr fontId="2" type="noConversion"/>
  </si>
  <si>
    <t>전일 ISSUE 사항(07일)</t>
    <phoneticPr fontId="2" type="noConversion"/>
  </si>
  <si>
    <t>발주분양산-&gt;치수확인</t>
    <phoneticPr fontId="2" type="noConversion"/>
  </si>
  <si>
    <t>당일 진행 사항(10일)</t>
    <phoneticPr fontId="2" type="noConversion"/>
  </si>
  <si>
    <t>HSCB65-M04A1</t>
    <phoneticPr fontId="2" type="noConversion"/>
  </si>
  <si>
    <t>승인후양산</t>
    <phoneticPr fontId="2" type="noConversion"/>
  </si>
  <si>
    <t>KR6170BD740UB</t>
    <phoneticPr fontId="2" type="noConversion"/>
  </si>
  <si>
    <t>HSF05-M01B1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</si>
  <si>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</si>
  <si>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</si>
  <si>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</si>
  <si>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2018년 12월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</si>
  <si>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LATCH</t>
    <phoneticPr fontId="2" type="noConversion"/>
  </si>
  <si>
    <t>HRGS-DS-02/05/06A</t>
    <phoneticPr fontId="2" type="noConversion"/>
  </si>
  <si>
    <t>3*1</t>
    <phoneticPr fontId="2" type="noConversion"/>
  </si>
  <si>
    <t>전일 ISSUE 사항(10일)</t>
    <phoneticPr fontId="2" type="noConversion"/>
  </si>
  <si>
    <t>HRGS-DS-02A/05/06A</t>
    <phoneticPr fontId="2" type="noConversion"/>
  </si>
  <si>
    <t>발주분양산-&gt;하측뜯김정지</t>
    <phoneticPr fontId="2" type="noConversion"/>
  </si>
  <si>
    <t>발주분양산-&gt;코아파손정지</t>
    <phoneticPr fontId="2" type="noConversion"/>
  </si>
  <si>
    <t>발주분양산-&gt;형상이상정지</t>
    <phoneticPr fontId="2" type="noConversion"/>
  </si>
  <si>
    <t>발주분양산-&gt;노즐이상정지</t>
    <phoneticPr fontId="2" type="noConversion"/>
  </si>
  <si>
    <t>15</t>
    <phoneticPr fontId="2" type="noConversion"/>
  </si>
  <si>
    <t>당일 진행 사항(11일)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</si>
  <si>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</si>
  <si>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</si>
  <si>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</si>
  <si>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2018년 12월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</si>
  <si>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전일 ISSUE 사항(11일)</t>
    <phoneticPr fontId="2" type="noConversion"/>
  </si>
  <si>
    <t>당일 진행 사항(12일)</t>
    <phoneticPr fontId="2" type="noConversion"/>
  </si>
  <si>
    <t>SHAFT</t>
    <phoneticPr fontId="2" type="noConversion"/>
  </si>
  <si>
    <t>KR6197-06KA</t>
    <phoneticPr fontId="2" type="noConversion"/>
  </si>
  <si>
    <t>KR6170AF1440UA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</si>
  <si>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</si>
  <si>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</si>
  <si>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</si>
  <si>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2018년 12월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</si>
  <si>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JCL3030</t>
    <phoneticPr fontId="2" type="noConversion"/>
  </si>
  <si>
    <t>전일 ISSUE 사항(12일)</t>
    <phoneticPr fontId="2" type="noConversion"/>
  </si>
  <si>
    <t>뜯김-&gt;코아파손정지</t>
    <phoneticPr fontId="2" type="noConversion"/>
  </si>
  <si>
    <t>발주분양산-&gt;발주분양산</t>
    <phoneticPr fontId="2" type="noConversion"/>
  </si>
  <si>
    <t>수리후양산-&gt;형상이상정지</t>
    <phoneticPr fontId="2" type="noConversion"/>
  </si>
  <si>
    <t>당일 진행 사항(13일)</t>
    <phoneticPr fontId="2" type="noConversion"/>
  </si>
  <si>
    <t>HSCB65-M01B1</t>
    <phoneticPr fontId="2" type="noConversion"/>
  </si>
  <si>
    <t>HEADER</t>
    <phoneticPr fontId="2" type="noConversion"/>
  </si>
  <si>
    <t>SAMPLE 진행 사항(12일)</t>
    <phoneticPr fontId="2" type="noConversion"/>
  </si>
  <si>
    <t>AMB0150A-KAA-R1</t>
    <phoneticPr fontId="2" type="noConversion"/>
  </si>
  <si>
    <t>요청</t>
    <phoneticPr fontId="2" type="noConversion"/>
  </si>
  <si>
    <t>단차,가스</t>
    <phoneticPr fontId="2" type="noConversion"/>
  </si>
  <si>
    <t>KR6422-GB496QA</t>
    <phoneticPr fontId="2" type="noConversion"/>
  </si>
  <si>
    <t>뜯김</t>
    <phoneticPr fontId="2" type="noConversion"/>
  </si>
  <si>
    <t>AMB07M4A-KAA-R1</t>
    <phoneticPr fontId="2" type="noConversion"/>
  </si>
  <si>
    <t>F/A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</si>
  <si>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</si>
  <si>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</si>
  <si>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2018년 12월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</si>
  <si>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전일 ISSUE 사항(13일)</t>
    <phoneticPr fontId="2" type="noConversion"/>
  </si>
  <si>
    <t>수리후양산-&gt;코아파손2회수리</t>
    <phoneticPr fontId="2" type="noConversion"/>
  </si>
  <si>
    <t>세척후양산-&gt;코아파손정지</t>
    <phoneticPr fontId="2" type="noConversion"/>
  </si>
  <si>
    <t>당일 진행 사항(14일)</t>
    <phoneticPr fontId="2" type="noConversion"/>
  </si>
  <si>
    <t>BC1-A411A</t>
    <phoneticPr fontId="2" type="noConversion"/>
  </si>
  <si>
    <t>SAMPLE 진행 사항(13일)</t>
    <phoneticPr fontId="2" type="noConversion"/>
  </si>
  <si>
    <t>AMB0443A-KAA-R1</t>
    <phoneticPr fontId="2" type="noConversion"/>
  </si>
  <si>
    <t>7301(미국산,일본산)</t>
    <phoneticPr fontId="2" type="noConversion"/>
  </si>
  <si>
    <t>각15EA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</si>
  <si>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</si>
  <si>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</si>
  <si>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2018년 12월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</si>
  <si>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AMB1914B-JAA-R1</t>
    <phoneticPr fontId="2" type="noConversion"/>
  </si>
  <si>
    <t>전일 ISSUE 사항(14일)</t>
    <phoneticPr fontId="2" type="noConversion"/>
  </si>
  <si>
    <t>수리후양산-&gt;BURR수리후양산</t>
    <phoneticPr fontId="2" type="noConversion"/>
  </si>
  <si>
    <t>AMB1914B-KAA-R1</t>
    <phoneticPr fontId="2" type="noConversion"/>
  </si>
  <si>
    <t>HSCB65-M01A1</t>
    <phoneticPr fontId="2" type="noConversion"/>
  </si>
  <si>
    <t>수리후양산-&gt;코아파손정지</t>
    <phoneticPr fontId="2" type="noConversion"/>
  </si>
  <si>
    <t>당일 진행 사항(15일)</t>
    <phoneticPr fontId="2" type="noConversion"/>
  </si>
  <si>
    <t>발주분양산-&gt;밀핀파손</t>
    <phoneticPr fontId="2" type="noConversion"/>
  </si>
  <si>
    <t>AMB0125A-KAA-R1</t>
    <phoneticPr fontId="2" type="noConversion"/>
  </si>
  <si>
    <t>9</t>
    <phoneticPr fontId="2" type="noConversion"/>
  </si>
  <si>
    <t>288E84M-B102C-2</t>
    <phoneticPr fontId="2" type="noConversion"/>
  </si>
  <si>
    <t>SAMPLE 진행 사항(14일)</t>
    <phoneticPr fontId="2" type="noConversion"/>
  </si>
  <si>
    <t>AMM0890A-KAA-R1</t>
    <phoneticPr fontId="2" type="noConversion"/>
  </si>
  <si>
    <t>7301(미국산)</t>
    <phoneticPr fontId="2" type="noConversion"/>
  </si>
  <si>
    <t>미성형2회진행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</si>
  <si>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</si>
  <si>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</si>
  <si>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2018년 12월 15일(주간)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</si>
  <si>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2311</t>
    <phoneticPr fontId="2" type="noConversion"/>
  </si>
  <si>
    <t>AMB0221A-KAA-R1</t>
    <phoneticPr fontId="2" type="noConversion"/>
  </si>
  <si>
    <t>전일 ISSUE 사항(15일)</t>
    <phoneticPr fontId="2" type="noConversion"/>
  </si>
  <si>
    <t>코아파손2회정지</t>
    <phoneticPr fontId="2" type="noConversion"/>
  </si>
  <si>
    <t>이물제거후양산</t>
    <phoneticPr fontId="2" type="noConversion"/>
  </si>
  <si>
    <t>당일 진행 사항(17일)</t>
    <phoneticPr fontId="2" type="noConversion"/>
  </si>
  <si>
    <t>HSCB65-M05B1</t>
    <phoneticPr fontId="2" type="noConversion"/>
  </si>
  <si>
    <t>HSB05-M004B1</t>
    <phoneticPr fontId="2" type="noConversion"/>
  </si>
  <si>
    <t>SAMPLE 진행 사항(15일)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</si>
  <si>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</si>
  <si>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</si>
  <si>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2018년 12월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</si>
  <si>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BR88-127A1-1</t>
    <phoneticPr fontId="2" type="noConversion"/>
  </si>
  <si>
    <t>Receptacle(GUIDE없음)</t>
    <phoneticPr fontId="2" type="noConversion"/>
  </si>
  <si>
    <t>HSB05-M004B1(증)</t>
    <phoneticPr fontId="2" type="noConversion"/>
  </si>
  <si>
    <t>전일 ISSUE 사항(17일)</t>
    <phoneticPr fontId="2" type="noConversion"/>
  </si>
  <si>
    <t>Receptacle</t>
    <phoneticPr fontId="2" type="noConversion"/>
  </si>
  <si>
    <t>당일 진행 사항(18일)</t>
    <phoneticPr fontId="2" type="noConversion"/>
  </si>
  <si>
    <t>발주분양산-&gt;상측박힘정지</t>
    <phoneticPr fontId="2" type="noConversion"/>
  </si>
  <si>
    <t>SAMPLE 진행 사항(17일)</t>
    <phoneticPr fontId="2" type="noConversion"/>
  </si>
  <si>
    <t>HSCB65-M05A1(4C)</t>
    <phoneticPr fontId="2" type="noConversion"/>
  </si>
  <si>
    <t>K-JR01933-C01ALA</t>
    <phoneticPr fontId="2" type="noConversion"/>
  </si>
  <si>
    <t>SGF2051</t>
    <phoneticPr fontId="2" type="noConversion"/>
  </si>
  <si>
    <t>하측박힘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</si>
  <si>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</si>
  <si>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</si>
  <si>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2018년 12월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</si>
  <si>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전일 ISSUE 사항(18일)</t>
    <phoneticPr fontId="2" type="noConversion"/>
  </si>
  <si>
    <t>추가발주분양산</t>
    <phoneticPr fontId="2" type="noConversion"/>
  </si>
  <si>
    <t>런너박힘정지</t>
    <phoneticPr fontId="2" type="noConversion"/>
  </si>
  <si>
    <t>상측박힘정지</t>
    <phoneticPr fontId="2" type="noConversion"/>
  </si>
  <si>
    <t>당일 진행 사항(19일)</t>
    <phoneticPr fontId="2" type="noConversion"/>
  </si>
  <si>
    <t>SAMPLE 진행 사항(18일)</t>
    <phoneticPr fontId="2" type="noConversion"/>
  </si>
  <si>
    <t>HSCB65-M04A1(4C)</t>
    <phoneticPr fontId="2" type="noConversion"/>
  </si>
  <si>
    <t>HSC65-M053A1(4C)</t>
    <phoneticPr fontId="2" type="noConversion"/>
  </si>
  <si>
    <t>상측박힘2회진행</t>
    <phoneticPr fontId="2" type="noConversion"/>
  </si>
  <si>
    <t>LG35</t>
    <phoneticPr fontId="2" type="noConversion"/>
  </si>
  <si>
    <t>작업안됨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</si>
  <si>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</si>
  <si>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</si>
  <si>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2018년 12월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</si>
  <si>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AMB0236A-KAA-R1</t>
    <phoneticPr fontId="2" type="noConversion"/>
  </si>
  <si>
    <t>전일 ISSUE 사항(19일)</t>
    <phoneticPr fontId="2" type="noConversion"/>
  </si>
  <si>
    <t>런너수리후양산</t>
    <phoneticPr fontId="2" type="noConversion"/>
  </si>
  <si>
    <t>7</t>
    <phoneticPr fontId="2" type="noConversion"/>
  </si>
  <si>
    <t>COVER</t>
    <phoneticPr fontId="2" type="noConversion"/>
  </si>
  <si>
    <t>AMB0349A-KAA-R1</t>
    <phoneticPr fontId="2" type="noConversion"/>
  </si>
  <si>
    <t>AMB0236A-KAA-R1</t>
    <phoneticPr fontId="2" type="noConversion"/>
  </si>
  <si>
    <t>LEAD GUIDE</t>
    <phoneticPr fontId="2" type="noConversion"/>
  </si>
  <si>
    <t>AMB0463A-KAA-R1</t>
    <phoneticPr fontId="2" type="noConversion"/>
  </si>
  <si>
    <t>14</t>
    <phoneticPr fontId="2" type="noConversion"/>
  </si>
  <si>
    <t>HSF05-M01B1</t>
    <phoneticPr fontId="2" type="noConversion"/>
  </si>
  <si>
    <t>상측박힘수리후양산</t>
    <phoneticPr fontId="2" type="noConversion"/>
  </si>
  <si>
    <t>당일 진행 사항(20일)</t>
    <phoneticPr fontId="2" type="noConversion"/>
  </si>
  <si>
    <t>HSB05-M001B1</t>
    <phoneticPr fontId="2" type="noConversion"/>
  </si>
  <si>
    <t>수정후양산</t>
    <phoneticPr fontId="2" type="noConversion"/>
  </si>
  <si>
    <t>AMB0167A-KAA-R1</t>
    <phoneticPr fontId="2" type="noConversion"/>
  </si>
  <si>
    <t>발주분양산</t>
    <phoneticPr fontId="2" type="noConversion"/>
  </si>
  <si>
    <t>4</t>
    <phoneticPr fontId="2" type="noConversion"/>
  </si>
  <si>
    <t>ACTUATOR</t>
    <phoneticPr fontId="2" type="noConversion"/>
  </si>
  <si>
    <t>AMB1926A-KAA-R1</t>
    <phoneticPr fontId="2" type="noConversion"/>
  </si>
  <si>
    <t>SAMPLE 진행 사항(19일)</t>
    <phoneticPr fontId="2" type="noConversion"/>
  </si>
  <si>
    <t>BODY/BOTTOM</t>
    <phoneticPr fontId="2" type="noConversion"/>
  </si>
  <si>
    <t>A4-R1 / A5-R0</t>
    <phoneticPr fontId="2" type="noConversion"/>
  </si>
  <si>
    <t>각 50EA</t>
    <phoneticPr fontId="2" type="noConversion"/>
  </si>
  <si>
    <t>HSCB65-M02A1(4C)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</si>
  <si>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</si>
  <si>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</si>
  <si>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2018년 12월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</si>
  <si>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HSB05-M001B1(증)</t>
    <phoneticPr fontId="2" type="noConversion"/>
  </si>
  <si>
    <t>전일 ISSUE 사항(20일)</t>
    <phoneticPr fontId="2" type="noConversion"/>
  </si>
  <si>
    <t>런너수리-&gt;오조립수리후양산</t>
    <phoneticPr fontId="2" type="noConversion"/>
  </si>
  <si>
    <t>G3-M01A1</t>
    <phoneticPr fontId="2" type="noConversion"/>
  </si>
  <si>
    <t>INPHI</t>
    <phoneticPr fontId="2" type="noConversion"/>
  </si>
  <si>
    <t>LID-0084</t>
    <phoneticPr fontId="2" type="noConversion"/>
  </si>
  <si>
    <t>당일 진행 사항(21일)</t>
    <phoneticPr fontId="2" type="noConversion"/>
  </si>
  <si>
    <t>SAMPLE 진행 사항(20일)</t>
    <phoneticPr fontId="2" type="noConversion"/>
  </si>
  <si>
    <t>AMB0350A-KAA-R1</t>
    <phoneticPr fontId="2" type="noConversion"/>
  </si>
  <si>
    <t>AMB0169A-KAA-R1</t>
    <phoneticPr fontId="2" type="noConversion"/>
  </si>
  <si>
    <t>AMB20D3A-KAA-R1</t>
    <phoneticPr fontId="2" type="noConversion"/>
  </si>
  <si>
    <t>F/ADAPTER</t>
    <phoneticPr fontId="2" type="noConversion"/>
  </si>
  <si>
    <t>AMB09E4A-KAA-R1</t>
    <phoneticPr fontId="2" type="noConversion"/>
  </si>
  <si>
    <t>AMB0464A-KAA-R1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</si>
  <si>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</si>
  <si>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</si>
  <si>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2018년 12월 21일(16시)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</si>
  <si>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전일 ISSUE 사항(21일)</t>
    <phoneticPr fontId="2" type="noConversion"/>
  </si>
  <si>
    <t>추가분양산</t>
    <phoneticPr fontId="2" type="noConversion"/>
  </si>
  <si>
    <t>당일 진행 사항(24일)</t>
    <phoneticPr fontId="2" type="noConversion"/>
  </si>
  <si>
    <t>5종 승인후양산</t>
    <phoneticPr fontId="2" type="noConversion"/>
  </si>
  <si>
    <t>HEARDER</t>
    <phoneticPr fontId="2" type="noConversion"/>
  </si>
  <si>
    <t>SAMPLE 진행 사항(21일)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</si>
  <si>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</si>
  <si>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</si>
  <si>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2018년 12월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</si>
  <si>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HSB05-M002B1-15BI</t>
    <phoneticPr fontId="2" type="noConversion"/>
  </si>
  <si>
    <t>SGF2041 N/P</t>
    <phoneticPr fontId="2" type="noConversion"/>
  </si>
  <si>
    <t>전일 ISSUE 사항(24일)</t>
    <phoneticPr fontId="2" type="noConversion"/>
  </si>
  <si>
    <t>발주분양산-&gt;1C형상이상막음</t>
    <phoneticPr fontId="2" type="noConversion"/>
  </si>
  <si>
    <t>세척후양산-&gt;코아파손수리</t>
    <phoneticPr fontId="2" type="noConversion"/>
  </si>
  <si>
    <t>당일 진행 사항(25일)</t>
    <phoneticPr fontId="2" type="noConversion"/>
  </si>
  <si>
    <t>SAMPLE 진행 사항(24일)</t>
    <phoneticPr fontId="2" type="noConversion"/>
  </si>
  <si>
    <t>SGF2050,SGF2051</t>
    <phoneticPr fontId="2" type="noConversion"/>
  </si>
  <si>
    <t>원재료</t>
    <phoneticPr fontId="2" type="noConversion"/>
  </si>
  <si>
    <t>각20EA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</si>
  <si>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</si>
  <si>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</si>
  <si>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2018년 12월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</si>
  <si>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전일 ISSUE 사항(25일)</t>
    <phoneticPr fontId="2" type="noConversion"/>
  </si>
  <si>
    <t>BURR정지</t>
    <phoneticPr fontId="2" type="noConversion"/>
  </si>
  <si>
    <t>당일 진행 사항(26일)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</si>
  <si>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</si>
  <si>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</si>
  <si>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</si>
  <si>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2018년 12월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</si>
  <si>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AMB1917D-KAA-R1</t>
    <phoneticPr fontId="2" type="noConversion"/>
  </si>
  <si>
    <t>HSCB65-M01A1(4C)</t>
    <phoneticPr fontId="2" type="noConversion"/>
  </si>
  <si>
    <t>전일 ISSUE 사항(26일)</t>
    <phoneticPr fontId="2" type="noConversion"/>
  </si>
  <si>
    <t>에젝타수리후양산</t>
    <phoneticPr fontId="2" type="noConversion"/>
  </si>
  <si>
    <t>당일 진행 사항(27일)</t>
    <phoneticPr fontId="2" type="noConversion"/>
  </si>
  <si>
    <t>AMB1917A-KAA-R1</t>
    <phoneticPr fontId="2" type="noConversion"/>
  </si>
  <si>
    <t>SAMPLE 진행 사항(26일)</t>
    <phoneticPr fontId="2" type="noConversion"/>
  </si>
  <si>
    <t>수리</t>
    <phoneticPr fontId="2" type="noConversion"/>
  </si>
  <si>
    <t>내부검토용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</si>
  <si>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</si>
  <si>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</si>
  <si>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2018년 12월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</si>
  <si>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전일 ISSUE 사항(27일)</t>
    <phoneticPr fontId="2" type="noConversion"/>
  </si>
  <si>
    <t>발주분양산-&gt;오조립수리</t>
    <phoneticPr fontId="2" type="noConversion"/>
  </si>
  <si>
    <t>3</t>
    <phoneticPr fontId="2" type="noConversion"/>
  </si>
  <si>
    <t>HSCB65-M05A1</t>
    <phoneticPr fontId="2" type="noConversion"/>
  </si>
  <si>
    <t>런너 앞판수리</t>
    <phoneticPr fontId="2" type="noConversion"/>
  </si>
  <si>
    <t>HSC65-M053A1</t>
    <phoneticPr fontId="2" type="noConversion"/>
  </si>
  <si>
    <t>에젝터수리후양산</t>
    <phoneticPr fontId="2" type="noConversion"/>
  </si>
  <si>
    <t>당일 진행 사항(28일)</t>
    <phoneticPr fontId="2" type="noConversion"/>
  </si>
  <si>
    <t>STOPPER/HOLDER</t>
    <phoneticPr fontId="2" type="noConversion"/>
  </si>
  <si>
    <t>K-JR01860-H01/D01</t>
    <phoneticPr fontId="2" type="noConversion"/>
  </si>
  <si>
    <t>SAMPLE 진행 사항(27일)</t>
    <phoneticPr fontId="2" type="noConversion"/>
  </si>
  <si>
    <t>22P</t>
    <phoneticPr fontId="2" type="noConversion"/>
  </si>
  <si>
    <t>RV1.0-1.2HD-1.15A1</t>
    <phoneticPr fontId="2" type="noConversion"/>
  </si>
  <si>
    <t>RIVET</t>
    <phoneticPr fontId="2" type="noConversion"/>
  </si>
  <si>
    <t>RTP</t>
    <phoneticPr fontId="2" type="noConversion"/>
  </si>
  <si>
    <t>NHS2-HTB11/12</t>
    <phoneticPr fontId="2" type="noConversion"/>
  </si>
  <si>
    <t>각 400</t>
    <phoneticPr fontId="2" type="noConversion"/>
  </si>
  <si>
    <t>BASE/FLANGE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</si>
  <si>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</si>
  <si>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</si>
  <si>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2018년 12월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</si>
  <si>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HOLDER</t>
    <phoneticPr fontId="2" type="noConversion"/>
  </si>
  <si>
    <t>SGP2020R</t>
    <phoneticPr fontId="2" type="noConversion"/>
  </si>
  <si>
    <t>K-JR01860-H01AZB</t>
    <phoneticPr fontId="2" type="noConversion"/>
  </si>
  <si>
    <t>K-JR01860-D01AZB</t>
    <phoneticPr fontId="2" type="noConversion"/>
  </si>
  <si>
    <t>전일 ISSUE 사항(28일)</t>
    <phoneticPr fontId="2" type="noConversion"/>
  </si>
  <si>
    <t>K-JR01860-D/H01AZB</t>
    <phoneticPr fontId="2" type="noConversion"/>
  </si>
  <si>
    <t>당일 진행 사항(29일)</t>
    <phoneticPr fontId="2" type="noConversion"/>
  </si>
  <si>
    <t>SAMPLE 진행 사항(28일)</t>
    <phoneticPr fontId="2" type="noConversion"/>
  </si>
  <si>
    <t>K-JR01933-G01AWA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</si>
  <si>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</si>
  <si>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</si>
  <si>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2018년 12월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</si>
  <si>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전일 ISSUE 사항(29일)</t>
    <phoneticPr fontId="2" type="noConversion"/>
  </si>
  <si>
    <t>당일 진행 사항(31일)</t>
    <phoneticPr fontId="2" type="noConversion"/>
  </si>
  <si>
    <t>AMM0850A-KAA-R2</t>
    <phoneticPr fontId="2" type="noConversion"/>
  </si>
  <si>
    <t>SAMPLE 진행 사항(29일)</t>
    <phoneticPr fontId="2" type="noConversion"/>
  </si>
  <si>
    <t>K-JR01933-E01AWA</t>
    <phoneticPr fontId="2" type="noConversion"/>
  </si>
  <si>
    <t>K-JR01933-F01AWA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</si>
  <si>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</si>
  <si>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</si>
  <si>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2018년 12월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</si>
  <si>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PA9T</t>
    <phoneticPr fontId="2" type="noConversion"/>
  </si>
  <si>
    <t>전일 ISSUE 사항(31일)</t>
    <phoneticPr fontId="2" type="noConversion"/>
  </si>
  <si>
    <t>HSB05-M002B1-15B1</t>
    <phoneticPr fontId="2" type="noConversion"/>
  </si>
  <si>
    <t>세척후양산-&gt;코아파손2회수리</t>
    <phoneticPr fontId="2" type="noConversion"/>
  </si>
  <si>
    <t>발주분양산-&gt;하측박힘수리</t>
    <phoneticPr fontId="2" type="noConversion"/>
  </si>
  <si>
    <t>당일 진행 사항(01일)</t>
    <phoneticPr fontId="2" type="noConversion"/>
  </si>
  <si>
    <t>SAMPLE 진행 사항(31일)</t>
    <phoneticPr fontId="2" type="noConversion"/>
  </si>
  <si>
    <t>K-JR01933-B01ANB</t>
    <phoneticPr fontId="2" type="noConversion"/>
  </si>
  <si>
    <t>SGP2038R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</si>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</sst>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1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8" fillId="30" borderId="8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left" vertical="center" shrinkToFit="1"/>
    </xf>
    <xf numFmtId="49" fontId="13" fillId="0" borderId="30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12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12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0.45564516129032251</c:v>
                </c:pt>
                <c:pt idx="3">
                  <c:v>0.35111976478560386</c:v>
                </c:pt>
                <c:pt idx="4">
                  <c:v>0.43145161290322581</c:v>
                </c:pt>
                <c:pt idx="5">
                  <c:v>0.21370967741935484</c:v>
                </c:pt>
                <c:pt idx="6">
                  <c:v>0.45563321385902034</c:v>
                </c:pt>
                <c:pt idx="7">
                  <c:v>0.27418647425014148</c:v>
                </c:pt>
                <c:pt idx="8">
                  <c:v>2.6881720430107527E-2</c:v>
                </c:pt>
                <c:pt idx="9">
                  <c:v>0.21369007489435798</c:v>
                </c:pt>
                <c:pt idx="10">
                  <c:v>0.31854838709677419</c:v>
                </c:pt>
                <c:pt idx="11">
                  <c:v>0.49054552356016218</c:v>
                </c:pt>
                <c:pt idx="12">
                  <c:v>0.60211057189076034</c:v>
                </c:pt>
                <c:pt idx="13">
                  <c:v>0.42696774408473198</c:v>
                </c:pt>
                <c:pt idx="14">
                  <c:v>8.0645161290322578E-3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6622</c:v>
                </c:pt>
                <c:pt idx="4">
                  <c:v>4813</c:v>
                </c:pt>
                <c:pt idx="6">
                  <c:v>5170</c:v>
                </c:pt>
                <c:pt idx="7">
                  <c:v>5053</c:v>
                </c:pt>
                <c:pt idx="9">
                  <c:v>6218</c:v>
                </c:pt>
                <c:pt idx="11">
                  <c:v>4468</c:v>
                </c:pt>
                <c:pt idx="12">
                  <c:v>5633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E-43FB-9E39-981CFD91FAC9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6622</c:v>
                </c:pt>
                <c:pt idx="3">
                  <c:v>5011</c:v>
                </c:pt>
                <c:pt idx="4">
                  <c:v>4813</c:v>
                </c:pt>
                <c:pt idx="5">
                  <c:v>11556</c:v>
                </c:pt>
                <c:pt idx="6">
                  <c:v>5170</c:v>
                </c:pt>
                <c:pt idx="7">
                  <c:v>5053</c:v>
                </c:pt>
                <c:pt idx="8">
                  <c:v>1622</c:v>
                </c:pt>
                <c:pt idx="9">
                  <c:v>6218</c:v>
                </c:pt>
                <c:pt idx="10">
                  <c:v>3000</c:v>
                </c:pt>
                <c:pt idx="11">
                  <c:v>4468</c:v>
                </c:pt>
                <c:pt idx="12">
                  <c:v>5633</c:v>
                </c:pt>
                <c:pt idx="13">
                  <c:v>2084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E-43FB-9E39-981CFD91F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83%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79%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0.79166666666666663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9-404E-84EE-D69917896C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99-404E-84EE-D69917896C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0.44166666666666671</c:v>
                </c:pt>
                <c:pt idx="1">
                  <c:v>0.44166666666666671</c:v>
                </c:pt>
                <c:pt idx="2">
                  <c:v>0.44166666666666671</c:v>
                </c:pt>
                <c:pt idx="3">
                  <c:v>0.44166666666666671</c:v>
                </c:pt>
                <c:pt idx="4">
                  <c:v>0.44166666666666671</c:v>
                </c:pt>
                <c:pt idx="5">
                  <c:v>0.44166666666666671</c:v>
                </c:pt>
                <c:pt idx="6">
                  <c:v>0.44166666666666671</c:v>
                </c:pt>
                <c:pt idx="7">
                  <c:v>0.44166666666666671</c:v>
                </c:pt>
                <c:pt idx="8">
                  <c:v>0.44166666666666671</c:v>
                </c:pt>
                <c:pt idx="9">
                  <c:v>0.44166666666666671</c:v>
                </c:pt>
                <c:pt idx="10">
                  <c:v>0.44166666666666671</c:v>
                </c:pt>
                <c:pt idx="11">
                  <c:v>0.44166666666666671</c:v>
                </c:pt>
                <c:pt idx="12">
                  <c:v>0.44166666666666671</c:v>
                </c:pt>
                <c:pt idx="13">
                  <c:v>0.44166666666666671</c:v>
                </c:pt>
                <c:pt idx="14">
                  <c:v>0.44166666666666671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9-404E-84EE-D69917896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6622</c:v>
                </c:pt>
                <c:pt idx="4">
                  <c:v>4813</c:v>
                </c:pt>
                <c:pt idx="6">
                  <c:v>5170</c:v>
                </c:pt>
                <c:pt idx="7">
                  <c:v>5053</c:v>
                </c:pt>
                <c:pt idx="9">
                  <c:v>6218</c:v>
                </c:pt>
                <c:pt idx="11">
                  <c:v>4468</c:v>
                </c:pt>
                <c:pt idx="12">
                  <c:v>5633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5-4980-ABCD-6F5E72B5697B}"/>
            </c:ext>
          </c:extLst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6622</c:v>
                </c:pt>
                <c:pt idx="3">
                  <c:v>5011</c:v>
                </c:pt>
                <c:pt idx="4">
                  <c:v>4813</c:v>
                </c:pt>
                <c:pt idx="5">
                  <c:v>11556</c:v>
                </c:pt>
                <c:pt idx="6">
                  <c:v>5170</c:v>
                </c:pt>
                <c:pt idx="7">
                  <c:v>5053</c:v>
                </c:pt>
                <c:pt idx="8">
                  <c:v>1622</c:v>
                </c:pt>
                <c:pt idx="9">
                  <c:v>6218</c:v>
                </c:pt>
                <c:pt idx="10">
                  <c:v>3000</c:v>
                </c:pt>
                <c:pt idx="11">
                  <c:v>4468</c:v>
                </c:pt>
                <c:pt idx="12">
                  <c:v>5633</c:v>
                </c:pt>
                <c:pt idx="13">
                  <c:v>2084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5-4980-ABCD-6F5E72B56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83%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79%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0.79166666666666663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15-4765-934C-9A3CFA9C347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15-4765-934C-9A3CFA9C347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'03'!$D$6:$D$20</c:f>
              <c:strCache>
                <c:ptCount val="14"/>
                <c:pt idx="2">
                  <c:v>LEAD GUIDE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0.44166666666666671</c:v>
                </c:pt>
                <c:pt idx="1">
                  <c:v>0.44166666666666671</c:v>
                </c:pt>
                <c:pt idx="2">
                  <c:v>0.44166666666666671</c:v>
                </c:pt>
                <c:pt idx="3">
                  <c:v>0.44166666666666671</c:v>
                </c:pt>
                <c:pt idx="4">
                  <c:v>0.44166666666666671</c:v>
                </c:pt>
                <c:pt idx="5">
                  <c:v>0.44166666666666671</c:v>
                </c:pt>
                <c:pt idx="6">
                  <c:v>0.44166666666666671</c:v>
                </c:pt>
                <c:pt idx="7">
                  <c:v>0.44166666666666671</c:v>
                </c:pt>
                <c:pt idx="8">
                  <c:v>0.44166666666666671</c:v>
                </c:pt>
                <c:pt idx="9">
                  <c:v>0.44166666666666671</c:v>
                </c:pt>
                <c:pt idx="10">
                  <c:v>0.44166666666666671</c:v>
                </c:pt>
                <c:pt idx="11">
                  <c:v>0.44166666666666671</c:v>
                </c:pt>
                <c:pt idx="12">
                  <c:v>0.44166666666666671</c:v>
                </c:pt>
                <c:pt idx="13">
                  <c:v>0.44166666666666671</c:v>
                </c:pt>
                <c:pt idx="14">
                  <c:v>0.44166666666666671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15-4765-934C-9A3CFA9C3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005-427C-A60C-F5EE21F15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5-427C-A60C-F5EE21F15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05-427C-A60C-F5EE21F15A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05-427C-A60C-F5EE21F15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2">
                  <c:v>7015</c:v>
                </c:pt>
                <c:pt idx="3">
                  <c:v>2619</c:v>
                </c:pt>
                <c:pt idx="4">
                  <c:v>6466</c:v>
                </c:pt>
                <c:pt idx="6">
                  <c:v>5398</c:v>
                </c:pt>
                <c:pt idx="7">
                  <c:v>5248</c:v>
                </c:pt>
                <c:pt idx="9">
                  <c:v>5057</c:v>
                </c:pt>
                <c:pt idx="11">
                  <c:v>7061</c:v>
                </c:pt>
                <c:pt idx="12">
                  <c:v>5015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1-479F-871A-44FC55EB4466}"/>
            </c:ext>
          </c:extLst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7015</c:v>
                </c:pt>
                <c:pt idx="3">
                  <c:v>2619</c:v>
                </c:pt>
                <c:pt idx="4">
                  <c:v>6466</c:v>
                </c:pt>
                <c:pt idx="5">
                  <c:v>11556</c:v>
                </c:pt>
                <c:pt idx="6">
                  <c:v>5400</c:v>
                </c:pt>
                <c:pt idx="7">
                  <c:v>5248</c:v>
                </c:pt>
                <c:pt idx="8">
                  <c:v>1622</c:v>
                </c:pt>
                <c:pt idx="9">
                  <c:v>5060</c:v>
                </c:pt>
                <c:pt idx="10">
                  <c:v>3000</c:v>
                </c:pt>
                <c:pt idx="11">
                  <c:v>7061</c:v>
                </c:pt>
                <c:pt idx="12">
                  <c:v>5015</c:v>
                </c:pt>
                <c:pt idx="13">
                  <c:v>2084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1-479F-871A-44FC55EB4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88%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</c:v>
                </c:pt>
                <c:pt idx="6">
                  <c:v>0.99962962962962965</c:v>
                </c:pt>
                <c:pt idx="7">
                  <c:v>1</c:v>
                </c:pt>
                <c:pt idx="8">
                  <c:v>0</c:v>
                </c:pt>
                <c:pt idx="9">
                  <c:v>0.99940711462450593</c:v>
                </c:pt>
                <c:pt idx="10">
                  <c:v>0</c:v>
                </c:pt>
                <c:pt idx="11">
                  <c:v>1</c:v>
                </c:pt>
                <c:pt idx="12">
                  <c:v>0.875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2-482D-AD97-E90ECD5D39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32-482D-AD97-E90ECD5D39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0.49993578295027574</c:v>
                </c:pt>
                <c:pt idx="1">
                  <c:v>0.49993578295027574</c:v>
                </c:pt>
                <c:pt idx="2">
                  <c:v>0.49993578295027574</c:v>
                </c:pt>
                <c:pt idx="3">
                  <c:v>0.49993578295027574</c:v>
                </c:pt>
                <c:pt idx="4">
                  <c:v>0.49993578295027574</c:v>
                </c:pt>
                <c:pt idx="5">
                  <c:v>0.49993578295027574</c:v>
                </c:pt>
                <c:pt idx="6">
                  <c:v>0.49993578295027574</c:v>
                </c:pt>
                <c:pt idx="7">
                  <c:v>0.49993578295027574</c:v>
                </c:pt>
                <c:pt idx="8">
                  <c:v>0.49993578295027574</c:v>
                </c:pt>
                <c:pt idx="9">
                  <c:v>0.49993578295027574</c:v>
                </c:pt>
                <c:pt idx="10">
                  <c:v>0.49993578295027574</c:v>
                </c:pt>
                <c:pt idx="11">
                  <c:v>0.49993578295027574</c:v>
                </c:pt>
                <c:pt idx="12">
                  <c:v>0.49993578295027574</c:v>
                </c:pt>
                <c:pt idx="13">
                  <c:v>0.49993578295027574</c:v>
                </c:pt>
                <c:pt idx="14">
                  <c:v>0.49993578295027574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32-482D-AD97-E90ECD5D3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'04'!$L$6:$L$20</c:f>
              <c:numCache>
                <c:formatCode>_(* #,##0_);_(* \(#,##0\);_(* "-"_);_(@_)</c:formatCode>
                <c:ptCount val="15"/>
                <c:pt idx="2">
                  <c:v>7015</c:v>
                </c:pt>
                <c:pt idx="3">
                  <c:v>2619</c:v>
                </c:pt>
                <c:pt idx="4">
                  <c:v>6466</c:v>
                </c:pt>
                <c:pt idx="6">
                  <c:v>5398</c:v>
                </c:pt>
                <c:pt idx="7">
                  <c:v>5248</c:v>
                </c:pt>
                <c:pt idx="9">
                  <c:v>5057</c:v>
                </c:pt>
                <c:pt idx="11">
                  <c:v>7061</c:v>
                </c:pt>
                <c:pt idx="12">
                  <c:v>5015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1-4871-995F-CD4DDBABD51B}"/>
            </c:ext>
          </c:extLst>
        </c:ser>
        <c:ser>
          <c:idx val="1"/>
          <c:order val="1"/>
          <c:tx>
            <c:v>계획</c:v>
          </c:tx>
          <c:cat>
            <c:strRef>
              <c:f>'04'!$D$6:$D$20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7015</c:v>
                </c:pt>
                <c:pt idx="3">
                  <c:v>2619</c:v>
                </c:pt>
                <c:pt idx="4">
                  <c:v>6466</c:v>
                </c:pt>
                <c:pt idx="5">
                  <c:v>11556</c:v>
                </c:pt>
                <c:pt idx="6">
                  <c:v>5400</c:v>
                </c:pt>
                <c:pt idx="7">
                  <c:v>5248</c:v>
                </c:pt>
                <c:pt idx="8">
                  <c:v>1622</c:v>
                </c:pt>
                <c:pt idx="9">
                  <c:v>5060</c:v>
                </c:pt>
                <c:pt idx="10">
                  <c:v>3000</c:v>
                </c:pt>
                <c:pt idx="11">
                  <c:v>7061</c:v>
                </c:pt>
                <c:pt idx="12">
                  <c:v>5015</c:v>
                </c:pt>
                <c:pt idx="13">
                  <c:v>2084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E1-4871-995F-CD4DDBABD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88%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0</c:v>
                </c:pt>
                <c:pt idx="6">
                  <c:v>0.99962962962962965</c:v>
                </c:pt>
                <c:pt idx="7">
                  <c:v>1</c:v>
                </c:pt>
                <c:pt idx="8">
                  <c:v>0</c:v>
                </c:pt>
                <c:pt idx="9">
                  <c:v>0.99940711462450593</c:v>
                </c:pt>
                <c:pt idx="10">
                  <c:v>0</c:v>
                </c:pt>
                <c:pt idx="11">
                  <c:v>1</c:v>
                </c:pt>
                <c:pt idx="12">
                  <c:v>0.875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F1-461D-A6E2-5F7F21D3768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F1-461D-A6E2-5F7F21D376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COVER</c:v>
                </c:pt>
                <c:pt idx="10">
                  <c:v>LEAD GUIDE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'04'!$AE$6:$AE$20</c:f>
              <c:numCache>
                <c:formatCode>0%</c:formatCode>
                <c:ptCount val="15"/>
                <c:pt idx="0">
                  <c:v>0.49993578295027574</c:v>
                </c:pt>
                <c:pt idx="1">
                  <c:v>0.49993578295027574</c:v>
                </c:pt>
                <c:pt idx="2">
                  <c:v>0.49993578295027574</c:v>
                </c:pt>
                <c:pt idx="3">
                  <c:v>0.49993578295027574</c:v>
                </c:pt>
                <c:pt idx="4">
                  <c:v>0.49993578295027574</c:v>
                </c:pt>
                <c:pt idx="5">
                  <c:v>0.49993578295027574</c:v>
                </c:pt>
                <c:pt idx="6">
                  <c:v>0.49993578295027574</c:v>
                </c:pt>
                <c:pt idx="7">
                  <c:v>0.49993578295027574</c:v>
                </c:pt>
                <c:pt idx="8">
                  <c:v>0.49993578295027574</c:v>
                </c:pt>
                <c:pt idx="9">
                  <c:v>0.49993578295027574</c:v>
                </c:pt>
                <c:pt idx="10">
                  <c:v>0.49993578295027574</c:v>
                </c:pt>
                <c:pt idx="11">
                  <c:v>0.49993578295027574</c:v>
                </c:pt>
                <c:pt idx="12">
                  <c:v>0.49993578295027574</c:v>
                </c:pt>
                <c:pt idx="13">
                  <c:v>0.49993578295027574</c:v>
                </c:pt>
                <c:pt idx="14">
                  <c:v>0.49993578295027574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F1-461D-A6E2-5F7F21D37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A11-4590-839E-ADA8C34F72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1-4590-839E-ADA8C34F7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11-4590-839E-ADA8C34F721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11-4590-839E-ADA8C34F7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7123</c:v>
                </c:pt>
                <c:pt idx="3">
                  <c:v>3862</c:v>
                </c:pt>
                <c:pt idx="4">
                  <c:v>6487</c:v>
                </c:pt>
                <c:pt idx="7">
                  <c:v>5028</c:v>
                </c:pt>
                <c:pt idx="9">
                  <c:v>32805</c:v>
                </c:pt>
                <c:pt idx="10">
                  <c:v>3030</c:v>
                </c:pt>
                <c:pt idx="11">
                  <c:v>7120</c:v>
                </c:pt>
                <c:pt idx="12">
                  <c:v>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C-4205-971B-5002E528AE8A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7123</c:v>
                </c:pt>
                <c:pt idx="3">
                  <c:v>3862</c:v>
                </c:pt>
                <c:pt idx="4">
                  <c:v>6487</c:v>
                </c:pt>
                <c:pt idx="5">
                  <c:v>11556</c:v>
                </c:pt>
                <c:pt idx="6">
                  <c:v>5400</c:v>
                </c:pt>
                <c:pt idx="7">
                  <c:v>5028</c:v>
                </c:pt>
                <c:pt idx="8">
                  <c:v>1622</c:v>
                </c:pt>
                <c:pt idx="9">
                  <c:v>32805</c:v>
                </c:pt>
                <c:pt idx="10">
                  <c:v>3030</c:v>
                </c:pt>
                <c:pt idx="11">
                  <c:v>7120</c:v>
                </c:pt>
                <c:pt idx="12">
                  <c:v>5887</c:v>
                </c:pt>
                <c:pt idx="13">
                  <c:v>2084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C-4205-971B-5002E528A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75%</c:v>
                </c:pt>
                <c:pt idx="10">
                  <c:v>67%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9-4F6D-A291-8A2636246CB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49-4F6D-A291-8A2636246CB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0.48055555555555551</c:v>
                </c:pt>
                <c:pt idx="1">
                  <c:v>0.48055555555555551</c:v>
                </c:pt>
                <c:pt idx="2">
                  <c:v>0.48055555555555551</c:v>
                </c:pt>
                <c:pt idx="3">
                  <c:v>0.48055555555555551</c:v>
                </c:pt>
                <c:pt idx="4">
                  <c:v>0.48055555555555551</c:v>
                </c:pt>
                <c:pt idx="5">
                  <c:v>0.48055555555555551</c:v>
                </c:pt>
                <c:pt idx="6">
                  <c:v>0.48055555555555551</c:v>
                </c:pt>
                <c:pt idx="7">
                  <c:v>0.48055555555555551</c:v>
                </c:pt>
                <c:pt idx="8">
                  <c:v>0.48055555555555551</c:v>
                </c:pt>
                <c:pt idx="9">
                  <c:v>0.48055555555555551</c:v>
                </c:pt>
                <c:pt idx="10">
                  <c:v>0.48055555555555551</c:v>
                </c:pt>
                <c:pt idx="11">
                  <c:v>0.48055555555555551</c:v>
                </c:pt>
                <c:pt idx="12">
                  <c:v>0.48055555555555551</c:v>
                </c:pt>
                <c:pt idx="13">
                  <c:v>0.48055555555555551</c:v>
                </c:pt>
                <c:pt idx="14">
                  <c:v>0.48055555555555551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9-4F6D-A291-8A2636246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7123</c:v>
                </c:pt>
                <c:pt idx="3">
                  <c:v>3862</c:v>
                </c:pt>
                <c:pt idx="4">
                  <c:v>6487</c:v>
                </c:pt>
                <c:pt idx="7">
                  <c:v>5028</c:v>
                </c:pt>
                <c:pt idx="9">
                  <c:v>32805</c:v>
                </c:pt>
                <c:pt idx="10">
                  <c:v>3030</c:v>
                </c:pt>
                <c:pt idx="11">
                  <c:v>7120</c:v>
                </c:pt>
                <c:pt idx="12">
                  <c:v>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DB-4D66-8B6B-6419261BD6B4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7123</c:v>
                </c:pt>
                <c:pt idx="3">
                  <c:v>3862</c:v>
                </c:pt>
                <c:pt idx="4">
                  <c:v>6487</c:v>
                </c:pt>
                <c:pt idx="5">
                  <c:v>11556</c:v>
                </c:pt>
                <c:pt idx="6">
                  <c:v>5400</c:v>
                </c:pt>
                <c:pt idx="7">
                  <c:v>5028</c:v>
                </c:pt>
                <c:pt idx="8">
                  <c:v>1622</c:v>
                </c:pt>
                <c:pt idx="9">
                  <c:v>32805</c:v>
                </c:pt>
                <c:pt idx="10">
                  <c:v>3030</c:v>
                </c:pt>
                <c:pt idx="11">
                  <c:v>7120</c:v>
                </c:pt>
                <c:pt idx="12">
                  <c:v>5887</c:v>
                </c:pt>
                <c:pt idx="13">
                  <c:v>2084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B-4D66-8B6B-6419261BD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75%</c:v>
                </c:pt>
                <c:pt idx="10">
                  <c:v>67%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1-469D-BE71-57B7EB614C0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E1-469D-BE71-57B7EB614C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BOTTOM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0.48055555555555551</c:v>
                </c:pt>
                <c:pt idx="1">
                  <c:v>0.48055555555555551</c:v>
                </c:pt>
                <c:pt idx="2">
                  <c:v>0.48055555555555551</c:v>
                </c:pt>
                <c:pt idx="3">
                  <c:v>0.48055555555555551</c:v>
                </c:pt>
                <c:pt idx="4">
                  <c:v>0.48055555555555551</c:v>
                </c:pt>
                <c:pt idx="5">
                  <c:v>0.48055555555555551</c:v>
                </c:pt>
                <c:pt idx="6">
                  <c:v>0.48055555555555551</c:v>
                </c:pt>
                <c:pt idx="7">
                  <c:v>0.48055555555555551</c:v>
                </c:pt>
                <c:pt idx="8">
                  <c:v>0.48055555555555551</c:v>
                </c:pt>
                <c:pt idx="9">
                  <c:v>0.48055555555555551</c:v>
                </c:pt>
                <c:pt idx="10">
                  <c:v>0.48055555555555551</c:v>
                </c:pt>
                <c:pt idx="11">
                  <c:v>0.48055555555555551</c:v>
                </c:pt>
                <c:pt idx="12">
                  <c:v>0.48055555555555551</c:v>
                </c:pt>
                <c:pt idx="13">
                  <c:v>0.48055555555555551</c:v>
                </c:pt>
                <c:pt idx="14">
                  <c:v>0.48055555555555551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1-469D-BE71-57B7EB614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23D-48E1-81B3-27AF781221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D-48E1-81B3-27AF78122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23D-48E1-81B3-27AF781221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D-48E1-81B3-27AF78122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2">
                  <c:v>7122</c:v>
                </c:pt>
                <c:pt idx="3">
                  <c:v>1564</c:v>
                </c:pt>
                <c:pt idx="4">
                  <c:v>2679</c:v>
                </c:pt>
                <c:pt idx="7">
                  <c:v>1174</c:v>
                </c:pt>
                <c:pt idx="9">
                  <c:v>66430</c:v>
                </c:pt>
                <c:pt idx="10">
                  <c:v>664</c:v>
                </c:pt>
                <c:pt idx="11">
                  <c:v>7112</c:v>
                </c:pt>
                <c:pt idx="12">
                  <c:v>5920</c:v>
                </c:pt>
                <c:pt idx="13">
                  <c:v>9520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02-4D70-968C-D8D86984DC53}"/>
            </c:ext>
          </c:extLst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7122</c:v>
                </c:pt>
                <c:pt idx="3">
                  <c:v>1564</c:v>
                </c:pt>
                <c:pt idx="4">
                  <c:v>2679</c:v>
                </c:pt>
                <c:pt idx="5">
                  <c:v>11556</c:v>
                </c:pt>
                <c:pt idx="6">
                  <c:v>5400</c:v>
                </c:pt>
                <c:pt idx="7">
                  <c:v>1174</c:v>
                </c:pt>
                <c:pt idx="8">
                  <c:v>1622</c:v>
                </c:pt>
                <c:pt idx="9">
                  <c:v>66430</c:v>
                </c:pt>
                <c:pt idx="10">
                  <c:v>664</c:v>
                </c:pt>
                <c:pt idx="11">
                  <c:v>7120</c:v>
                </c:pt>
                <c:pt idx="12">
                  <c:v>5920</c:v>
                </c:pt>
                <c:pt idx="13">
                  <c:v>9520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02-4D70-968C-D8D86984D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38%</c:v>
                </c:pt>
                <c:pt idx="4">
                  <c:v>50%</c:v>
                </c:pt>
                <c:pt idx="5">
                  <c:v>0%</c:v>
                </c:pt>
                <c:pt idx="6">
                  <c:v>0%</c:v>
                </c:pt>
                <c:pt idx="7">
                  <c:v>25%</c:v>
                </c:pt>
                <c:pt idx="8">
                  <c:v>0%</c:v>
                </c:pt>
                <c:pt idx="9">
                  <c:v>100%</c:v>
                </c:pt>
                <c:pt idx="10">
                  <c:v>13%</c:v>
                </c:pt>
                <c:pt idx="11">
                  <c:v>100%</c:v>
                </c:pt>
                <c:pt idx="12">
                  <c:v>100%</c:v>
                </c:pt>
                <c:pt idx="13">
                  <c:v>92%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0.375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  <c:pt idx="9">
                  <c:v>1</c:v>
                </c:pt>
                <c:pt idx="10">
                  <c:v>0.125</c:v>
                </c:pt>
                <c:pt idx="11">
                  <c:v>0.99887640449438198</c:v>
                </c:pt>
                <c:pt idx="12">
                  <c:v>1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9-45D2-9871-98867CB4701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D9-45D2-9871-98867CB470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0.41103620474406993</c:v>
                </c:pt>
                <c:pt idx="1">
                  <c:v>0.41103620474406993</c:v>
                </c:pt>
                <c:pt idx="2">
                  <c:v>0.41103620474406993</c:v>
                </c:pt>
                <c:pt idx="3">
                  <c:v>0.41103620474406993</c:v>
                </c:pt>
                <c:pt idx="4">
                  <c:v>0.41103620474406993</c:v>
                </c:pt>
                <c:pt idx="5">
                  <c:v>0.41103620474406993</c:v>
                </c:pt>
                <c:pt idx="6">
                  <c:v>0.41103620474406993</c:v>
                </c:pt>
                <c:pt idx="7">
                  <c:v>0.41103620474406993</c:v>
                </c:pt>
                <c:pt idx="8">
                  <c:v>0.41103620474406993</c:v>
                </c:pt>
                <c:pt idx="9">
                  <c:v>0.41103620474406993</c:v>
                </c:pt>
                <c:pt idx="10">
                  <c:v>0.41103620474406993</c:v>
                </c:pt>
                <c:pt idx="11">
                  <c:v>0.41103620474406993</c:v>
                </c:pt>
                <c:pt idx="12">
                  <c:v>0.41103620474406993</c:v>
                </c:pt>
                <c:pt idx="13">
                  <c:v>0.41103620474406993</c:v>
                </c:pt>
                <c:pt idx="14">
                  <c:v>0.41103620474406993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D9-45D2-9871-98867CB47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2">
                  <c:v>7122</c:v>
                </c:pt>
                <c:pt idx="3">
                  <c:v>1564</c:v>
                </c:pt>
                <c:pt idx="4">
                  <c:v>2679</c:v>
                </c:pt>
                <c:pt idx="7">
                  <c:v>1174</c:v>
                </c:pt>
                <c:pt idx="9">
                  <c:v>66430</c:v>
                </c:pt>
                <c:pt idx="10">
                  <c:v>664</c:v>
                </c:pt>
                <c:pt idx="11">
                  <c:v>7112</c:v>
                </c:pt>
                <c:pt idx="12">
                  <c:v>5920</c:v>
                </c:pt>
                <c:pt idx="13">
                  <c:v>9520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2-4659-8BE9-1A9BB47DBF1C}"/>
            </c:ext>
          </c:extLst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7122</c:v>
                </c:pt>
                <c:pt idx="3">
                  <c:v>1564</c:v>
                </c:pt>
                <c:pt idx="4">
                  <c:v>2679</c:v>
                </c:pt>
                <c:pt idx="5">
                  <c:v>11556</c:v>
                </c:pt>
                <c:pt idx="6">
                  <c:v>5400</c:v>
                </c:pt>
                <c:pt idx="7">
                  <c:v>1174</c:v>
                </c:pt>
                <c:pt idx="8">
                  <c:v>1622</c:v>
                </c:pt>
                <c:pt idx="9">
                  <c:v>66430</c:v>
                </c:pt>
                <c:pt idx="10">
                  <c:v>664</c:v>
                </c:pt>
                <c:pt idx="11">
                  <c:v>7120</c:v>
                </c:pt>
                <c:pt idx="12">
                  <c:v>5920</c:v>
                </c:pt>
                <c:pt idx="13">
                  <c:v>9520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2-4659-8BE9-1A9BB47DB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38%</c:v>
                </c:pt>
                <c:pt idx="4">
                  <c:v>50%</c:v>
                </c:pt>
                <c:pt idx="5">
                  <c:v>0%</c:v>
                </c:pt>
                <c:pt idx="6">
                  <c:v>0%</c:v>
                </c:pt>
                <c:pt idx="7">
                  <c:v>25%</c:v>
                </c:pt>
                <c:pt idx="8">
                  <c:v>0%</c:v>
                </c:pt>
                <c:pt idx="9">
                  <c:v>100%</c:v>
                </c:pt>
                <c:pt idx="10">
                  <c:v>13%</c:v>
                </c:pt>
                <c:pt idx="11">
                  <c:v>100%</c:v>
                </c:pt>
                <c:pt idx="12">
                  <c:v>100%</c:v>
                </c:pt>
                <c:pt idx="13">
                  <c:v>92%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0.375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  <c:pt idx="9">
                  <c:v>1</c:v>
                </c:pt>
                <c:pt idx="10">
                  <c:v>0.125</c:v>
                </c:pt>
                <c:pt idx="11">
                  <c:v>0.99887640449438198</c:v>
                </c:pt>
                <c:pt idx="12">
                  <c:v>1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6-49D4-96D8-035BCD11658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06-49D4-96D8-035BCD1165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'06'!$D$6:$D$20</c:f>
              <c:strCache>
                <c:ptCount val="14"/>
                <c:pt idx="2">
                  <c:v>LEAD GUIDE</c:v>
                </c:pt>
                <c:pt idx="3">
                  <c:v>LEAD GUIDE</c:v>
                </c:pt>
                <c:pt idx="4">
                  <c:v>STOPPER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0.41103620474406993</c:v>
                </c:pt>
                <c:pt idx="1">
                  <c:v>0.41103620474406993</c:v>
                </c:pt>
                <c:pt idx="2">
                  <c:v>0.41103620474406993</c:v>
                </c:pt>
                <c:pt idx="3">
                  <c:v>0.41103620474406993</c:v>
                </c:pt>
                <c:pt idx="4">
                  <c:v>0.41103620474406993</c:v>
                </c:pt>
                <c:pt idx="5">
                  <c:v>0.41103620474406993</c:v>
                </c:pt>
                <c:pt idx="6">
                  <c:v>0.41103620474406993</c:v>
                </c:pt>
                <c:pt idx="7">
                  <c:v>0.41103620474406993</c:v>
                </c:pt>
                <c:pt idx="8">
                  <c:v>0.41103620474406993</c:v>
                </c:pt>
                <c:pt idx="9">
                  <c:v>0.41103620474406993</c:v>
                </c:pt>
                <c:pt idx="10">
                  <c:v>0.41103620474406993</c:v>
                </c:pt>
                <c:pt idx="11">
                  <c:v>0.41103620474406993</c:v>
                </c:pt>
                <c:pt idx="12">
                  <c:v>0.41103620474406993</c:v>
                </c:pt>
                <c:pt idx="13">
                  <c:v>0.41103620474406993</c:v>
                </c:pt>
                <c:pt idx="14">
                  <c:v>0.41103620474406993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06-49D4-96D8-035BCD116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69F-4B01-B573-A6FA24536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F-4B01-B573-A6FA24536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9F-4B01-B573-A6FA24536A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9F-4B01-B573-A6FA24536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IC GUIDE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7421</c:v>
                </c:pt>
                <c:pt idx="3">
                  <c:v>1413</c:v>
                </c:pt>
                <c:pt idx="4">
                  <c:v>0</c:v>
                </c:pt>
                <c:pt idx="5">
                  <c:v>2410</c:v>
                </c:pt>
                <c:pt idx="6">
                  <c:v>11124</c:v>
                </c:pt>
                <c:pt idx="7">
                  <c:v>1296</c:v>
                </c:pt>
                <c:pt idx="9">
                  <c:v>67599</c:v>
                </c:pt>
                <c:pt idx="11">
                  <c:v>7275</c:v>
                </c:pt>
                <c:pt idx="12">
                  <c:v>5827</c:v>
                </c:pt>
                <c:pt idx="13">
                  <c:v>11850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1-4609-B191-E2426C0571EE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IC GUIDE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7421</c:v>
                </c:pt>
                <c:pt idx="3">
                  <c:v>1413</c:v>
                </c:pt>
                <c:pt idx="4">
                  <c:v>2679</c:v>
                </c:pt>
                <c:pt idx="5">
                  <c:v>2410</c:v>
                </c:pt>
                <c:pt idx="6">
                  <c:v>11124</c:v>
                </c:pt>
                <c:pt idx="7">
                  <c:v>1296</c:v>
                </c:pt>
                <c:pt idx="8">
                  <c:v>1622</c:v>
                </c:pt>
                <c:pt idx="9">
                  <c:v>67600</c:v>
                </c:pt>
                <c:pt idx="10">
                  <c:v>664</c:v>
                </c:pt>
                <c:pt idx="11">
                  <c:v>7275</c:v>
                </c:pt>
                <c:pt idx="12">
                  <c:v>5827</c:v>
                </c:pt>
                <c:pt idx="13">
                  <c:v>11850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1-4609-B191-E2426C057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0%</c:v>
                </c:pt>
                <c:pt idx="5">
                  <c:v>54%</c:v>
                </c:pt>
                <c:pt idx="6">
                  <c:v>33%</c:v>
                </c:pt>
                <c:pt idx="7">
                  <c:v>33%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IC GUIDE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</c:v>
                </c:pt>
                <c:pt idx="5">
                  <c:v>0.54166666666666663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</c:v>
                </c:pt>
                <c:pt idx="9">
                  <c:v>0.99998520710059169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9-4EEE-9AD8-BB5B792E3A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79-4EEE-9AD8-BB5B792E3A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IC GUIDE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0.43611012491781725</c:v>
                </c:pt>
                <c:pt idx="1">
                  <c:v>0.43611012491781725</c:v>
                </c:pt>
                <c:pt idx="2">
                  <c:v>0.43611012491781725</c:v>
                </c:pt>
                <c:pt idx="3">
                  <c:v>0.43611012491781725</c:v>
                </c:pt>
                <c:pt idx="4">
                  <c:v>0.43611012491781725</c:v>
                </c:pt>
                <c:pt idx="5">
                  <c:v>0.43611012491781725</c:v>
                </c:pt>
                <c:pt idx="6">
                  <c:v>0.43611012491781725</c:v>
                </c:pt>
                <c:pt idx="7">
                  <c:v>0.43611012491781725</c:v>
                </c:pt>
                <c:pt idx="8">
                  <c:v>0.43611012491781725</c:v>
                </c:pt>
                <c:pt idx="9">
                  <c:v>0.43611012491781725</c:v>
                </c:pt>
                <c:pt idx="10">
                  <c:v>0.43611012491781725</c:v>
                </c:pt>
                <c:pt idx="11">
                  <c:v>0.43611012491781725</c:v>
                </c:pt>
                <c:pt idx="12">
                  <c:v>0.43611012491781725</c:v>
                </c:pt>
                <c:pt idx="13">
                  <c:v>0.43611012491781725</c:v>
                </c:pt>
                <c:pt idx="14">
                  <c:v>0.43611012491781725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79-4EEE-9AD8-BB5B792E3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IC GUIDE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7421</c:v>
                </c:pt>
                <c:pt idx="3">
                  <c:v>1413</c:v>
                </c:pt>
                <c:pt idx="4">
                  <c:v>0</c:v>
                </c:pt>
                <c:pt idx="5">
                  <c:v>2410</c:v>
                </c:pt>
                <c:pt idx="6">
                  <c:v>11124</c:v>
                </c:pt>
                <c:pt idx="7">
                  <c:v>1296</c:v>
                </c:pt>
                <c:pt idx="9">
                  <c:v>67599</c:v>
                </c:pt>
                <c:pt idx="11">
                  <c:v>7275</c:v>
                </c:pt>
                <c:pt idx="12">
                  <c:v>5827</c:v>
                </c:pt>
                <c:pt idx="13">
                  <c:v>11850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D-4A68-BEBF-F8361FF4BE6B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IC GUIDE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7421</c:v>
                </c:pt>
                <c:pt idx="3">
                  <c:v>1413</c:v>
                </c:pt>
                <c:pt idx="4">
                  <c:v>2679</c:v>
                </c:pt>
                <c:pt idx="5">
                  <c:v>2410</c:v>
                </c:pt>
                <c:pt idx="6">
                  <c:v>11124</c:v>
                </c:pt>
                <c:pt idx="7">
                  <c:v>1296</c:v>
                </c:pt>
                <c:pt idx="8">
                  <c:v>1622</c:v>
                </c:pt>
                <c:pt idx="9">
                  <c:v>67600</c:v>
                </c:pt>
                <c:pt idx="10">
                  <c:v>664</c:v>
                </c:pt>
                <c:pt idx="11">
                  <c:v>7275</c:v>
                </c:pt>
                <c:pt idx="12">
                  <c:v>5827</c:v>
                </c:pt>
                <c:pt idx="13">
                  <c:v>11850</c:v>
                </c:pt>
                <c:pt idx="14">
                  <c:v>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D-4A68-BEBF-F8361FF4B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0%</c:v>
                </c:pt>
                <c:pt idx="5">
                  <c:v>54%</c:v>
                </c:pt>
                <c:pt idx="6">
                  <c:v>33%</c:v>
                </c:pt>
                <c:pt idx="7">
                  <c:v>33%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IC GUIDE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</c:v>
                </c:pt>
                <c:pt idx="5">
                  <c:v>0.54166666666666663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</c:v>
                </c:pt>
                <c:pt idx="9">
                  <c:v>0.99998520710059169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1-4032-9579-CD517AE0D02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B1-4032-9579-CD517AE0D0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LEAD GUIDE</c:v>
                </c:pt>
                <c:pt idx="3">
                  <c:v>STOPPER</c:v>
                </c:pt>
                <c:pt idx="4">
                  <c:v>STOPPER</c:v>
                </c:pt>
                <c:pt idx="5">
                  <c:v>IC GUIDE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0.43611012491781725</c:v>
                </c:pt>
                <c:pt idx="1">
                  <c:v>0.43611012491781725</c:v>
                </c:pt>
                <c:pt idx="2">
                  <c:v>0.43611012491781725</c:v>
                </c:pt>
                <c:pt idx="3">
                  <c:v>0.43611012491781725</c:v>
                </c:pt>
                <c:pt idx="4">
                  <c:v>0.43611012491781725</c:v>
                </c:pt>
                <c:pt idx="5">
                  <c:v>0.43611012491781725</c:v>
                </c:pt>
                <c:pt idx="6">
                  <c:v>0.43611012491781725</c:v>
                </c:pt>
                <c:pt idx="7">
                  <c:v>0.43611012491781725</c:v>
                </c:pt>
                <c:pt idx="8">
                  <c:v>0.43611012491781725</c:v>
                </c:pt>
                <c:pt idx="9">
                  <c:v>0.43611012491781725</c:v>
                </c:pt>
                <c:pt idx="10">
                  <c:v>0.43611012491781725</c:v>
                </c:pt>
                <c:pt idx="11">
                  <c:v>0.43611012491781725</c:v>
                </c:pt>
                <c:pt idx="12">
                  <c:v>0.43611012491781725</c:v>
                </c:pt>
                <c:pt idx="13">
                  <c:v>0.43611012491781725</c:v>
                </c:pt>
                <c:pt idx="14">
                  <c:v>0.43611012491781725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B1-4032-9579-CD517AE0D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C59-4022-850D-B980D2667D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59-4022-850D-B980D266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59-4022-850D-B980D2667DD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59-4022-850D-B980D266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6809</c:v>
                </c:pt>
                <c:pt idx="3">
                  <c:v>259</c:v>
                </c:pt>
                <c:pt idx="4">
                  <c:v>3648</c:v>
                </c:pt>
                <c:pt idx="6">
                  <c:v>1716</c:v>
                </c:pt>
                <c:pt idx="7">
                  <c:v>886</c:v>
                </c:pt>
                <c:pt idx="9">
                  <c:v>62860</c:v>
                </c:pt>
                <c:pt idx="11">
                  <c:v>6698</c:v>
                </c:pt>
                <c:pt idx="12">
                  <c:v>5643</c:v>
                </c:pt>
                <c:pt idx="13">
                  <c:v>10066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9-4A6D-A58F-A6B55E0C2FA0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6809</c:v>
                </c:pt>
                <c:pt idx="3">
                  <c:v>259</c:v>
                </c:pt>
                <c:pt idx="4">
                  <c:v>3648</c:v>
                </c:pt>
                <c:pt idx="5">
                  <c:v>2410</c:v>
                </c:pt>
                <c:pt idx="6">
                  <c:v>1716</c:v>
                </c:pt>
                <c:pt idx="7">
                  <c:v>886</c:v>
                </c:pt>
                <c:pt idx="8">
                  <c:v>1622</c:v>
                </c:pt>
                <c:pt idx="9">
                  <c:v>62860</c:v>
                </c:pt>
                <c:pt idx="10">
                  <c:v>664</c:v>
                </c:pt>
                <c:pt idx="11">
                  <c:v>6700</c:v>
                </c:pt>
                <c:pt idx="12">
                  <c:v>5650</c:v>
                </c:pt>
                <c:pt idx="13">
                  <c:v>10066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9-4A6D-A58F-A6B55E0C2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17%</c:v>
                </c:pt>
                <c:pt idx="4">
                  <c:v>63%</c:v>
                </c:pt>
                <c:pt idx="5">
                  <c:v>0%</c:v>
                </c:pt>
                <c:pt idx="6">
                  <c:v>46%</c:v>
                </c:pt>
                <c:pt idx="7">
                  <c:v>17%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0.16666666666666666</c:v>
                </c:pt>
                <c:pt idx="4">
                  <c:v>0.625</c:v>
                </c:pt>
                <c:pt idx="5">
                  <c:v>0</c:v>
                </c:pt>
                <c:pt idx="6">
                  <c:v>0.45833333333333331</c:v>
                </c:pt>
                <c:pt idx="7">
                  <c:v>0.16666666666666666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0.99970149253731344</c:v>
                </c:pt>
                <c:pt idx="12">
                  <c:v>0.99876106194690262</c:v>
                </c:pt>
                <c:pt idx="13">
                  <c:v>1</c:v>
                </c:pt>
                <c:pt idx="1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E-4717-A702-3BC060DB152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4E-4717-A702-3BC060DB15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0.4443419480767255</c:v>
                </c:pt>
                <c:pt idx="1">
                  <c:v>0.4443419480767255</c:v>
                </c:pt>
                <c:pt idx="2">
                  <c:v>0.4443419480767255</c:v>
                </c:pt>
                <c:pt idx="3">
                  <c:v>0.4443419480767255</c:v>
                </c:pt>
                <c:pt idx="4">
                  <c:v>0.4443419480767255</c:v>
                </c:pt>
                <c:pt idx="5">
                  <c:v>0.4443419480767255</c:v>
                </c:pt>
                <c:pt idx="6">
                  <c:v>0.4443419480767255</c:v>
                </c:pt>
                <c:pt idx="7">
                  <c:v>0.4443419480767255</c:v>
                </c:pt>
                <c:pt idx="8">
                  <c:v>0.4443419480767255</c:v>
                </c:pt>
                <c:pt idx="9">
                  <c:v>0.4443419480767255</c:v>
                </c:pt>
                <c:pt idx="10">
                  <c:v>0.4443419480767255</c:v>
                </c:pt>
                <c:pt idx="11">
                  <c:v>0.4443419480767255</c:v>
                </c:pt>
                <c:pt idx="12">
                  <c:v>0.4443419480767255</c:v>
                </c:pt>
                <c:pt idx="13">
                  <c:v>0.4443419480767255</c:v>
                </c:pt>
                <c:pt idx="14">
                  <c:v>0.4443419480767255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4E-4717-A702-3BC060DB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6809</c:v>
                </c:pt>
                <c:pt idx="3">
                  <c:v>259</c:v>
                </c:pt>
                <c:pt idx="4">
                  <c:v>3648</c:v>
                </c:pt>
                <c:pt idx="6">
                  <c:v>1716</c:v>
                </c:pt>
                <c:pt idx="7">
                  <c:v>886</c:v>
                </c:pt>
                <c:pt idx="9">
                  <c:v>62860</c:v>
                </c:pt>
                <c:pt idx="11">
                  <c:v>6698</c:v>
                </c:pt>
                <c:pt idx="12">
                  <c:v>5643</c:v>
                </c:pt>
                <c:pt idx="13">
                  <c:v>10066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6-49C4-92DB-F9DD90B17ECD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6809</c:v>
                </c:pt>
                <c:pt idx="3">
                  <c:v>259</c:v>
                </c:pt>
                <c:pt idx="4">
                  <c:v>3648</c:v>
                </c:pt>
                <c:pt idx="5">
                  <c:v>2410</c:v>
                </c:pt>
                <c:pt idx="6">
                  <c:v>1716</c:v>
                </c:pt>
                <c:pt idx="7">
                  <c:v>886</c:v>
                </c:pt>
                <c:pt idx="8">
                  <c:v>1622</c:v>
                </c:pt>
                <c:pt idx="9">
                  <c:v>62860</c:v>
                </c:pt>
                <c:pt idx="10">
                  <c:v>664</c:v>
                </c:pt>
                <c:pt idx="11">
                  <c:v>6700</c:v>
                </c:pt>
                <c:pt idx="12">
                  <c:v>5650</c:v>
                </c:pt>
                <c:pt idx="13">
                  <c:v>10066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6-49C4-92DB-F9DD90B17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17%</c:v>
                </c:pt>
                <c:pt idx="4">
                  <c:v>63%</c:v>
                </c:pt>
                <c:pt idx="5">
                  <c:v>0%</c:v>
                </c:pt>
                <c:pt idx="6">
                  <c:v>46%</c:v>
                </c:pt>
                <c:pt idx="7">
                  <c:v>17%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25%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0.16666666666666666</c:v>
                </c:pt>
                <c:pt idx="4">
                  <c:v>0.625</c:v>
                </c:pt>
                <c:pt idx="5">
                  <c:v>0</c:v>
                </c:pt>
                <c:pt idx="6">
                  <c:v>0.45833333333333331</c:v>
                </c:pt>
                <c:pt idx="7">
                  <c:v>0.16666666666666666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0.99970149253731344</c:v>
                </c:pt>
                <c:pt idx="12">
                  <c:v>0.99876106194690262</c:v>
                </c:pt>
                <c:pt idx="13">
                  <c:v>1</c:v>
                </c:pt>
                <c:pt idx="1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9-4F46-9611-EAB996AD10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79-4F46-9611-EAB996AD10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0.4443419480767255</c:v>
                </c:pt>
                <c:pt idx="1">
                  <c:v>0.4443419480767255</c:v>
                </c:pt>
                <c:pt idx="2">
                  <c:v>0.4443419480767255</c:v>
                </c:pt>
                <c:pt idx="3">
                  <c:v>0.4443419480767255</c:v>
                </c:pt>
                <c:pt idx="4">
                  <c:v>0.4443419480767255</c:v>
                </c:pt>
                <c:pt idx="5">
                  <c:v>0.4443419480767255</c:v>
                </c:pt>
                <c:pt idx="6">
                  <c:v>0.4443419480767255</c:v>
                </c:pt>
                <c:pt idx="7">
                  <c:v>0.4443419480767255</c:v>
                </c:pt>
                <c:pt idx="8">
                  <c:v>0.4443419480767255</c:v>
                </c:pt>
                <c:pt idx="9">
                  <c:v>0.4443419480767255</c:v>
                </c:pt>
                <c:pt idx="10">
                  <c:v>0.4443419480767255</c:v>
                </c:pt>
                <c:pt idx="11">
                  <c:v>0.4443419480767255</c:v>
                </c:pt>
                <c:pt idx="12">
                  <c:v>0.4443419480767255</c:v>
                </c:pt>
                <c:pt idx="13">
                  <c:v>0.4443419480767255</c:v>
                </c:pt>
                <c:pt idx="14">
                  <c:v>0.4443419480767255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79-4F46-9611-EAB996AD1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DF5-4AC0-8264-7A0027E363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5-4AC0-8264-7A0027E3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F5-4AC0-8264-7A0027E363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F5-4AC0-8264-7A0027E3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7012</c:v>
                </c:pt>
                <c:pt idx="3">
                  <c:v>2869</c:v>
                </c:pt>
                <c:pt idx="4">
                  <c:v>6356</c:v>
                </c:pt>
                <c:pt idx="6">
                  <c:v>4721</c:v>
                </c:pt>
                <c:pt idx="9">
                  <c:v>19229</c:v>
                </c:pt>
                <c:pt idx="11">
                  <c:v>6957</c:v>
                </c:pt>
                <c:pt idx="12">
                  <c:v>5849</c:v>
                </c:pt>
                <c:pt idx="13">
                  <c:v>10964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8-43F0-B012-7C4B876B0A37}"/>
            </c:ext>
          </c:extLst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7012</c:v>
                </c:pt>
                <c:pt idx="3">
                  <c:v>2869</c:v>
                </c:pt>
                <c:pt idx="4">
                  <c:v>6356</c:v>
                </c:pt>
                <c:pt idx="5">
                  <c:v>2410</c:v>
                </c:pt>
                <c:pt idx="6">
                  <c:v>4721</c:v>
                </c:pt>
                <c:pt idx="7">
                  <c:v>886</c:v>
                </c:pt>
                <c:pt idx="8">
                  <c:v>1622</c:v>
                </c:pt>
                <c:pt idx="9">
                  <c:v>19229</c:v>
                </c:pt>
                <c:pt idx="10">
                  <c:v>664</c:v>
                </c:pt>
                <c:pt idx="11">
                  <c:v>6957</c:v>
                </c:pt>
                <c:pt idx="12">
                  <c:v>5849</c:v>
                </c:pt>
                <c:pt idx="13">
                  <c:v>10964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8-43F0-B012-7C4B876B0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100%</c:v>
                </c:pt>
                <c:pt idx="5">
                  <c:v>0%</c:v>
                </c:pt>
                <c:pt idx="6">
                  <c:v>67%</c:v>
                </c:pt>
                <c:pt idx="7">
                  <c:v>0%</c:v>
                </c:pt>
                <c:pt idx="8">
                  <c:v>0%</c:v>
                </c:pt>
                <c:pt idx="9">
                  <c:v>42%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1</c:v>
                </c:pt>
                <c:pt idx="5">
                  <c:v>0</c:v>
                </c:pt>
                <c:pt idx="6">
                  <c:v>0.66666666666666663</c:v>
                </c:pt>
                <c:pt idx="7">
                  <c:v>0</c:v>
                </c:pt>
                <c:pt idx="8">
                  <c:v>0</c:v>
                </c:pt>
                <c:pt idx="9">
                  <c:v>0.41666666666666669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8-475D-A639-32ACBEE6D9F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A8-475D-A639-32ACBEE6D9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0.44444444444444442</c:v>
                </c:pt>
                <c:pt idx="1">
                  <c:v>0.44444444444444442</c:v>
                </c:pt>
                <c:pt idx="2">
                  <c:v>0.44444444444444442</c:v>
                </c:pt>
                <c:pt idx="3">
                  <c:v>0.44444444444444442</c:v>
                </c:pt>
                <c:pt idx="4">
                  <c:v>0.44444444444444442</c:v>
                </c:pt>
                <c:pt idx="5">
                  <c:v>0.44444444444444442</c:v>
                </c:pt>
                <c:pt idx="6">
                  <c:v>0.44444444444444442</c:v>
                </c:pt>
                <c:pt idx="7">
                  <c:v>0.44444444444444442</c:v>
                </c:pt>
                <c:pt idx="8">
                  <c:v>0.44444444444444442</c:v>
                </c:pt>
                <c:pt idx="9">
                  <c:v>0.44444444444444442</c:v>
                </c:pt>
                <c:pt idx="10">
                  <c:v>0.44444444444444442</c:v>
                </c:pt>
                <c:pt idx="11">
                  <c:v>0.44444444444444442</c:v>
                </c:pt>
                <c:pt idx="12">
                  <c:v>0.44444444444444442</c:v>
                </c:pt>
                <c:pt idx="13">
                  <c:v>0.44444444444444442</c:v>
                </c:pt>
                <c:pt idx="14">
                  <c:v>0.44444444444444442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8-475D-A639-32ACBEE6D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7012</c:v>
                </c:pt>
                <c:pt idx="3">
                  <c:v>2869</c:v>
                </c:pt>
                <c:pt idx="4">
                  <c:v>6356</c:v>
                </c:pt>
                <c:pt idx="6">
                  <c:v>4721</c:v>
                </c:pt>
                <c:pt idx="9">
                  <c:v>19229</c:v>
                </c:pt>
                <c:pt idx="11">
                  <c:v>6957</c:v>
                </c:pt>
                <c:pt idx="12">
                  <c:v>5849</c:v>
                </c:pt>
                <c:pt idx="13">
                  <c:v>10964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E-4C2A-B70B-68BB66CBF762}"/>
            </c:ext>
          </c:extLst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7012</c:v>
                </c:pt>
                <c:pt idx="3">
                  <c:v>2869</c:v>
                </c:pt>
                <c:pt idx="4">
                  <c:v>6356</c:v>
                </c:pt>
                <c:pt idx="5">
                  <c:v>2410</c:v>
                </c:pt>
                <c:pt idx="6">
                  <c:v>4721</c:v>
                </c:pt>
                <c:pt idx="7">
                  <c:v>886</c:v>
                </c:pt>
                <c:pt idx="8">
                  <c:v>1622</c:v>
                </c:pt>
                <c:pt idx="9">
                  <c:v>19229</c:v>
                </c:pt>
                <c:pt idx="10">
                  <c:v>664</c:v>
                </c:pt>
                <c:pt idx="11">
                  <c:v>6957</c:v>
                </c:pt>
                <c:pt idx="12">
                  <c:v>5849</c:v>
                </c:pt>
                <c:pt idx="13">
                  <c:v>10964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E-4C2A-B70B-68BB66CBF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100%</c:v>
                </c:pt>
                <c:pt idx="5">
                  <c:v>0%</c:v>
                </c:pt>
                <c:pt idx="6">
                  <c:v>67%</c:v>
                </c:pt>
                <c:pt idx="7">
                  <c:v>0%</c:v>
                </c:pt>
                <c:pt idx="8">
                  <c:v>0%</c:v>
                </c:pt>
                <c:pt idx="9">
                  <c:v>42%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1</c:v>
                </c:pt>
                <c:pt idx="5">
                  <c:v>0</c:v>
                </c:pt>
                <c:pt idx="6">
                  <c:v>0.66666666666666663</c:v>
                </c:pt>
                <c:pt idx="7">
                  <c:v>0</c:v>
                </c:pt>
                <c:pt idx="8">
                  <c:v>0</c:v>
                </c:pt>
                <c:pt idx="9">
                  <c:v>0.41666666666666669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0-4238-9356-92CC60F865A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C0-4238-9356-92CC60F865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2">
                  <c:v>LEAD GUIDE</c:v>
                </c:pt>
                <c:pt idx="3">
                  <c:v>LATCH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0.44444444444444442</c:v>
                </c:pt>
                <c:pt idx="1">
                  <c:v>0.44444444444444442</c:v>
                </c:pt>
                <c:pt idx="2">
                  <c:v>0.44444444444444442</c:v>
                </c:pt>
                <c:pt idx="3">
                  <c:v>0.44444444444444442</c:v>
                </c:pt>
                <c:pt idx="4">
                  <c:v>0.44444444444444442</c:v>
                </c:pt>
                <c:pt idx="5">
                  <c:v>0.44444444444444442</c:v>
                </c:pt>
                <c:pt idx="6">
                  <c:v>0.44444444444444442</c:v>
                </c:pt>
                <c:pt idx="7">
                  <c:v>0.44444444444444442</c:v>
                </c:pt>
                <c:pt idx="8">
                  <c:v>0.44444444444444442</c:v>
                </c:pt>
                <c:pt idx="9">
                  <c:v>0.44444444444444442</c:v>
                </c:pt>
                <c:pt idx="10">
                  <c:v>0.44444444444444442</c:v>
                </c:pt>
                <c:pt idx="11">
                  <c:v>0.44444444444444442</c:v>
                </c:pt>
                <c:pt idx="12">
                  <c:v>0.44444444444444442</c:v>
                </c:pt>
                <c:pt idx="13">
                  <c:v>0.44444444444444442</c:v>
                </c:pt>
                <c:pt idx="14">
                  <c:v>0.44444444444444442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C0-4238-9356-92CC60F86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3AE-4276-A654-98E3A3E908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E-4276-A654-98E3A3E90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AE-4276-A654-98E3A3E908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AE-4276-A654-98E3A3E90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7150</c:v>
                </c:pt>
                <c:pt idx="3">
                  <c:v>189856</c:v>
                </c:pt>
                <c:pt idx="4">
                  <c:v>6488</c:v>
                </c:pt>
                <c:pt idx="6">
                  <c:v>2765</c:v>
                </c:pt>
                <c:pt idx="7">
                  <c:v>4179</c:v>
                </c:pt>
                <c:pt idx="11">
                  <c:v>7074</c:v>
                </c:pt>
                <c:pt idx="12">
                  <c:v>5831</c:v>
                </c:pt>
                <c:pt idx="13">
                  <c:v>2920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6-4B63-B2CC-B0AABA3F3269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7150</c:v>
                </c:pt>
                <c:pt idx="3">
                  <c:v>189856</c:v>
                </c:pt>
                <c:pt idx="4">
                  <c:v>6488</c:v>
                </c:pt>
                <c:pt idx="5">
                  <c:v>2410</c:v>
                </c:pt>
                <c:pt idx="6">
                  <c:v>2765</c:v>
                </c:pt>
                <c:pt idx="7">
                  <c:v>4180</c:v>
                </c:pt>
                <c:pt idx="8">
                  <c:v>1622</c:v>
                </c:pt>
                <c:pt idx="9">
                  <c:v>19229</c:v>
                </c:pt>
                <c:pt idx="10">
                  <c:v>664</c:v>
                </c:pt>
                <c:pt idx="11">
                  <c:v>7074</c:v>
                </c:pt>
                <c:pt idx="12">
                  <c:v>5831</c:v>
                </c:pt>
                <c:pt idx="13">
                  <c:v>2920</c:v>
                </c:pt>
                <c:pt idx="14">
                  <c:v>2920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6-4B63-B2CC-B0AABA3F3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46%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21%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0.45833333333333331</c:v>
                </c:pt>
                <c:pt idx="7">
                  <c:v>0.91644736842105257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0.20833333333333334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B-4E13-8EBD-6642BEBB3A3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EB-4E13-8EBD-6642BEBB3A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0.43609649122807015</c:v>
                </c:pt>
                <c:pt idx="1">
                  <c:v>0.43609649122807015</c:v>
                </c:pt>
                <c:pt idx="2">
                  <c:v>0.43609649122807015</c:v>
                </c:pt>
                <c:pt idx="3">
                  <c:v>0.43609649122807015</c:v>
                </c:pt>
                <c:pt idx="4">
                  <c:v>0.43609649122807015</c:v>
                </c:pt>
                <c:pt idx="5">
                  <c:v>0.43609649122807015</c:v>
                </c:pt>
                <c:pt idx="6">
                  <c:v>0.43609649122807015</c:v>
                </c:pt>
                <c:pt idx="7">
                  <c:v>0.43609649122807015</c:v>
                </c:pt>
                <c:pt idx="8">
                  <c:v>0.43609649122807015</c:v>
                </c:pt>
                <c:pt idx="9">
                  <c:v>0.43609649122807015</c:v>
                </c:pt>
                <c:pt idx="10">
                  <c:v>0.43609649122807015</c:v>
                </c:pt>
                <c:pt idx="11">
                  <c:v>0.43609649122807015</c:v>
                </c:pt>
                <c:pt idx="12">
                  <c:v>0.43609649122807015</c:v>
                </c:pt>
                <c:pt idx="13">
                  <c:v>0.43609649122807015</c:v>
                </c:pt>
                <c:pt idx="14">
                  <c:v>0.43609649122807015</c:v>
                </c:pt>
                <c:pt idx="15">
                  <c:v>0.43609649122807015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B-4E13-8EBD-6642BEBB3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7150</c:v>
                </c:pt>
                <c:pt idx="3">
                  <c:v>189856</c:v>
                </c:pt>
                <c:pt idx="4">
                  <c:v>6488</c:v>
                </c:pt>
                <c:pt idx="6">
                  <c:v>2765</c:v>
                </c:pt>
                <c:pt idx="7">
                  <c:v>4179</c:v>
                </c:pt>
                <c:pt idx="11">
                  <c:v>7074</c:v>
                </c:pt>
                <c:pt idx="12">
                  <c:v>5831</c:v>
                </c:pt>
                <c:pt idx="13">
                  <c:v>2920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9C-476A-8BA7-12CCD8E2C22A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7150</c:v>
                </c:pt>
                <c:pt idx="3">
                  <c:v>189856</c:v>
                </c:pt>
                <c:pt idx="4">
                  <c:v>6488</c:v>
                </c:pt>
                <c:pt idx="5">
                  <c:v>2410</c:v>
                </c:pt>
                <c:pt idx="6">
                  <c:v>2765</c:v>
                </c:pt>
                <c:pt idx="7">
                  <c:v>4180</c:v>
                </c:pt>
                <c:pt idx="8">
                  <c:v>1622</c:v>
                </c:pt>
                <c:pt idx="9">
                  <c:v>19229</c:v>
                </c:pt>
                <c:pt idx="10">
                  <c:v>664</c:v>
                </c:pt>
                <c:pt idx="11">
                  <c:v>7074</c:v>
                </c:pt>
                <c:pt idx="12">
                  <c:v>5831</c:v>
                </c:pt>
                <c:pt idx="13">
                  <c:v>2920</c:v>
                </c:pt>
                <c:pt idx="14">
                  <c:v>2920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9C-476A-8BA7-12CCD8E2C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100%</c:v>
                </c:pt>
                <c:pt idx="5">
                  <c:v>0%</c:v>
                </c:pt>
                <c:pt idx="6">
                  <c:v>46%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21%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1</c:v>
                </c:pt>
                <c:pt idx="5">
                  <c:v>0</c:v>
                </c:pt>
                <c:pt idx="6">
                  <c:v>0.45833333333333331</c:v>
                </c:pt>
                <c:pt idx="7">
                  <c:v>0.91644736842105257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0.20833333333333334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D-4B8B-AC1C-13DB85C63FB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BD-4B8B-AC1C-13DB85C63F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0.43609649122807015</c:v>
                </c:pt>
                <c:pt idx="1">
                  <c:v>0.43609649122807015</c:v>
                </c:pt>
                <c:pt idx="2">
                  <c:v>0.43609649122807015</c:v>
                </c:pt>
                <c:pt idx="3">
                  <c:v>0.43609649122807015</c:v>
                </c:pt>
                <c:pt idx="4">
                  <c:v>0.43609649122807015</c:v>
                </c:pt>
                <c:pt idx="5">
                  <c:v>0.43609649122807015</c:v>
                </c:pt>
                <c:pt idx="6">
                  <c:v>0.43609649122807015</c:v>
                </c:pt>
                <c:pt idx="7">
                  <c:v>0.43609649122807015</c:v>
                </c:pt>
                <c:pt idx="8">
                  <c:v>0.43609649122807015</c:v>
                </c:pt>
                <c:pt idx="9">
                  <c:v>0.43609649122807015</c:v>
                </c:pt>
                <c:pt idx="10">
                  <c:v>0.43609649122807015</c:v>
                </c:pt>
                <c:pt idx="11">
                  <c:v>0.43609649122807015</c:v>
                </c:pt>
                <c:pt idx="12">
                  <c:v>0.43609649122807015</c:v>
                </c:pt>
                <c:pt idx="13">
                  <c:v>0.43609649122807015</c:v>
                </c:pt>
                <c:pt idx="14">
                  <c:v>0.43609649122807015</c:v>
                </c:pt>
                <c:pt idx="15">
                  <c:v>0.43609649122807015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BD-4B8B-AC1C-13DB85C63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AB1-4621-973D-1261EEF2CC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B1-4621-973D-1261EEF2C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AB1-4621-973D-1261EEF2CC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B1-4621-973D-1261EEF2C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HEADER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7008</c:v>
                </c:pt>
                <c:pt idx="3">
                  <c:v>139232</c:v>
                </c:pt>
                <c:pt idx="4">
                  <c:v>6387</c:v>
                </c:pt>
                <c:pt idx="6">
                  <c:v>4857</c:v>
                </c:pt>
                <c:pt idx="7">
                  <c:v>2505</c:v>
                </c:pt>
                <c:pt idx="10">
                  <c:v>600</c:v>
                </c:pt>
                <c:pt idx="11">
                  <c:v>6704</c:v>
                </c:pt>
                <c:pt idx="12">
                  <c:v>2164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4-4246-9F02-F53C722BE2DE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HEADER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7008</c:v>
                </c:pt>
                <c:pt idx="3">
                  <c:v>139232</c:v>
                </c:pt>
                <c:pt idx="4">
                  <c:v>6387</c:v>
                </c:pt>
                <c:pt idx="5">
                  <c:v>2410</c:v>
                </c:pt>
                <c:pt idx="6">
                  <c:v>4857</c:v>
                </c:pt>
                <c:pt idx="7">
                  <c:v>2505</c:v>
                </c:pt>
                <c:pt idx="8">
                  <c:v>1622</c:v>
                </c:pt>
                <c:pt idx="9">
                  <c:v>19229</c:v>
                </c:pt>
                <c:pt idx="10">
                  <c:v>600</c:v>
                </c:pt>
                <c:pt idx="11">
                  <c:v>6704</c:v>
                </c:pt>
                <c:pt idx="12">
                  <c:v>2164</c:v>
                </c:pt>
                <c:pt idx="13">
                  <c:v>2920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4-4246-9F02-F53C722BE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88%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17%</c:v>
                </c:pt>
                <c:pt idx="11">
                  <c:v>100%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HEADER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0.875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0.16666666666666666</c:v>
                </c:pt>
                <c:pt idx="11">
                  <c:v>1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9-4819-9B94-A054BF5F716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F9-4819-9B94-A054BF5F71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HEADER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0.39722222222222225</c:v>
                </c:pt>
                <c:pt idx="1">
                  <c:v>0.39722222222222225</c:v>
                </c:pt>
                <c:pt idx="2">
                  <c:v>0.39722222222222225</c:v>
                </c:pt>
                <c:pt idx="3">
                  <c:v>0.39722222222222225</c:v>
                </c:pt>
                <c:pt idx="4">
                  <c:v>0.39722222222222225</c:v>
                </c:pt>
                <c:pt idx="5">
                  <c:v>0.39722222222222225</c:v>
                </c:pt>
                <c:pt idx="6">
                  <c:v>0.39722222222222225</c:v>
                </c:pt>
                <c:pt idx="7">
                  <c:v>0.39722222222222225</c:v>
                </c:pt>
                <c:pt idx="8">
                  <c:v>0.39722222222222225</c:v>
                </c:pt>
                <c:pt idx="9">
                  <c:v>0.39722222222222225</c:v>
                </c:pt>
                <c:pt idx="10">
                  <c:v>0.39722222222222225</c:v>
                </c:pt>
                <c:pt idx="11">
                  <c:v>0.39722222222222225</c:v>
                </c:pt>
                <c:pt idx="12">
                  <c:v>0.39722222222222225</c:v>
                </c:pt>
                <c:pt idx="13">
                  <c:v>0.39722222222222225</c:v>
                </c:pt>
                <c:pt idx="14">
                  <c:v>0.39722222222222225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F9-4819-9B94-A054BF5F7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HEADER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7008</c:v>
                </c:pt>
                <c:pt idx="3">
                  <c:v>139232</c:v>
                </c:pt>
                <c:pt idx="4">
                  <c:v>6387</c:v>
                </c:pt>
                <c:pt idx="6">
                  <c:v>4857</c:v>
                </c:pt>
                <c:pt idx="7">
                  <c:v>2505</c:v>
                </c:pt>
                <c:pt idx="10">
                  <c:v>600</c:v>
                </c:pt>
                <c:pt idx="11">
                  <c:v>6704</c:v>
                </c:pt>
                <c:pt idx="12">
                  <c:v>2164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E-4DCC-9476-E1F46B8D4AB2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HEADER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7008</c:v>
                </c:pt>
                <c:pt idx="3">
                  <c:v>139232</c:v>
                </c:pt>
                <c:pt idx="4">
                  <c:v>6387</c:v>
                </c:pt>
                <c:pt idx="5">
                  <c:v>2410</c:v>
                </c:pt>
                <c:pt idx="6">
                  <c:v>4857</c:v>
                </c:pt>
                <c:pt idx="7">
                  <c:v>2505</c:v>
                </c:pt>
                <c:pt idx="8">
                  <c:v>1622</c:v>
                </c:pt>
                <c:pt idx="9">
                  <c:v>19229</c:v>
                </c:pt>
                <c:pt idx="10">
                  <c:v>600</c:v>
                </c:pt>
                <c:pt idx="11">
                  <c:v>6704</c:v>
                </c:pt>
                <c:pt idx="12">
                  <c:v>2164</c:v>
                </c:pt>
                <c:pt idx="13">
                  <c:v>2920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E-4DCC-9476-E1F46B8D4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88%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17%</c:v>
                </c:pt>
                <c:pt idx="11">
                  <c:v>100%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HEADER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0.875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0.16666666666666666</c:v>
                </c:pt>
                <c:pt idx="11">
                  <c:v>1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2-4773-8535-86FDE4DD719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C2-4773-8535-86FDE4DD71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LEAD GUIDE</c:v>
                </c:pt>
                <c:pt idx="3">
                  <c:v>SHAFT</c:v>
                </c:pt>
                <c:pt idx="4">
                  <c:v>STOPPER</c:v>
                </c:pt>
                <c:pt idx="5">
                  <c:v>IC GUIDE</c:v>
                </c:pt>
                <c:pt idx="6">
                  <c:v>STOPPER</c:v>
                </c:pt>
                <c:pt idx="7">
                  <c:v>LEAD GUIDE</c:v>
                </c:pt>
                <c:pt idx="8">
                  <c:v>ADAPTER</c:v>
                </c:pt>
                <c:pt idx="9">
                  <c:v>LID</c:v>
                </c:pt>
                <c:pt idx="10">
                  <c:v>HEADER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0.39722222222222225</c:v>
                </c:pt>
                <c:pt idx="1">
                  <c:v>0.39722222222222225</c:v>
                </c:pt>
                <c:pt idx="2">
                  <c:v>0.39722222222222225</c:v>
                </c:pt>
                <c:pt idx="3">
                  <c:v>0.39722222222222225</c:v>
                </c:pt>
                <c:pt idx="4">
                  <c:v>0.39722222222222225</c:v>
                </c:pt>
                <c:pt idx="5">
                  <c:v>0.39722222222222225</c:v>
                </c:pt>
                <c:pt idx="6">
                  <c:v>0.39722222222222225</c:v>
                </c:pt>
                <c:pt idx="7">
                  <c:v>0.39722222222222225</c:v>
                </c:pt>
                <c:pt idx="8">
                  <c:v>0.39722222222222225</c:v>
                </c:pt>
                <c:pt idx="9">
                  <c:v>0.39722222222222225</c:v>
                </c:pt>
                <c:pt idx="10">
                  <c:v>0.39722222222222225</c:v>
                </c:pt>
                <c:pt idx="11">
                  <c:v>0.39722222222222225</c:v>
                </c:pt>
                <c:pt idx="12">
                  <c:v>0.39722222222222225</c:v>
                </c:pt>
                <c:pt idx="13">
                  <c:v>0.39722222222222225</c:v>
                </c:pt>
                <c:pt idx="14">
                  <c:v>0.39722222222222225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C2-4773-8535-86FDE4DD7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0F6-470F-B541-AB224E24AC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6-470F-B541-AB224E24A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F6-470F-B541-AB224E24ACA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F6-470F-B541-AB224E24A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2">
                  <c:v>LEAD GUIDE</c:v>
                </c:pt>
                <c:pt idx="3">
                  <c:v>LEAD GUIDE</c:v>
                </c:pt>
                <c:pt idx="4">
                  <c:v>ACTUATOR</c:v>
                </c:pt>
                <c:pt idx="5">
                  <c:v>STOPPER</c:v>
                </c:pt>
                <c:pt idx="6">
                  <c:v>ADAPTER</c:v>
                </c:pt>
                <c:pt idx="7">
                  <c:v>HEADER</c:v>
                </c:pt>
                <c:pt idx="8">
                  <c:v>LEAD GUIDE</c:v>
                </c:pt>
                <c:pt idx="9">
                  <c:v>ADAPTER</c:v>
                </c:pt>
                <c:pt idx="10">
                  <c:v>LID</c:v>
                </c:pt>
                <c:pt idx="11">
                  <c:v>HEADER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2">
                  <c:v>7231</c:v>
                </c:pt>
                <c:pt idx="3">
                  <c:v>335</c:v>
                </c:pt>
                <c:pt idx="4">
                  <c:v>1166</c:v>
                </c:pt>
                <c:pt idx="5">
                  <c:v>7137</c:v>
                </c:pt>
                <c:pt idx="7">
                  <c:v>27656</c:v>
                </c:pt>
                <c:pt idx="8">
                  <c:v>6064</c:v>
                </c:pt>
                <c:pt idx="12">
                  <c:v>6858</c:v>
                </c:pt>
                <c:pt idx="13">
                  <c:v>3657</c:v>
                </c:pt>
                <c:pt idx="14">
                  <c:v>7060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7-4896-B416-EC9EE6C991E2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2">
                  <c:v>LEAD GUIDE</c:v>
                </c:pt>
                <c:pt idx="3">
                  <c:v>LEAD GUIDE</c:v>
                </c:pt>
                <c:pt idx="4">
                  <c:v>ACTUATOR</c:v>
                </c:pt>
                <c:pt idx="5">
                  <c:v>STOPPER</c:v>
                </c:pt>
                <c:pt idx="6">
                  <c:v>ADAPTER</c:v>
                </c:pt>
                <c:pt idx="7">
                  <c:v>HEADER</c:v>
                </c:pt>
                <c:pt idx="8">
                  <c:v>LEAD GUIDE</c:v>
                </c:pt>
                <c:pt idx="9">
                  <c:v>ADAPTER</c:v>
                </c:pt>
                <c:pt idx="10">
                  <c:v>LID</c:v>
                </c:pt>
                <c:pt idx="11">
                  <c:v>HEADER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7231</c:v>
                </c:pt>
                <c:pt idx="3">
                  <c:v>335</c:v>
                </c:pt>
                <c:pt idx="4">
                  <c:v>1166</c:v>
                </c:pt>
                <c:pt idx="5">
                  <c:v>7137</c:v>
                </c:pt>
                <c:pt idx="6">
                  <c:v>2410</c:v>
                </c:pt>
                <c:pt idx="7">
                  <c:v>27656</c:v>
                </c:pt>
                <c:pt idx="8">
                  <c:v>6064</c:v>
                </c:pt>
                <c:pt idx="9">
                  <c:v>1622</c:v>
                </c:pt>
                <c:pt idx="10">
                  <c:v>19229</c:v>
                </c:pt>
                <c:pt idx="11">
                  <c:v>600</c:v>
                </c:pt>
                <c:pt idx="12">
                  <c:v>6858</c:v>
                </c:pt>
                <c:pt idx="13">
                  <c:v>3657</c:v>
                </c:pt>
                <c:pt idx="14">
                  <c:v>7060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7-4896-B416-EC9EE6C99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17%</c:v>
                </c:pt>
                <c:pt idx="4">
                  <c:v>29%</c:v>
                </c:pt>
                <c:pt idx="5">
                  <c:v>100%</c:v>
                </c:pt>
                <c:pt idx="6">
                  <c:v>0%</c:v>
                </c:pt>
                <c:pt idx="7">
                  <c:v>88%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79%</c:v>
                </c:pt>
                <c:pt idx="14">
                  <c:v>83%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2">
                  <c:v>LEAD GUIDE</c:v>
                </c:pt>
                <c:pt idx="3">
                  <c:v>LEAD GUIDE</c:v>
                </c:pt>
                <c:pt idx="4">
                  <c:v>ACTUATOR</c:v>
                </c:pt>
                <c:pt idx="5">
                  <c:v>STOPPER</c:v>
                </c:pt>
                <c:pt idx="6">
                  <c:v>ADAPTER</c:v>
                </c:pt>
                <c:pt idx="7">
                  <c:v>HEADER</c:v>
                </c:pt>
                <c:pt idx="8">
                  <c:v>LEAD GUIDE</c:v>
                </c:pt>
                <c:pt idx="9">
                  <c:v>ADAPTER</c:v>
                </c:pt>
                <c:pt idx="10">
                  <c:v>LID</c:v>
                </c:pt>
                <c:pt idx="11">
                  <c:v>HEADER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0.16666666666666666</c:v>
                </c:pt>
                <c:pt idx="4">
                  <c:v>0.29166666666666669</c:v>
                </c:pt>
                <c:pt idx="5">
                  <c:v>1</c:v>
                </c:pt>
                <c:pt idx="6">
                  <c:v>0</c:v>
                </c:pt>
                <c:pt idx="7">
                  <c:v>0.875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0.79166666666666663</c:v>
                </c:pt>
                <c:pt idx="14">
                  <c:v>0.83333333333333337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B-4F9F-8C7D-864C33B2CFE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EB-4F9F-8C7D-864C33B2CFE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2">
                  <c:v>LEAD GUIDE</c:v>
                </c:pt>
                <c:pt idx="3">
                  <c:v>LEAD GUIDE</c:v>
                </c:pt>
                <c:pt idx="4">
                  <c:v>ACTUATOR</c:v>
                </c:pt>
                <c:pt idx="5">
                  <c:v>STOPPER</c:v>
                </c:pt>
                <c:pt idx="6">
                  <c:v>ADAPTER</c:v>
                </c:pt>
                <c:pt idx="7">
                  <c:v>HEADER</c:v>
                </c:pt>
                <c:pt idx="8">
                  <c:v>LEAD GUIDE</c:v>
                </c:pt>
                <c:pt idx="9">
                  <c:v>ADAPTER</c:v>
                </c:pt>
                <c:pt idx="10">
                  <c:v>LID</c:v>
                </c:pt>
                <c:pt idx="11">
                  <c:v>HEADER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0.46388888888888891</c:v>
                </c:pt>
                <c:pt idx="1">
                  <c:v>0.46388888888888891</c:v>
                </c:pt>
                <c:pt idx="2">
                  <c:v>0.46388888888888891</c:v>
                </c:pt>
                <c:pt idx="3">
                  <c:v>0.46388888888888891</c:v>
                </c:pt>
                <c:pt idx="4">
                  <c:v>0.46388888888888891</c:v>
                </c:pt>
                <c:pt idx="5">
                  <c:v>0.46388888888888891</c:v>
                </c:pt>
                <c:pt idx="6">
                  <c:v>0.46388888888888891</c:v>
                </c:pt>
                <c:pt idx="7">
                  <c:v>0.46388888888888891</c:v>
                </c:pt>
                <c:pt idx="8">
                  <c:v>0.46388888888888891</c:v>
                </c:pt>
                <c:pt idx="9">
                  <c:v>0.46388888888888891</c:v>
                </c:pt>
                <c:pt idx="10">
                  <c:v>0.46388888888888891</c:v>
                </c:pt>
                <c:pt idx="11">
                  <c:v>0.46388888888888891</c:v>
                </c:pt>
                <c:pt idx="12">
                  <c:v>0.46388888888888891</c:v>
                </c:pt>
                <c:pt idx="13">
                  <c:v>0.46388888888888891</c:v>
                </c:pt>
                <c:pt idx="14">
                  <c:v>0.46388888888888891</c:v>
                </c:pt>
                <c:pt idx="15">
                  <c:v>0.46388888888888891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B-4F9F-8C7D-864C33B2C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'14'!$D$6:$D$21</c:f>
              <c:strCache>
                <c:ptCount val="15"/>
                <c:pt idx="2">
                  <c:v>LEAD GUIDE</c:v>
                </c:pt>
                <c:pt idx="3">
                  <c:v>LEAD GUIDE</c:v>
                </c:pt>
                <c:pt idx="4">
                  <c:v>ACTUATOR</c:v>
                </c:pt>
                <c:pt idx="5">
                  <c:v>STOPPER</c:v>
                </c:pt>
                <c:pt idx="6">
                  <c:v>ADAPTER</c:v>
                </c:pt>
                <c:pt idx="7">
                  <c:v>HEADER</c:v>
                </c:pt>
                <c:pt idx="8">
                  <c:v>LEAD GUIDE</c:v>
                </c:pt>
                <c:pt idx="9">
                  <c:v>ADAPTER</c:v>
                </c:pt>
                <c:pt idx="10">
                  <c:v>LID</c:v>
                </c:pt>
                <c:pt idx="11">
                  <c:v>HEADER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'14'!$L$6:$L$21</c:f>
              <c:numCache>
                <c:formatCode>_(* #,##0_);_(* \(#,##0\);_(* "-"_);_(@_)</c:formatCode>
                <c:ptCount val="16"/>
                <c:pt idx="2">
                  <c:v>7231</c:v>
                </c:pt>
                <c:pt idx="3">
                  <c:v>335</c:v>
                </c:pt>
                <c:pt idx="4">
                  <c:v>1166</c:v>
                </c:pt>
                <c:pt idx="5">
                  <c:v>7137</c:v>
                </c:pt>
                <c:pt idx="7">
                  <c:v>27656</c:v>
                </c:pt>
                <c:pt idx="8">
                  <c:v>6064</c:v>
                </c:pt>
                <c:pt idx="12">
                  <c:v>6858</c:v>
                </c:pt>
                <c:pt idx="13">
                  <c:v>3657</c:v>
                </c:pt>
                <c:pt idx="14">
                  <c:v>7060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3-499E-BFD5-737930DE4B26}"/>
            </c:ext>
          </c:extLst>
        </c:ser>
        <c:ser>
          <c:idx val="1"/>
          <c:order val="1"/>
          <c:tx>
            <c:v>계획</c:v>
          </c:tx>
          <c:cat>
            <c:strRef>
              <c:f>'14'!$D$6:$D$21</c:f>
              <c:strCache>
                <c:ptCount val="15"/>
                <c:pt idx="2">
                  <c:v>LEAD GUIDE</c:v>
                </c:pt>
                <c:pt idx="3">
                  <c:v>LEAD GUIDE</c:v>
                </c:pt>
                <c:pt idx="4">
                  <c:v>ACTUATOR</c:v>
                </c:pt>
                <c:pt idx="5">
                  <c:v>STOPPER</c:v>
                </c:pt>
                <c:pt idx="6">
                  <c:v>ADAPTER</c:v>
                </c:pt>
                <c:pt idx="7">
                  <c:v>HEADER</c:v>
                </c:pt>
                <c:pt idx="8">
                  <c:v>LEAD GUIDE</c:v>
                </c:pt>
                <c:pt idx="9">
                  <c:v>ADAPTER</c:v>
                </c:pt>
                <c:pt idx="10">
                  <c:v>LID</c:v>
                </c:pt>
                <c:pt idx="11">
                  <c:v>HEADER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7231</c:v>
                </c:pt>
                <c:pt idx="3">
                  <c:v>335</c:v>
                </c:pt>
                <c:pt idx="4">
                  <c:v>1166</c:v>
                </c:pt>
                <c:pt idx="5">
                  <c:v>7137</c:v>
                </c:pt>
                <c:pt idx="6">
                  <c:v>2410</c:v>
                </c:pt>
                <c:pt idx="7">
                  <c:v>27656</c:v>
                </c:pt>
                <c:pt idx="8">
                  <c:v>6064</c:v>
                </c:pt>
                <c:pt idx="9">
                  <c:v>1622</c:v>
                </c:pt>
                <c:pt idx="10">
                  <c:v>19229</c:v>
                </c:pt>
                <c:pt idx="11">
                  <c:v>600</c:v>
                </c:pt>
                <c:pt idx="12">
                  <c:v>6858</c:v>
                </c:pt>
                <c:pt idx="13">
                  <c:v>3657</c:v>
                </c:pt>
                <c:pt idx="14">
                  <c:v>7060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3-499E-BFD5-737930DE4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17%</c:v>
                </c:pt>
                <c:pt idx="4">
                  <c:v>29%</c:v>
                </c:pt>
                <c:pt idx="5">
                  <c:v>100%</c:v>
                </c:pt>
                <c:pt idx="6">
                  <c:v>0%</c:v>
                </c:pt>
                <c:pt idx="7">
                  <c:v>88%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79%</c:v>
                </c:pt>
                <c:pt idx="14">
                  <c:v>83%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2">
                  <c:v>LEAD GUIDE</c:v>
                </c:pt>
                <c:pt idx="3">
                  <c:v>LEAD GUIDE</c:v>
                </c:pt>
                <c:pt idx="4">
                  <c:v>ACTUATOR</c:v>
                </c:pt>
                <c:pt idx="5">
                  <c:v>STOPPER</c:v>
                </c:pt>
                <c:pt idx="6">
                  <c:v>ADAPTER</c:v>
                </c:pt>
                <c:pt idx="7">
                  <c:v>HEADER</c:v>
                </c:pt>
                <c:pt idx="8">
                  <c:v>LEAD GUIDE</c:v>
                </c:pt>
                <c:pt idx="9">
                  <c:v>ADAPTER</c:v>
                </c:pt>
                <c:pt idx="10">
                  <c:v>LID</c:v>
                </c:pt>
                <c:pt idx="11">
                  <c:v>HEADER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0.16666666666666666</c:v>
                </c:pt>
                <c:pt idx="4">
                  <c:v>0.29166666666666669</c:v>
                </c:pt>
                <c:pt idx="5">
                  <c:v>1</c:v>
                </c:pt>
                <c:pt idx="6">
                  <c:v>0</c:v>
                </c:pt>
                <c:pt idx="7">
                  <c:v>0.875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0.79166666666666663</c:v>
                </c:pt>
                <c:pt idx="14">
                  <c:v>0.83333333333333337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9-46EF-8286-867031948FB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A9-46EF-8286-867031948F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'14'!$D$6:$D$21</c:f>
              <c:strCache>
                <c:ptCount val="15"/>
                <c:pt idx="2">
                  <c:v>LEAD GUIDE</c:v>
                </c:pt>
                <c:pt idx="3">
                  <c:v>LEAD GUIDE</c:v>
                </c:pt>
                <c:pt idx="4">
                  <c:v>ACTUATOR</c:v>
                </c:pt>
                <c:pt idx="5">
                  <c:v>STOPPER</c:v>
                </c:pt>
                <c:pt idx="6">
                  <c:v>ADAPTER</c:v>
                </c:pt>
                <c:pt idx="7">
                  <c:v>HEADER</c:v>
                </c:pt>
                <c:pt idx="8">
                  <c:v>LEAD GUIDE</c:v>
                </c:pt>
                <c:pt idx="9">
                  <c:v>ADAPTER</c:v>
                </c:pt>
                <c:pt idx="10">
                  <c:v>LID</c:v>
                </c:pt>
                <c:pt idx="11">
                  <c:v>HEADER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'14'!$AE$6:$AE$21</c:f>
              <c:numCache>
                <c:formatCode>0%</c:formatCode>
                <c:ptCount val="16"/>
                <c:pt idx="0">
                  <c:v>0.46388888888888891</c:v>
                </c:pt>
                <c:pt idx="1">
                  <c:v>0.46388888888888891</c:v>
                </c:pt>
                <c:pt idx="2">
                  <c:v>0.46388888888888891</c:v>
                </c:pt>
                <c:pt idx="3">
                  <c:v>0.46388888888888891</c:v>
                </c:pt>
                <c:pt idx="4">
                  <c:v>0.46388888888888891</c:v>
                </c:pt>
                <c:pt idx="5">
                  <c:v>0.46388888888888891</c:v>
                </c:pt>
                <c:pt idx="6">
                  <c:v>0.46388888888888891</c:v>
                </c:pt>
                <c:pt idx="7">
                  <c:v>0.46388888888888891</c:v>
                </c:pt>
                <c:pt idx="8">
                  <c:v>0.46388888888888891</c:v>
                </c:pt>
                <c:pt idx="9">
                  <c:v>0.46388888888888891</c:v>
                </c:pt>
                <c:pt idx="10">
                  <c:v>0.46388888888888891</c:v>
                </c:pt>
                <c:pt idx="11">
                  <c:v>0.46388888888888891</c:v>
                </c:pt>
                <c:pt idx="12">
                  <c:v>0.46388888888888891</c:v>
                </c:pt>
                <c:pt idx="13">
                  <c:v>0.46388888888888891</c:v>
                </c:pt>
                <c:pt idx="14">
                  <c:v>0.46388888888888891</c:v>
                </c:pt>
                <c:pt idx="15">
                  <c:v>0.46388888888888891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A9-46EF-8286-867031948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FD4-4F19-B968-4666E22C7D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4-4F19-B968-4666E22C7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D4-4F19-B968-4666E22C7D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D4-4F19-B968-4666E22C7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HEADER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2308</c:v>
                </c:pt>
                <c:pt idx="4">
                  <c:v>3143</c:v>
                </c:pt>
                <c:pt idx="6">
                  <c:v>14784</c:v>
                </c:pt>
                <c:pt idx="7">
                  <c:v>2650</c:v>
                </c:pt>
                <c:pt idx="8">
                  <c:v>204</c:v>
                </c:pt>
                <c:pt idx="10">
                  <c:v>1292</c:v>
                </c:pt>
                <c:pt idx="11">
                  <c:v>2960</c:v>
                </c:pt>
                <c:pt idx="12">
                  <c:v>1002</c:v>
                </c:pt>
                <c:pt idx="13">
                  <c:v>1442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3-4557-AF05-294C0F6C3DE7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HEADER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335</c:v>
                </c:pt>
                <c:pt idx="4">
                  <c:v>3143</c:v>
                </c:pt>
                <c:pt idx="5">
                  <c:v>2410</c:v>
                </c:pt>
                <c:pt idx="6">
                  <c:v>14784</c:v>
                </c:pt>
                <c:pt idx="7">
                  <c:v>2650</c:v>
                </c:pt>
                <c:pt idx="8">
                  <c:v>204</c:v>
                </c:pt>
                <c:pt idx="9">
                  <c:v>19229</c:v>
                </c:pt>
                <c:pt idx="10">
                  <c:v>1292</c:v>
                </c:pt>
                <c:pt idx="11">
                  <c:v>2960</c:v>
                </c:pt>
                <c:pt idx="12">
                  <c:v>1002</c:v>
                </c:pt>
                <c:pt idx="13">
                  <c:v>1442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3-4557-AF05-294C0F6C3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0%</c:v>
                </c:pt>
                <c:pt idx="4">
                  <c:v>42%</c:v>
                </c:pt>
                <c:pt idx="5">
                  <c:v>0%</c:v>
                </c:pt>
                <c:pt idx="6">
                  <c:v>42%</c:v>
                </c:pt>
                <c:pt idx="7">
                  <c:v>42%</c:v>
                </c:pt>
                <c:pt idx="8">
                  <c:v>21%</c:v>
                </c:pt>
                <c:pt idx="9">
                  <c:v>0%</c:v>
                </c:pt>
                <c:pt idx="10">
                  <c:v>33%</c:v>
                </c:pt>
                <c:pt idx="11">
                  <c:v>42%</c:v>
                </c:pt>
                <c:pt idx="12">
                  <c:v>29%</c:v>
                </c:pt>
                <c:pt idx="13">
                  <c:v>25%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HEADER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</c:v>
                </c:pt>
                <c:pt idx="4">
                  <c:v>0.41666666666666669</c:v>
                </c:pt>
                <c:pt idx="5">
                  <c:v>0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0.20833333333333334</c:v>
                </c:pt>
                <c:pt idx="9">
                  <c:v>0</c:v>
                </c:pt>
                <c:pt idx="10">
                  <c:v>0.33333333333333331</c:v>
                </c:pt>
                <c:pt idx="11">
                  <c:v>0.41666666666666669</c:v>
                </c:pt>
                <c:pt idx="12">
                  <c:v>0.29166666666666669</c:v>
                </c:pt>
                <c:pt idx="13">
                  <c:v>0.25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0-46C6-870A-8327E868C16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B0-46C6-870A-8327E868C16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HEADER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0.21111111111111111</c:v>
                </c:pt>
                <c:pt idx="1">
                  <c:v>0.21111111111111111</c:v>
                </c:pt>
                <c:pt idx="2">
                  <c:v>0.21111111111111111</c:v>
                </c:pt>
                <c:pt idx="3">
                  <c:v>0.21111111111111111</c:v>
                </c:pt>
                <c:pt idx="4">
                  <c:v>0.21111111111111111</c:v>
                </c:pt>
                <c:pt idx="5">
                  <c:v>0.21111111111111111</c:v>
                </c:pt>
                <c:pt idx="6">
                  <c:v>0.21111111111111111</c:v>
                </c:pt>
                <c:pt idx="7">
                  <c:v>0.21111111111111111</c:v>
                </c:pt>
                <c:pt idx="8">
                  <c:v>0.21111111111111111</c:v>
                </c:pt>
                <c:pt idx="9">
                  <c:v>0.21111111111111111</c:v>
                </c:pt>
                <c:pt idx="10">
                  <c:v>0.21111111111111111</c:v>
                </c:pt>
                <c:pt idx="11">
                  <c:v>0.21111111111111111</c:v>
                </c:pt>
                <c:pt idx="12">
                  <c:v>0.21111111111111111</c:v>
                </c:pt>
                <c:pt idx="13">
                  <c:v>0.21111111111111111</c:v>
                </c:pt>
                <c:pt idx="14">
                  <c:v>0.21111111111111111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0-46C6-870A-8327E868C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HEADER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2308</c:v>
                </c:pt>
                <c:pt idx="4">
                  <c:v>3143</c:v>
                </c:pt>
                <c:pt idx="6">
                  <c:v>14784</c:v>
                </c:pt>
                <c:pt idx="7">
                  <c:v>2650</c:v>
                </c:pt>
                <c:pt idx="8">
                  <c:v>204</c:v>
                </c:pt>
                <c:pt idx="10">
                  <c:v>1292</c:v>
                </c:pt>
                <c:pt idx="11">
                  <c:v>2960</c:v>
                </c:pt>
                <c:pt idx="12">
                  <c:v>1002</c:v>
                </c:pt>
                <c:pt idx="13">
                  <c:v>1442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4-4574-9351-2F73923CEC12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HEADER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335</c:v>
                </c:pt>
                <c:pt idx="4">
                  <c:v>3143</c:v>
                </c:pt>
                <c:pt idx="5">
                  <c:v>2410</c:v>
                </c:pt>
                <c:pt idx="6">
                  <c:v>14784</c:v>
                </c:pt>
                <c:pt idx="7">
                  <c:v>2650</c:v>
                </c:pt>
                <c:pt idx="8">
                  <c:v>204</c:v>
                </c:pt>
                <c:pt idx="9">
                  <c:v>19229</c:v>
                </c:pt>
                <c:pt idx="10">
                  <c:v>1292</c:v>
                </c:pt>
                <c:pt idx="11">
                  <c:v>2960</c:v>
                </c:pt>
                <c:pt idx="12">
                  <c:v>1002</c:v>
                </c:pt>
                <c:pt idx="13">
                  <c:v>1442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4-4574-9351-2F73923CE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0%</c:v>
                </c:pt>
                <c:pt idx="4">
                  <c:v>42%</c:v>
                </c:pt>
                <c:pt idx="5">
                  <c:v>0%</c:v>
                </c:pt>
                <c:pt idx="6">
                  <c:v>42%</c:v>
                </c:pt>
                <c:pt idx="7">
                  <c:v>42%</c:v>
                </c:pt>
                <c:pt idx="8">
                  <c:v>21%</c:v>
                </c:pt>
                <c:pt idx="9">
                  <c:v>0%</c:v>
                </c:pt>
                <c:pt idx="10">
                  <c:v>33%</c:v>
                </c:pt>
                <c:pt idx="11">
                  <c:v>42%</c:v>
                </c:pt>
                <c:pt idx="12">
                  <c:v>29%</c:v>
                </c:pt>
                <c:pt idx="13">
                  <c:v>25%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HEADER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</c:v>
                </c:pt>
                <c:pt idx="4">
                  <c:v>0.41666666666666669</c:v>
                </c:pt>
                <c:pt idx="5">
                  <c:v>0</c:v>
                </c:pt>
                <c:pt idx="6">
                  <c:v>0.41666666666666669</c:v>
                </c:pt>
                <c:pt idx="7">
                  <c:v>0.41666666666666669</c:v>
                </c:pt>
                <c:pt idx="8">
                  <c:v>0.20833333333333334</c:v>
                </c:pt>
                <c:pt idx="9">
                  <c:v>0</c:v>
                </c:pt>
                <c:pt idx="10">
                  <c:v>0.33333333333333331</c:v>
                </c:pt>
                <c:pt idx="11">
                  <c:v>0.41666666666666669</c:v>
                </c:pt>
                <c:pt idx="12">
                  <c:v>0.29166666666666669</c:v>
                </c:pt>
                <c:pt idx="13">
                  <c:v>0.25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65-4B61-8ADD-904FB73A96F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65-4B61-8ADD-904FB73A96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HEADER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0.21111111111111111</c:v>
                </c:pt>
                <c:pt idx="1">
                  <c:v>0.21111111111111111</c:v>
                </c:pt>
                <c:pt idx="2">
                  <c:v>0.21111111111111111</c:v>
                </c:pt>
                <c:pt idx="3">
                  <c:v>0.21111111111111111</c:v>
                </c:pt>
                <c:pt idx="4">
                  <c:v>0.21111111111111111</c:v>
                </c:pt>
                <c:pt idx="5">
                  <c:v>0.21111111111111111</c:v>
                </c:pt>
                <c:pt idx="6">
                  <c:v>0.21111111111111111</c:v>
                </c:pt>
                <c:pt idx="7">
                  <c:v>0.21111111111111111</c:v>
                </c:pt>
                <c:pt idx="8">
                  <c:v>0.21111111111111111</c:v>
                </c:pt>
                <c:pt idx="9">
                  <c:v>0.21111111111111111</c:v>
                </c:pt>
                <c:pt idx="10">
                  <c:v>0.21111111111111111</c:v>
                </c:pt>
                <c:pt idx="11">
                  <c:v>0.21111111111111111</c:v>
                </c:pt>
                <c:pt idx="12">
                  <c:v>0.21111111111111111</c:v>
                </c:pt>
                <c:pt idx="13">
                  <c:v>0.21111111111111111</c:v>
                </c:pt>
                <c:pt idx="14">
                  <c:v>0.21111111111111111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65-4B61-8ADD-904FB73A9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E18-4A85-B7A3-BE81943F07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8-4A85-B7A3-BE81943F0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E18-4A85-B7A3-BE81943F07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18-4A85-B7A3-BE81943F0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0</c:v>
                </c:pt>
                <c:pt idx="3">
                  <c:v>1100</c:v>
                </c:pt>
                <c:pt idx="4">
                  <c:v>6382</c:v>
                </c:pt>
                <c:pt idx="6">
                  <c:v>3939</c:v>
                </c:pt>
                <c:pt idx="8">
                  <c:v>308</c:v>
                </c:pt>
                <c:pt idx="10">
                  <c:v>4512</c:v>
                </c:pt>
                <c:pt idx="11">
                  <c:v>6544</c:v>
                </c:pt>
                <c:pt idx="12">
                  <c:v>4031</c:v>
                </c:pt>
                <c:pt idx="13">
                  <c:v>10364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C-445A-AB39-352956D8ABA4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1100</c:v>
                </c:pt>
                <c:pt idx="4">
                  <c:v>6382</c:v>
                </c:pt>
                <c:pt idx="5">
                  <c:v>2410</c:v>
                </c:pt>
                <c:pt idx="6">
                  <c:v>3939</c:v>
                </c:pt>
                <c:pt idx="7">
                  <c:v>2650</c:v>
                </c:pt>
                <c:pt idx="8">
                  <c:v>308</c:v>
                </c:pt>
                <c:pt idx="9">
                  <c:v>19229</c:v>
                </c:pt>
                <c:pt idx="10">
                  <c:v>4512</c:v>
                </c:pt>
                <c:pt idx="11">
                  <c:v>6544</c:v>
                </c:pt>
                <c:pt idx="12">
                  <c:v>4031</c:v>
                </c:pt>
                <c:pt idx="13">
                  <c:v>10364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C-445A-AB39-352956D8A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33%</c:v>
                </c:pt>
                <c:pt idx="4">
                  <c:v>100%</c:v>
                </c:pt>
                <c:pt idx="5">
                  <c:v>0%</c:v>
                </c:pt>
                <c:pt idx="6">
                  <c:v>71%</c:v>
                </c:pt>
                <c:pt idx="7">
                  <c:v>0%</c:v>
                </c:pt>
                <c:pt idx="8">
                  <c:v>21%</c:v>
                </c:pt>
                <c:pt idx="9">
                  <c:v>0%</c:v>
                </c:pt>
                <c:pt idx="10">
                  <c:v>92%</c:v>
                </c:pt>
                <c:pt idx="11">
                  <c:v>100%</c:v>
                </c:pt>
                <c:pt idx="12">
                  <c:v>79%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1</c:v>
                </c:pt>
                <c:pt idx="5">
                  <c:v>0</c:v>
                </c:pt>
                <c:pt idx="6">
                  <c:v>0.70833333333333337</c:v>
                </c:pt>
                <c:pt idx="7">
                  <c:v>0</c:v>
                </c:pt>
                <c:pt idx="8">
                  <c:v>0.20833333333333334</c:v>
                </c:pt>
                <c:pt idx="9">
                  <c:v>0</c:v>
                </c:pt>
                <c:pt idx="10">
                  <c:v>0.91666666666666663</c:v>
                </c:pt>
                <c:pt idx="11">
                  <c:v>1</c:v>
                </c:pt>
                <c:pt idx="12">
                  <c:v>0.79166666666666663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A3-4E09-A8CD-C183F04321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A3-4E09-A8CD-C183F04321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0.3972222222222222</c:v>
                </c:pt>
                <c:pt idx="1">
                  <c:v>0.3972222222222222</c:v>
                </c:pt>
                <c:pt idx="2">
                  <c:v>0.3972222222222222</c:v>
                </c:pt>
                <c:pt idx="3">
                  <c:v>0.3972222222222222</c:v>
                </c:pt>
                <c:pt idx="4">
                  <c:v>0.3972222222222222</c:v>
                </c:pt>
                <c:pt idx="5">
                  <c:v>0.3972222222222222</c:v>
                </c:pt>
                <c:pt idx="6">
                  <c:v>0.3972222222222222</c:v>
                </c:pt>
                <c:pt idx="7">
                  <c:v>0.3972222222222222</c:v>
                </c:pt>
                <c:pt idx="8">
                  <c:v>0.3972222222222222</c:v>
                </c:pt>
                <c:pt idx="9">
                  <c:v>0.3972222222222222</c:v>
                </c:pt>
                <c:pt idx="10">
                  <c:v>0.3972222222222222</c:v>
                </c:pt>
                <c:pt idx="11">
                  <c:v>0.3972222222222222</c:v>
                </c:pt>
                <c:pt idx="12">
                  <c:v>0.3972222222222222</c:v>
                </c:pt>
                <c:pt idx="13">
                  <c:v>0.3972222222222222</c:v>
                </c:pt>
                <c:pt idx="14">
                  <c:v>0.3972222222222222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A3-4E09-A8CD-C183F0432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0</c:v>
                </c:pt>
                <c:pt idx="3">
                  <c:v>1100</c:v>
                </c:pt>
                <c:pt idx="4">
                  <c:v>6382</c:v>
                </c:pt>
                <c:pt idx="6">
                  <c:v>3939</c:v>
                </c:pt>
                <c:pt idx="8">
                  <c:v>308</c:v>
                </c:pt>
                <c:pt idx="10">
                  <c:v>4512</c:v>
                </c:pt>
                <c:pt idx="11">
                  <c:v>6544</c:v>
                </c:pt>
                <c:pt idx="12">
                  <c:v>4031</c:v>
                </c:pt>
                <c:pt idx="13">
                  <c:v>10364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E-4D89-A474-2204F451F6C6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1100</c:v>
                </c:pt>
                <c:pt idx="4">
                  <c:v>6382</c:v>
                </c:pt>
                <c:pt idx="5">
                  <c:v>2410</c:v>
                </c:pt>
                <c:pt idx="6">
                  <c:v>3939</c:v>
                </c:pt>
                <c:pt idx="7">
                  <c:v>2650</c:v>
                </c:pt>
                <c:pt idx="8">
                  <c:v>308</c:v>
                </c:pt>
                <c:pt idx="9">
                  <c:v>19229</c:v>
                </c:pt>
                <c:pt idx="10">
                  <c:v>4512</c:v>
                </c:pt>
                <c:pt idx="11">
                  <c:v>6544</c:v>
                </c:pt>
                <c:pt idx="12">
                  <c:v>4031</c:v>
                </c:pt>
                <c:pt idx="13">
                  <c:v>10364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E-4D89-A474-2204F451F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33%</c:v>
                </c:pt>
                <c:pt idx="4">
                  <c:v>100%</c:v>
                </c:pt>
                <c:pt idx="5">
                  <c:v>0%</c:v>
                </c:pt>
                <c:pt idx="6">
                  <c:v>71%</c:v>
                </c:pt>
                <c:pt idx="7">
                  <c:v>0%</c:v>
                </c:pt>
                <c:pt idx="8">
                  <c:v>21%</c:v>
                </c:pt>
                <c:pt idx="9">
                  <c:v>0%</c:v>
                </c:pt>
                <c:pt idx="10">
                  <c:v>92%</c:v>
                </c:pt>
                <c:pt idx="11">
                  <c:v>100%</c:v>
                </c:pt>
                <c:pt idx="12">
                  <c:v>79%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1</c:v>
                </c:pt>
                <c:pt idx="5">
                  <c:v>0</c:v>
                </c:pt>
                <c:pt idx="6">
                  <c:v>0.70833333333333337</c:v>
                </c:pt>
                <c:pt idx="7">
                  <c:v>0</c:v>
                </c:pt>
                <c:pt idx="8">
                  <c:v>0.20833333333333334</c:v>
                </c:pt>
                <c:pt idx="9">
                  <c:v>0</c:v>
                </c:pt>
                <c:pt idx="10">
                  <c:v>0.91666666666666663</c:v>
                </c:pt>
                <c:pt idx="11">
                  <c:v>1</c:v>
                </c:pt>
                <c:pt idx="12">
                  <c:v>0.79166666666666663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E-4687-B223-27EBE4D94AC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DE-4687-B223-27EBE4D94AC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0.3972222222222222</c:v>
                </c:pt>
                <c:pt idx="1">
                  <c:v>0.3972222222222222</c:v>
                </c:pt>
                <c:pt idx="2">
                  <c:v>0.3972222222222222</c:v>
                </c:pt>
                <c:pt idx="3">
                  <c:v>0.3972222222222222</c:v>
                </c:pt>
                <c:pt idx="4">
                  <c:v>0.3972222222222222</c:v>
                </c:pt>
                <c:pt idx="5">
                  <c:v>0.3972222222222222</c:v>
                </c:pt>
                <c:pt idx="6">
                  <c:v>0.3972222222222222</c:v>
                </c:pt>
                <c:pt idx="7">
                  <c:v>0.3972222222222222</c:v>
                </c:pt>
                <c:pt idx="8">
                  <c:v>0.3972222222222222</c:v>
                </c:pt>
                <c:pt idx="9">
                  <c:v>0.3972222222222222</c:v>
                </c:pt>
                <c:pt idx="10">
                  <c:v>0.3972222222222222</c:v>
                </c:pt>
                <c:pt idx="11">
                  <c:v>0.3972222222222222</c:v>
                </c:pt>
                <c:pt idx="12">
                  <c:v>0.3972222222222222</c:v>
                </c:pt>
                <c:pt idx="13">
                  <c:v>0.3972222222222222</c:v>
                </c:pt>
                <c:pt idx="14">
                  <c:v>0.3972222222222222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E-4687-B223-27EBE4D94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DF2-4B08-8665-5F47D2EC0C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2-4B08-8665-5F47D2EC0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F2-4B08-8665-5F47D2EC0C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2-4B08-8665-5F47D2EC0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0</c:v>
                </c:pt>
                <c:pt idx="3">
                  <c:v>2202</c:v>
                </c:pt>
                <c:pt idx="5">
                  <c:v>1597</c:v>
                </c:pt>
                <c:pt idx="6">
                  <c:v>1818</c:v>
                </c:pt>
                <c:pt idx="10">
                  <c:v>3969</c:v>
                </c:pt>
                <c:pt idx="12">
                  <c:v>3549</c:v>
                </c:pt>
                <c:pt idx="13">
                  <c:v>9550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4-469C-BE83-D5A23A673603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2202</c:v>
                </c:pt>
                <c:pt idx="4">
                  <c:v>6382</c:v>
                </c:pt>
                <c:pt idx="5">
                  <c:v>1597</c:v>
                </c:pt>
                <c:pt idx="6">
                  <c:v>1818</c:v>
                </c:pt>
                <c:pt idx="7">
                  <c:v>2650</c:v>
                </c:pt>
                <c:pt idx="8">
                  <c:v>308</c:v>
                </c:pt>
                <c:pt idx="9">
                  <c:v>19229</c:v>
                </c:pt>
                <c:pt idx="10">
                  <c:v>3969</c:v>
                </c:pt>
                <c:pt idx="11">
                  <c:v>6544</c:v>
                </c:pt>
                <c:pt idx="12">
                  <c:v>3549</c:v>
                </c:pt>
                <c:pt idx="13">
                  <c:v>9550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4-469C-BE83-D5A23A673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67%</c:v>
                </c:pt>
                <c:pt idx="4">
                  <c:v>0%</c:v>
                </c:pt>
                <c:pt idx="5">
                  <c:v>42%</c:v>
                </c:pt>
                <c:pt idx="6">
                  <c:v>29%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83%</c:v>
                </c:pt>
                <c:pt idx="11">
                  <c:v>0%</c:v>
                </c:pt>
                <c:pt idx="12">
                  <c:v>83%</c:v>
                </c:pt>
                <c:pt idx="13">
                  <c:v>92%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0.66666666666666663</c:v>
                </c:pt>
                <c:pt idx="4">
                  <c:v>0</c:v>
                </c:pt>
                <c:pt idx="5">
                  <c:v>0.41666666666666669</c:v>
                </c:pt>
                <c:pt idx="6">
                  <c:v>0.29166666666666669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BD-4897-8530-6840CF106A6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6BD-4897-8530-6840CF106A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0.2638888888888889</c:v>
                </c:pt>
                <c:pt idx="1">
                  <c:v>0.2638888888888889</c:v>
                </c:pt>
                <c:pt idx="2">
                  <c:v>0.2638888888888889</c:v>
                </c:pt>
                <c:pt idx="3">
                  <c:v>0.2638888888888889</c:v>
                </c:pt>
                <c:pt idx="4">
                  <c:v>0.2638888888888889</c:v>
                </c:pt>
                <c:pt idx="5">
                  <c:v>0.2638888888888889</c:v>
                </c:pt>
                <c:pt idx="6">
                  <c:v>0.2638888888888889</c:v>
                </c:pt>
                <c:pt idx="7">
                  <c:v>0.2638888888888889</c:v>
                </c:pt>
                <c:pt idx="8">
                  <c:v>0.2638888888888889</c:v>
                </c:pt>
                <c:pt idx="9">
                  <c:v>0.2638888888888889</c:v>
                </c:pt>
                <c:pt idx="10">
                  <c:v>0.2638888888888889</c:v>
                </c:pt>
                <c:pt idx="11">
                  <c:v>0.2638888888888889</c:v>
                </c:pt>
                <c:pt idx="12">
                  <c:v>0.2638888888888889</c:v>
                </c:pt>
                <c:pt idx="13">
                  <c:v>0.2638888888888889</c:v>
                </c:pt>
                <c:pt idx="14">
                  <c:v>0.2638888888888889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BD-4897-8530-6840CF106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0</c:v>
                </c:pt>
                <c:pt idx="3">
                  <c:v>2202</c:v>
                </c:pt>
                <c:pt idx="5">
                  <c:v>1597</c:v>
                </c:pt>
                <c:pt idx="6">
                  <c:v>1818</c:v>
                </c:pt>
                <c:pt idx="10">
                  <c:v>3969</c:v>
                </c:pt>
                <c:pt idx="12">
                  <c:v>3549</c:v>
                </c:pt>
                <c:pt idx="13">
                  <c:v>9550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4-425F-AA65-C5E66B0372FA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2202</c:v>
                </c:pt>
                <c:pt idx="4">
                  <c:v>6382</c:v>
                </c:pt>
                <c:pt idx="5">
                  <c:v>1597</c:v>
                </c:pt>
                <c:pt idx="6">
                  <c:v>1818</c:v>
                </c:pt>
                <c:pt idx="7">
                  <c:v>2650</c:v>
                </c:pt>
                <c:pt idx="8">
                  <c:v>308</c:v>
                </c:pt>
                <c:pt idx="9">
                  <c:v>19229</c:v>
                </c:pt>
                <c:pt idx="10">
                  <c:v>3969</c:v>
                </c:pt>
                <c:pt idx="11">
                  <c:v>6544</c:v>
                </c:pt>
                <c:pt idx="12">
                  <c:v>3549</c:v>
                </c:pt>
                <c:pt idx="13">
                  <c:v>9550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4-425F-AA65-C5E66B037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67%</c:v>
                </c:pt>
                <c:pt idx="4">
                  <c:v>0%</c:v>
                </c:pt>
                <c:pt idx="5">
                  <c:v>42%</c:v>
                </c:pt>
                <c:pt idx="6">
                  <c:v>29%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83%</c:v>
                </c:pt>
                <c:pt idx="11">
                  <c:v>0%</c:v>
                </c:pt>
                <c:pt idx="12">
                  <c:v>83%</c:v>
                </c:pt>
                <c:pt idx="13">
                  <c:v>92%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0.66666666666666663</c:v>
                </c:pt>
                <c:pt idx="4">
                  <c:v>0</c:v>
                </c:pt>
                <c:pt idx="5">
                  <c:v>0.41666666666666669</c:v>
                </c:pt>
                <c:pt idx="6">
                  <c:v>0.29166666666666669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9D-4A44-BAC0-6A1845FFDB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9D-4A44-BAC0-6A1845FFDB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Receptacle(GUIDE없음)</c:v>
                </c:pt>
                <c:pt idx="7">
                  <c:v>LEAD GUIDE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0.2638888888888889</c:v>
                </c:pt>
                <c:pt idx="1">
                  <c:v>0.2638888888888889</c:v>
                </c:pt>
                <c:pt idx="2">
                  <c:v>0.2638888888888889</c:v>
                </c:pt>
                <c:pt idx="3">
                  <c:v>0.2638888888888889</c:v>
                </c:pt>
                <c:pt idx="4">
                  <c:v>0.2638888888888889</c:v>
                </c:pt>
                <c:pt idx="5">
                  <c:v>0.2638888888888889</c:v>
                </c:pt>
                <c:pt idx="6">
                  <c:v>0.2638888888888889</c:v>
                </c:pt>
                <c:pt idx="7">
                  <c:v>0.2638888888888889</c:v>
                </c:pt>
                <c:pt idx="8">
                  <c:v>0.2638888888888889</c:v>
                </c:pt>
                <c:pt idx="9">
                  <c:v>0.2638888888888889</c:v>
                </c:pt>
                <c:pt idx="10">
                  <c:v>0.2638888888888889</c:v>
                </c:pt>
                <c:pt idx="11">
                  <c:v>0.2638888888888889</c:v>
                </c:pt>
                <c:pt idx="12">
                  <c:v>0.2638888888888889</c:v>
                </c:pt>
                <c:pt idx="13">
                  <c:v>0.2638888888888889</c:v>
                </c:pt>
                <c:pt idx="14">
                  <c:v>0.2638888888888889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9D-4A44-BAC0-6A1845FFD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30D-4149-B2C5-7D0ACC268A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D-4149-B2C5-7D0ACC26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0D-4149-B2C5-7D0ACC268A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0D-4149-B2C5-7D0ACC26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STOPPER</c:v>
                </c:pt>
                <c:pt idx="7">
                  <c:v>COVER</c:v>
                </c:pt>
                <c:pt idx="8">
                  <c:v>LEAD GUIDE</c:v>
                </c:pt>
                <c:pt idx="9">
                  <c:v>LEAD GUIDE</c:v>
                </c:pt>
                <c:pt idx="10">
                  <c:v>BASE</c:v>
                </c:pt>
                <c:pt idx="11">
                  <c:v>LID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2">
                  <c:v>0</c:v>
                </c:pt>
                <c:pt idx="3">
                  <c:v>7225</c:v>
                </c:pt>
                <c:pt idx="5">
                  <c:v>2136</c:v>
                </c:pt>
                <c:pt idx="6">
                  <c:v>358</c:v>
                </c:pt>
                <c:pt idx="7">
                  <c:v>220</c:v>
                </c:pt>
                <c:pt idx="8">
                  <c:v>313</c:v>
                </c:pt>
                <c:pt idx="12">
                  <c:v>4406</c:v>
                </c:pt>
                <c:pt idx="14">
                  <c:v>3951</c:v>
                </c:pt>
                <c:pt idx="15">
                  <c:v>9876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2-4F78-97C0-D67D0EA89B48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STOPPER</c:v>
                </c:pt>
                <c:pt idx="7">
                  <c:v>COVER</c:v>
                </c:pt>
                <c:pt idx="8">
                  <c:v>LEAD GUIDE</c:v>
                </c:pt>
                <c:pt idx="9">
                  <c:v>LEAD GUIDE</c:v>
                </c:pt>
                <c:pt idx="10">
                  <c:v>BASE</c:v>
                </c:pt>
                <c:pt idx="11">
                  <c:v>LID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7225</c:v>
                </c:pt>
                <c:pt idx="4">
                  <c:v>6382</c:v>
                </c:pt>
                <c:pt idx="5">
                  <c:v>2136</c:v>
                </c:pt>
                <c:pt idx="6">
                  <c:v>358</c:v>
                </c:pt>
                <c:pt idx="7">
                  <c:v>220</c:v>
                </c:pt>
                <c:pt idx="8">
                  <c:v>313</c:v>
                </c:pt>
                <c:pt idx="9">
                  <c:v>2650</c:v>
                </c:pt>
                <c:pt idx="10">
                  <c:v>308</c:v>
                </c:pt>
                <c:pt idx="11">
                  <c:v>19229</c:v>
                </c:pt>
                <c:pt idx="12">
                  <c:v>4406</c:v>
                </c:pt>
                <c:pt idx="13">
                  <c:v>6544</c:v>
                </c:pt>
                <c:pt idx="14">
                  <c:v>3951</c:v>
                </c:pt>
                <c:pt idx="15">
                  <c:v>9876</c:v>
                </c:pt>
                <c:pt idx="16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2-4F78-97C0-D67D0EA89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17%</c:v>
                </c:pt>
                <c:pt idx="6">
                  <c:v>13%</c:v>
                </c:pt>
                <c:pt idx="7">
                  <c:v>13%</c:v>
                </c:pt>
                <c:pt idx="8">
                  <c:v>13%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88%</c:v>
                </c:pt>
                <c:pt idx="13">
                  <c:v>0%</c:v>
                </c:pt>
                <c:pt idx="14">
                  <c:v>88%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STOPPER</c:v>
                </c:pt>
                <c:pt idx="7">
                  <c:v>COVER</c:v>
                </c:pt>
                <c:pt idx="8">
                  <c:v>LEAD GUIDE</c:v>
                </c:pt>
                <c:pt idx="9">
                  <c:v>LEAD GUIDE</c:v>
                </c:pt>
                <c:pt idx="10">
                  <c:v>BASE</c:v>
                </c:pt>
                <c:pt idx="11">
                  <c:v>LID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0.16666666666666666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0.875</c:v>
                </c:pt>
                <c:pt idx="13">
                  <c:v>0</c:v>
                </c:pt>
                <c:pt idx="14">
                  <c:v>0.875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5-4D64-A765-11C94C6BFAB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75-4D64-A765-11C94C6BFA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STOPPER</c:v>
                </c:pt>
                <c:pt idx="7">
                  <c:v>COVER</c:v>
                </c:pt>
                <c:pt idx="8">
                  <c:v>LEAD GUIDE</c:v>
                </c:pt>
                <c:pt idx="9">
                  <c:v>LEAD GUIDE</c:v>
                </c:pt>
                <c:pt idx="10">
                  <c:v>BASE</c:v>
                </c:pt>
                <c:pt idx="11">
                  <c:v>LID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0.28611111111111115</c:v>
                </c:pt>
                <c:pt idx="1">
                  <c:v>0.28611111111111115</c:v>
                </c:pt>
                <c:pt idx="2">
                  <c:v>0.28611111111111115</c:v>
                </c:pt>
                <c:pt idx="3">
                  <c:v>0.28611111111111115</c:v>
                </c:pt>
                <c:pt idx="4">
                  <c:v>0.28611111111111115</c:v>
                </c:pt>
                <c:pt idx="5">
                  <c:v>0.28611111111111115</c:v>
                </c:pt>
                <c:pt idx="6">
                  <c:v>0.28611111111111115</c:v>
                </c:pt>
                <c:pt idx="7">
                  <c:v>0.28611111111111115</c:v>
                </c:pt>
                <c:pt idx="8">
                  <c:v>0.28611111111111115</c:v>
                </c:pt>
                <c:pt idx="9">
                  <c:v>0.28611111111111115</c:v>
                </c:pt>
                <c:pt idx="10">
                  <c:v>0.28611111111111115</c:v>
                </c:pt>
                <c:pt idx="11">
                  <c:v>0.28611111111111115</c:v>
                </c:pt>
                <c:pt idx="12">
                  <c:v>0.28611111111111115</c:v>
                </c:pt>
                <c:pt idx="13">
                  <c:v>0.28611111111111115</c:v>
                </c:pt>
                <c:pt idx="14">
                  <c:v>0.28611111111111115</c:v>
                </c:pt>
                <c:pt idx="15">
                  <c:v>0.28611111111111115</c:v>
                </c:pt>
                <c:pt idx="16">
                  <c:v>0.28611111111111115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75-4D64-A765-11C94C6BF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STOPPER</c:v>
                </c:pt>
                <c:pt idx="7">
                  <c:v>COVER</c:v>
                </c:pt>
                <c:pt idx="8">
                  <c:v>LEAD GUIDE</c:v>
                </c:pt>
                <c:pt idx="9">
                  <c:v>LEAD GUIDE</c:v>
                </c:pt>
                <c:pt idx="10">
                  <c:v>BASE</c:v>
                </c:pt>
                <c:pt idx="11">
                  <c:v>LID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2">
                  <c:v>0</c:v>
                </c:pt>
                <c:pt idx="3">
                  <c:v>7225</c:v>
                </c:pt>
                <c:pt idx="5">
                  <c:v>2136</c:v>
                </c:pt>
                <c:pt idx="6">
                  <c:v>358</c:v>
                </c:pt>
                <c:pt idx="7">
                  <c:v>220</c:v>
                </c:pt>
                <c:pt idx="8">
                  <c:v>313</c:v>
                </c:pt>
                <c:pt idx="12">
                  <c:v>4406</c:v>
                </c:pt>
                <c:pt idx="14">
                  <c:v>3951</c:v>
                </c:pt>
                <c:pt idx="15">
                  <c:v>9876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5-414F-9173-518BB6F44E16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STOPPER</c:v>
                </c:pt>
                <c:pt idx="7">
                  <c:v>COVER</c:v>
                </c:pt>
                <c:pt idx="8">
                  <c:v>LEAD GUIDE</c:v>
                </c:pt>
                <c:pt idx="9">
                  <c:v>LEAD GUIDE</c:v>
                </c:pt>
                <c:pt idx="10">
                  <c:v>BASE</c:v>
                </c:pt>
                <c:pt idx="11">
                  <c:v>LID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7225</c:v>
                </c:pt>
                <c:pt idx="4">
                  <c:v>6382</c:v>
                </c:pt>
                <c:pt idx="5">
                  <c:v>2136</c:v>
                </c:pt>
                <c:pt idx="6">
                  <c:v>358</c:v>
                </c:pt>
                <c:pt idx="7">
                  <c:v>220</c:v>
                </c:pt>
                <c:pt idx="8">
                  <c:v>313</c:v>
                </c:pt>
                <c:pt idx="9">
                  <c:v>2650</c:v>
                </c:pt>
                <c:pt idx="10">
                  <c:v>308</c:v>
                </c:pt>
                <c:pt idx="11">
                  <c:v>19229</c:v>
                </c:pt>
                <c:pt idx="12">
                  <c:v>4406</c:v>
                </c:pt>
                <c:pt idx="13">
                  <c:v>6544</c:v>
                </c:pt>
                <c:pt idx="14">
                  <c:v>3951</c:v>
                </c:pt>
                <c:pt idx="15">
                  <c:v>9876</c:v>
                </c:pt>
                <c:pt idx="16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5-414F-9173-518BB6F44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17%</c:v>
                </c:pt>
                <c:pt idx="6">
                  <c:v>13%</c:v>
                </c:pt>
                <c:pt idx="7">
                  <c:v>13%</c:v>
                </c:pt>
                <c:pt idx="8">
                  <c:v>13%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88%</c:v>
                </c:pt>
                <c:pt idx="13">
                  <c:v>0%</c:v>
                </c:pt>
                <c:pt idx="14">
                  <c:v>88%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STOPPER</c:v>
                </c:pt>
                <c:pt idx="7">
                  <c:v>COVER</c:v>
                </c:pt>
                <c:pt idx="8">
                  <c:v>LEAD GUIDE</c:v>
                </c:pt>
                <c:pt idx="9">
                  <c:v>LEAD GUIDE</c:v>
                </c:pt>
                <c:pt idx="10">
                  <c:v>BASE</c:v>
                </c:pt>
                <c:pt idx="11">
                  <c:v>LID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0.16666666666666666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0.875</c:v>
                </c:pt>
                <c:pt idx="13">
                  <c:v>0</c:v>
                </c:pt>
                <c:pt idx="14">
                  <c:v>0.875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9-4854-BC4C-D5009F979DD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09-4854-BC4C-D5009F979DD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STOPPER</c:v>
                </c:pt>
                <c:pt idx="7">
                  <c:v>COVER</c:v>
                </c:pt>
                <c:pt idx="8">
                  <c:v>LEAD GUIDE</c:v>
                </c:pt>
                <c:pt idx="9">
                  <c:v>LEAD GUIDE</c:v>
                </c:pt>
                <c:pt idx="10">
                  <c:v>BASE</c:v>
                </c:pt>
                <c:pt idx="11">
                  <c:v>LID</c:v>
                </c:pt>
                <c:pt idx="12">
                  <c:v>STOPPER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0.28611111111111115</c:v>
                </c:pt>
                <c:pt idx="1">
                  <c:v>0.28611111111111115</c:v>
                </c:pt>
                <c:pt idx="2">
                  <c:v>0.28611111111111115</c:v>
                </c:pt>
                <c:pt idx="3">
                  <c:v>0.28611111111111115</c:v>
                </c:pt>
                <c:pt idx="4">
                  <c:v>0.28611111111111115</c:v>
                </c:pt>
                <c:pt idx="5">
                  <c:v>0.28611111111111115</c:v>
                </c:pt>
                <c:pt idx="6">
                  <c:v>0.28611111111111115</c:v>
                </c:pt>
                <c:pt idx="7">
                  <c:v>0.28611111111111115</c:v>
                </c:pt>
                <c:pt idx="8">
                  <c:v>0.28611111111111115</c:v>
                </c:pt>
                <c:pt idx="9">
                  <c:v>0.28611111111111115</c:v>
                </c:pt>
                <c:pt idx="10">
                  <c:v>0.28611111111111115</c:v>
                </c:pt>
                <c:pt idx="11">
                  <c:v>0.28611111111111115</c:v>
                </c:pt>
                <c:pt idx="12">
                  <c:v>0.28611111111111115</c:v>
                </c:pt>
                <c:pt idx="13">
                  <c:v>0.28611111111111115</c:v>
                </c:pt>
                <c:pt idx="14">
                  <c:v>0.28611111111111115</c:v>
                </c:pt>
                <c:pt idx="15">
                  <c:v>0.28611111111111115</c:v>
                </c:pt>
                <c:pt idx="16">
                  <c:v>0.28611111111111115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09-4854-BC4C-D5009F979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3DE-45FB-937D-75224DEC34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E-45FB-937D-75224DEC3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DE-45FB-937D-75224DEC34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DE-45FB-937D-75224DEC3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'20'!$D$6:$D$23</c:f>
              <c:strCache>
                <c:ptCount val="17"/>
                <c:pt idx="2">
                  <c:v>LEAD GUIDE</c:v>
                </c:pt>
                <c:pt idx="3">
                  <c:v>Receptacle(GUIDE없음)</c:v>
                </c:pt>
                <c:pt idx="4">
                  <c:v>ACTUATOR</c:v>
                </c:pt>
                <c:pt idx="5">
                  <c:v>BASE</c:v>
                </c:pt>
                <c:pt idx="6">
                  <c:v>STOPPER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'20'!$L$6:$L$23</c:f>
              <c:numCache>
                <c:formatCode>_(* #,##0_);_(* \(#,##0\);_(* "-"_);_(@_)</c:formatCode>
                <c:ptCount val="18"/>
                <c:pt idx="2">
                  <c:v>0</c:v>
                </c:pt>
                <c:pt idx="3">
                  <c:v>2787</c:v>
                </c:pt>
                <c:pt idx="4">
                  <c:v>270</c:v>
                </c:pt>
                <c:pt idx="5">
                  <c:v>310</c:v>
                </c:pt>
                <c:pt idx="8">
                  <c:v>2160</c:v>
                </c:pt>
                <c:pt idx="9">
                  <c:v>2181</c:v>
                </c:pt>
                <c:pt idx="10">
                  <c:v>2120</c:v>
                </c:pt>
                <c:pt idx="13">
                  <c:v>3892</c:v>
                </c:pt>
                <c:pt idx="15">
                  <c:v>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F-4862-9DE0-3D196B32F502}"/>
            </c:ext>
          </c:extLst>
        </c:ser>
        <c:ser>
          <c:idx val="1"/>
          <c:order val="1"/>
          <c:tx>
            <c:v>계획</c:v>
          </c:tx>
          <c:cat>
            <c:strRef>
              <c:f>'20'!$D$6:$D$23</c:f>
              <c:strCache>
                <c:ptCount val="17"/>
                <c:pt idx="2">
                  <c:v>LEAD GUIDE</c:v>
                </c:pt>
                <c:pt idx="3">
                  <c:v>Receptacle(GUIDE없음)</c:v>
                </c:pt>
                <c:pt idx="4">
                  <c:v>ACTUATOR</c:v>
                </c:pt>
                <c:pt idx="5">
                  <c:v>BASE</c:v>
                </c:pt>
                <c:pt idx="6">
                  <c:v>STOPPER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'20'!$J$6:$J$23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2787</c:v>
                </c:pt>
                <c:pt idx="4">
                  <c:v>270</c:v>
                </c:pt>
                <c:pt idx="5">
                  <c:v>310</c:v>
                </c:pt>
                <c:pt idx="6">
                  <c:v>6382</c:v>
                </c:pt>
                <c:pt idx="7">
                  <c:v>2136</c:v>
                </c:pt>
                <c:pt idx="8">
                  <c:v>2160</c:v>
                </c:pt>
                <c:pt idx="9">
                  <c:v>2181</c:v>
                </c:pt>
                <c:pt idx="10">
                  <c:v>2120</c:v>
                </c:pt>
                <c:pt idx="11">
                  <c:v>308</c:v>
                </c:pt>
                <c:pt idx="12">
                  <c:v>19229</c:v>
                </c:pt>
                <c:pt idx="13">
                  <c:v>3892</c:v>
                </c:pt>
                <c:pt idx="14">
                  <c:v>6544</c:v>
                </c:pt>
                <c:pt idx="15">
                  <c:v>5799</c:v>
                </c:pt>
                <c:pt idx="16">
                  <c:v>9876</c:v>
                </c:pt>
                <c:pt idx="17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F-4862-9DE0-3D196B32F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13%</c:v>
                </c:pt>
                <c:pt idx="5">
                  <c:v>17%</c:v>
                </c:pt>
                <c:pt idx="6">
                  <c:v>0%</c:v>
                </c:pt>
                <c:pt idx="7">
                  <c:v>0%</c:v>
                </c:pt>
                <c:pt idx="8">
                  <c:v>25%</c:v>
                </c:pt>
                <c:pt idx="9">
                  <c:v>54%</c:v>
                </c:pt>
                <c:pt idx="10">
                  <c:v>25%</c:v>
                </c:pt>
                <c:pt idx="11">
                  <c:v>0%</c:v>
                </c:pt>
                <c:pt idx="12">
                  <c:v>0%</c:v>
                </c:pt>
                <c:pt idx="13">
                  <c:v>83%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'20'!$D$6:$D$23</c:f>
              <c:strCache>
                <c:ptCount val="17"/>
                <c:pt idx="2">
                  <c:v>LEAD GUIDE</c:v>
                </c:pt>
                <c:pt idx="3">
                  <c:v>Receptacle(GUIDE없음)</c:v>
                </c:pt>
                <c:pt idx="4">
                  <c:v>ACTUATOR</c:v>
                </c:pt>
                <c:pt idx="5">
                  <c:v>BASE</c:v>
                </c:pt>
                <c:pt idx="6">
                  <c:v>STOPPER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'20'!$AD$6:$AD$23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0.125</c:v>
                </c:pt>
                <c:pt idx="5">
                  <c:v>0.16666666666666666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0.54166666666666663</c:v>
                </c:pt>
                <c:pt idx="10">
                  <c:v>0.25</c:v>
                </c:pt>
                <c:pt idx="11">
                  <c:v>0</c:v>
                </c:pt>
                <c:pt idx="12">
                  <c:v>0</c:v>
                </c:pt>
                <c:pt idx="13">
                  <c:v>0.83333333333333337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C-4B2D-95AF-88A17780E9F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1C-4B2D-95AF-88A17780E9F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'20'!$D$6:$D$23</c:f>
              <c:strCache>
                <c:ptCount val="17"/>
                <c:pt idx="2">
                  <c:v>LEAD GUIDE</c:v>
                </c:pt>
                <c:pt idx="3">
                  <c:v>Receptacle(GUIDE없음)</c:v>
                </c:pt>
                <c:pt idx="4">
                  <c:v>ACTUATOR</c:v>
                </c:pt>
                <c:pt idx="5">
                  <c:v>BASE</c:v>
                </c:pt>
                <c:pt idx="6">
                  <c:v>STOPPER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'20'!$AE$6:$AE$23</c:f>
              <c:numCache>
                <c:formatCode>0%</c:formatCode>
                <c:ptCount val="18"/>
                <c:pt idx="0">
                  <c:v>0.24444444444444444</c:v>
                </c:pt>
                <c:pt idx="1">
                  <c:v>0.24444444444444444</c:v>
                </c:pt>
                <c:pt idx="2">
                  <c:v>0.24444444444444444</c:v>
                </c:pt>
                <c:pt idx="3">
                  <c:v>0.24444444444444444</c:v>
                </c:pt>
                <c:pt idx="4">
                  <c:v>0.24444444444444444</c:v>
                </c:pt>
                <c:pt idx="5">
                  <c:v>0.24444444444444444</c:v>
                </c:pt>
                <c:pt idx="6">
                  <c:v>0.24444444444444444</c:v>
                </c:pt>
                <c:pt idx="7">
                  <c:v>0.24444444444444444</c:v>
                </c:pt>
                <c:pt idx="8">
                  <c:v>0.24444444444444444</c:v>
                </c:pt>
                <c:pt idx="9">
                  <c:v>0.24444444444444444</c:v>
                </c:pt>
                <c:pt idx="10">
                  <c:v>0.24444444444444444</c:v>
                </c:pt>
                <c:pt idx="11">
                  <c:v>0.24444444444444444</c:v>
                </c:pt>
                <c:pt idx="12">
                  <c:v>0.24444444444444444</c:v>
                </c:pt>
                <c:pt idx="13">
                  <c:v>0.24444444444444444</c:v>
                </c:pt>
                <c:pt idx="14">
                  <c:v>0.24444444444444444</c:v>
                </c:pt>
                <c:pt idx="15">
                  <c:v>0.24444444444444444</c:v>
                </c:pt>
                <c:pt idx="16">
                  <c:v>0.24444444444444444</c:v>
                </c:pt>
                <c:pt idx="17">
                  <c:v>0.24444444444444444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1C-4B2D-95AF-88A17780E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'20'!$D$6:$D$23</c:f>
              <c:strCache>
                <c:ptCount val="17"/>
                <c:pt idx="2">
                  <c:v>LEAD GUIDE</c:v>
                </c:pt>
                <c:pt idx="3">
                  <c:v>Receptacle(GUIDE없음)</c:v>
                </c:pt>
                <c:pt idx="4">
                  <c:v>ACTUATOR</c:v>
                </c:pt>
                <c:pt idx="5">
                  <c:v>BASE</c:v>
                </c:pt>
                <c:pt idx="6">
                  <c:v>STOPPER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'20'!$L$6:$L$23</c:f>
              <c:numCache>
                <c:formatCode>_(* #,##0_);_(* \(#,##0\);_(* "-"_);_(@_)</c:formatCode>
                <c:ptCount val="18"/>
                <c:pt idx="2">
                  <c:v>0</c:v>
                </c:pt>
                <c:pt idx="3">
                  <c:v>2787</c:v>
                </c:pt>
                <c:pt idx="4">
                  <c:v>270</c:v>
                </c:pt>
                <c:pt idx="5">
                  <c:v>310</c:v>
                </c:pt>
                <c:pt idx="8">
                  <c:v>2160</c:v>
                </c:pt>
                <c:pt idx="9">
                  <c:v>2181</c:v>
                </c:pt>
                <c:pt idx="10">
                  <c:v>2120</c:v>
                </c:pt>
                <c:pt idx="13">
                  <c:v>3892</c:v>
                </c:pt>
                <c:pt idx="15">
                  <c:v>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3-493D-AB62-EC83C22B11B0}"/>
            </c:ext>
          </c:extLst>
        </c:ser>
        <c:ser>
          <c:idx val="1"/>
          <c:order val="1"/>
          <c:tx>
            <c:v>계획</c:v>
          </c:tx>
          <c:cat>
            <c:strRef>
              <c:f>'20'!$D$6:$D$23</c:f>
              <c:strCache>
                <c:ptCount val="17"/>
                <c:pt idx="2">
                  <c:v>LEAD GUIDE</c:v>
                </c:pt>
                <c:pt idx="3">
                  <c:v>Receptacle(GUIDE없음)</c:v>
                </c:pt>
                <c:pt idx="4">
                  <c:v>ACTUATOR</c:v>
                </c:pt>
                <c:pt idx="5">
                  <c:v>BASE</c:v>
                </c:pt>
                <c:pt idx="6">
                  <c:v>STOPPER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'20'!$J$6:$J$23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2787</c:v>
                </c:pt>
                <c:pt idx="4">
                  <c:v>270</c:v>
                </c:pt>
                <c:pt idx="5">
                  <c:v>310</c:v>
                </c:pt>
                <c:pt idx="6">
                  <c:v>6382</c:v>
                </c:pt>
                <c:pt idx="7">
                  <c:v>2136</c:v>
                </c:pt>
                <c:pt idx="8">
                  <c:v>2160</c:v>
                </c:pt>
                <c:pt idx="9">
                  <c:v>2181</c:v>
                </c:pt>
                <c:pt idx="10">
                  <c:v>2120</c:v>
                </c:pt>
                <c:pt idx="11">
                  <c:v>308</c:v>
                </c:pt>
                <c:pt idx="12">
                  <c:v>19229</c:v>
                </c:pt>
                <c:pt idx="13">
                  <c:v>3892</c:v>
                </c:pt>
                <c:pt idx="14">
                  <c:v>6544</c:v>
                </c:pt>
                <c:pt idx="15">
                  <c:v>5799</c:v>
                </c:pt>
                <c:pt idx="16">
                  <c:v>9876</c:v>
                </c:pt>
                <c:pt idx="17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3-493D-AB62-EC83C22B1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13%</c:v>
                </c:pt>
                <c:pt idx="5">
                  <c:v>17%</c:v>
                </c:pt>
                <c:pt idx="6">
                  <c:v>0%</c:v>
                </c:pt>
                <c:pt idx="7">
                  <c:v>0%</c:v>
                </c:pt>
                <c:pt idx="8">
                  <c:v>25%</c:v>
                </c:pt>
                <c:pt idx="9">
                  <c:v>54%</c:v>
                </c:pt>
                <c:pt idx="10">
                  <c:v>25%</c:v>
                </c:pt>
                <c:pt idx="11">
                  <c:v>0%</c:v>
                </c:pt>
                <c:pt idx="12">
                  <c:v>0%</c:v>
                </c:pt>
                <c:pt idx="13">
                  <c:v>83%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  <c:pt idx="17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'20'!$D$6:$D$23</c:f>
              <c:strCache>
                <c:ptCount val="17"/>
                <c:pt idx="2">
                  <c:v>LEAD GUIDE</c:v>
                </c:pt>
                <c:pt idx="3">
                  <c:v>Receptacle(GUIDE없음)</c:v>
                </c:pt>
                <c:pt idx="4">
                  <c:v>ACTUATOR</c:v>
                </c:pt>
                <c:pt idx="5">
                  <c:v>BASE</c:v>
                </c:pt>
                <c:pt idx="6">
                  <c:v>STOPPER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'20'!$AD$6:$AD$23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0.125</c:v>
                </c:pt>
                <c:pt idx="5">
                  <c:v>0.16666666666666666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0.54166666666666663</c:v>
                </c:pt>
                <c:pt idx="10">
                  <c:v>0.25</c:v>
                </c:pt>
                <c:pt idx="11">
                  <c:v>0</c:v>
                </c:pt>
                <c:pt idx="12">
                  <c:v>0</c:v>
                </c:pt>
                <c:pt idx="13">
                  <c:v>0.83333333333333337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6-4FEC-B6C8-FA00C9A258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36-4FEC-B6C8-FA00C9A258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'20'!$D$6:$D$23</c:f>
              <c:strCache>
                <c:ptCount val="17"/>
                <c:pt idx="2">
                  <c:v>LEAD GUIDE</c:v>
                </c:pt>
                <c:pt idx="3">
                  <c:v>Receptacle(GUIDE없음)</c:v>
                </c:pt>
                <c:pt idx="4">
                  <c:v>ACTUATOR</c:v>
                </c:pt>
                <c:pt idx="5">
                  <c:v>BASE</c:v>
                </c:pt>
                <c:pt idx="6">
                  <c:v>STOPPER</c:v>
                </c:pt>
                <c:pt idx="7">
                  <c:v>ADAPTER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BASE</c:v>
                </c:pt>
                <c:pt idx="12">
                  <c:v>LID</c:v>
                </c:pt>
                <c:pt idx="13">
                  <c:v>STOPPER</c:v>
                </c:pt>
                <c:pt idx="14">
                  <c:v>COVER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'20'!$AE$6:$AE$23</c:f>
              <c:numCache>
                <c:formatCode>0%</c:formatCode>
                <c:ptCount val="18"/>
                <c:pt idx="0">
                  <c:v>0.24444444444444444</c:v>
                </c:pt>
                <c:pt idx="1">
                  <c:v>0.24444444444444444</c:v>
                </c:pt>
                <c:pt idx="2">
                  <c:v>0.24444444444444444</c:v>
                </c:pt>
                <c:pt idx="3">
                  <c:v>0.24444444444444444</c:v>
                </c:pt>
                <c:pt idx="4">
                  <c:v>0.24444444444444444</c:v>
                </c:pt>
                <c:pt idx="5">
                  <c:v>0.24444444444444444</c:v>
                </c:pt>
                <c:pt idx="6">
                  <c:v>0.24444444444444444</c:v>
                </c:pt>
                <c:pt idx="7">
                  <c:v>0.24444444444444444</c:v>
                </c:pt>
                <c:pt idx="8">
                  <c:v>0.24444444444444444</c:v>
                </c:pt>
                <c:pt idx="9">
                  <c:v>0.24444444444444444</c:v>
                </c:pt>
                <c:pt idx="10">
                  <c:v>0.24444444444444444</c:v>
                </c:pt>
                <c:pt idx="11">
                  <c:v>0.24444444444444444</c:v>
                </c:pt>
                <c:pt idx="12">
                  <c:v>0.24444444444444444</c:v>
                </c:pt>
                <c:pt idx="13">
                  <c:v>0.24444444444444444</c:v>
                </c:pt>
                <c:pt idx="14">
                  <c:v>0.24444444444444444</c:v>
                </c:pt>
                <c:pt idx="15">
                  <c:v>0.24444444444444444</c:v>
                </c:pt>
                <c:pt idx="16">
                  <c:v>0.24444444444444444</c:v>
                </c:pt>
                <c:pt idx="17">
                  <c:v>0.24444444444444444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6-4FEC-B6C8-FA00C9A25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E16-4419-9614-0078E5AEFC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6-4419-9614-0078E5AEF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16-4419-9614-0078E5AEFC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16-4419-9614-0078E5AEF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2">
                  <c:v>0</c:v>
                </c:pt>
                <c:pt idx="3">
                  <c:v>2523</c:v>
                </c:pt>
                <c:pt idx="6">
                  <c:v>2158</c:v>
                </c:pt>
                <c:pt idx="7">
                  <c:v>550</c:v>
                </c:pt>
                <c:pt idx="10">
                  <c:v>1774</c:v>
                </c:pt>
                <c:pt idx="12">
                  <c:v>2350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26-43C5-AFCE-3D6D71C46F34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2787</c:v>
                </c:pt>
                <c:pt idx="4">
                  <c:v>6382</c:v>
                </c:pt>
                <c:pt idx="5">
                  <c:v>2136</c:v>
                </c:pt>
                <c:pt idx="6">
                  <c:v>2158</c:v>
                </c:pt>
                <c:pt idx="7">
                  <c:v>550</c:v>
                </c:pt>
                <c:pt idx="8">
                  <c:v>308</c:v>
                </c:pt>
                <c:pt idx="9">
                  <c:v>19229</c:v>
                </c:pt>
                <c:pt idx="10">
                  <c:v>1774</c:v>
                </c:pt>
                <c:pt idx="11">
                  <c:v>6544</c:v>
                </c:pt>
                <c:pt idx="12">
                  <c:v>2350</c:v>
                </c:pt>
                <c:pt idx="13">
                  <c:v>9876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26-43C5-AFCE-3D6D71C46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30%</c:v>
                </c:pt>
                <c:pt idx="4">
                  <c:v>0%</c:v>
                </c:pt>
                <c:pt idx="5">
                  <c:v>0%</c:v>
                </c:pt>
                <c:pt idx="6">
                  <c:v>33%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0%</c:v>
                </c:pt>
                <c:pt idx="12">
                  <c:v>33%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0.30175816289917473</c:v>
                </c:pt>
                <c:pt idx="4">
                  <c:v>0</c:v>
                </c:pt>
                <c:pt idx="5">
                  <c:v>0</c:v>
                </c:pt>
                <c:pt idx="6">
                  <c:v>0.33333333333333331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</c:v>
                </c:pt>
                <c:pt idx="12">
                  <c:v>0.33333333333333331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4-449D-B6AC-8B329616502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54-449D-B6AC-8B329616502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9.7894988637722752E-2</c:v>
                </c:pt>
                <c:pt idx="1">
                  <c:v>9.7894988637722752E-2</c:v>
                </c:pt>
                <c:pt idx="2">
                  <c:v>9.7894988637722752E-2</c:v>
                </c:pt>
                <c:pt idx="3">
                  <c:v>9.7894988637722752E-2</c:v>
                </c:pt>
                <c:pt idx="4">
                  <c:v>9.7894988637722752E-2</c:v>
                </c:pt>
                <c:pt idx="5">
                  <c:v>9.7894988637722752E-2</c:v>
                </c:pt>
                <c:pt idx="6">
                  <c:v>9.7894988637722752E-2</c:v>
                </c:pt>
                <c:pt idx="7">
                  <c:v>9.7894988637722752E-2</c:v>
                </c:pt>
                <c:pt idx="8">
                  <c:v>9.7894988637722752E-2</c:v>
                </c:pt>
                <c:pt idx="9">
                  <c:v>9.7894988637722752E-2</c:v>
                </c:pt>
                <c:pt idx="10">
                  <c:v>9.7894988637722752E-2</c:v>
                </c:pt>
                <c:pt idx="11">
                  <c:v>9.7894988637722752E-2</c:v>
                </c:pt>
                <c:pt idx="12">
                  <c:v>9.7894988637722752E-2</c:v>
                </c:pt>
                <c:pt idx="13">
                  <c:v>9.7894988637722752E-2</c:v>
                </c:pt>
                <c:pt idx="14">
                  <c:v>9.7894988637722752E-2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54-449D-B6AC-8B3296165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2">
                  <c:v>0</c:v>
                </c:pt>
                <c:pt idx="3">
                  <c:v>2523</c:v>
                </c:pt>
                <c:pt idx="6">
                  <c:v>2158</c:v>
                </c:pt>
                <c:pt idx="7">
                  <c:v>550</c:v>
                </c:pt>
                <c:pt idx="10">
                  <c:v>1774</c:v>
                </c:pt>
                <c:pt idx="12">
                  <c:v>2350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0-40B5-87ED-1BAA8F32BDC5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2787</c:v>
                </c:pt>
                <c:pt idx="4">
                  <c:v>6382</c:v>
                </c:pt>
                <c:pt idx="5">
                  <c:v>2136</c:v>
                </c:pt>
                <c:pt idx="6">
                  <c:v>2158</c:v>
                </c:pt>
                <c:pt idx="7">
                  <c:v>550</c:v>
                </c:pt>
                <c:pt idx="8">
                  <c:v>308</c:v>
                </c:pt>
                <c:pt idx="9">
                  <c:v>19229</c:v>
                </c:pt>
                <c:pt idx="10">
                  <c:v>1774</c:v>
                </c:pt>
                <c:pt idx="11">
                  <c:v>6544</c:v>
                </c:pt>
                <c:pt idx="12">
                  <c:v>2350</c:v>
                </c:pt>
                <c:pt idx="13">
                  <c:v>9876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80-40B5-87ED-1BAA8F32B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30%</c:v>
                </c:pt>
                <c:pt idx="4">
                  <c:v>0%</c:v>
                </c:pt>
                <c:pt idx="5">
                  <c:v>0%</c:v>
                </c:pt>
                <c:pt idx="6">
                  <c:v>33%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0%</c:v>
                </c:pt>
                <c:pt idx="12">
                  <c:v>33%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0.30175816289917473</c:v>
                </c:pt>
                <c:pt idx="4">
                  <c:v>0</c:v>
                </c:pt>
                <c:pt idx="5">
                  <c:v>0</c:v>
                </c:pt>
                <c:pt idx="6">
                  <c:v>0.33333333333333331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</c:v>
                </c:pt>
                <c:pt idx="12">
                  <c:v>0.33333333333333331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C-468E-8602-40EFB676D97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5C-468E-8602-40EFB676D9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9.7894988637722752E-2</c:v>
                </c:pt>
                <c:pt idx="1">
                  <c:v>9.7894988637722752E-2</c:v>
                </c:pt>
                <c:pt idx="2">
                  <c:v>9.7894988637722752E-2</c:v>
                </c:pt>
                <c:pt idx="3">
                  <c:v>9.7894988637722752E-2</c:v>
                </c:pt>
                <c:pt idx="4">
                  <c:v>9.7894988637722752E-2</c:v>
                </c:pt>
                <c:pt idx="5">
                  <c:v>9.7894988637722752E-2</c:v>
                </c:pt>
                <c:pt idx="6">
                  <c:v>9.7894988637722752E-2</c:v>
                </c:pt>
                <c:pt idx="7">
                  <c:v>9.7894988637722752E-2</c:v>
                </c:pt>
                <c:pt idx="8">
                  <c:v>9.7894988637722752E-2</c:v>
                </c:pt>
                <c:pt idx="9">
                  <c:v>9.7894988637722752E-2</c:v>
                </c:pt>
                <c:pt idx="10">
                  <c:v>9.7894988637722752E-2</c:v>
                </c:pt>
                <c:pt idx="11">
                  <c:v>9.7894988637722752E-2</c:v>
                </c:pt>
                <c:pt idx="12">
                  <c:v>9.7894988637722752E-2</c:v>
                </c:pt>
                <c:pt idx="13">
                  <c:v>9.7894988637722752E-2</c:v>
                </c:pt>
                <c:pt idx="14">
                  <c:v>9.7894988637722752E-2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5C-468E-8602-40EFB676D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E84-498C-80A5-8FD1C13ECE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84-498C-80A5-8FD1C13EC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E84-498C-80A5-8FD1C13ECE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4-498C-80A5-8FD1C13EC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5">
                  <c:v>3530</c:v>
                </c:pt>
                <c:pt idx="6">
                  <c:v>5261</c:v>
                </c:pt>
                <c:pt idx="7">
                  <c:v>646</c:v>
                </c:pt>
                <c:pt idx="8">
                  <c:v>22420</c:v>
                </c:pt>
                <c:pt idx="10">
                  <c:v>27965</c:v>
                </c:pt>
                <c:pt idx="11">
                  <c:v>3617</c:v>
                </c:pt>
                <c:pt idx="13">
                  <c:v>5600</c:v>
                </c:pt>
                <c:pt idx="14">
                  <c:v>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B-484F-95DB-5E66817462C0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2787</c:v>
                </c:pt>
                <c:pt idx="4">
                  <c:v>6382</c:v>
                </c:pt>
                <c:pt idx="5">
                  <c:v>3530</c:v>
                </c:pt>
                <c:pt idx="6">
                  <c:v>5261</c:v>
                </c:pt>
                <c:pt idx="7">
                  <c:v>646</c:v>
                </c:pt>
                <c:pt idx="8">
                  <c:v>22420</c:v>
                </c:pt>
                <c:pt idx="9">
                  <c:v>308</c:v>
                </c:pt>
                <c:pt idx="10">
                  <c:v>27965</c:v>
                </c:pt>
                <c:pt idx="11">
                  <c:v>3617</c:v>
                </c:pt>
                <c:pt idx="12">
                  <c:v>6544</c:v>
                </c:pt>
                <c:pt idx="13">
                  <c:v>5600</c:v>
                </c:pt>
                <c:pt idx="14">
                  <c:v>1901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1B-484F-95DB-5E6681746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75%</c:v>
                </c:pt>
                <c:pt idx="6">
                  <c:v>100%</c:v>
                </c:pt>
                <c:pt idx="7">
                  <c:v>25%</c:v>
                </c:pt>
                <c:pt idx="8">
                  <c:v>67%</c:v>
                </c:pt>
                <c:pt idx="9">
                  <c:v>0%</c:v>
                </c:pt>
                <c:pt idx="10">
                  <c:v>46%</c:v>
                </c:pt>
                <c:pt idx="11">
                  <c:v>75%</c:v>
                </c:pt>
                <c:pt idx="12">
                  <c:v>0%</c:v>
                </c:pt>
                <c:pt idx="13">
                  <c:v>100%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0.75</c:v>
                </c:pt>
                <c:pt idx="6">
                  <c:v>1</c:v>
                </c:pt>
                <c:pt idx="7">
                  <c:v>0.25</c:v>
                </c:pt>
                <c:pt idx="8">
                  <c:v>0.66666666666666663</c:v>
                </c:pt>
                <c:pt idx="9">
                  <c:v>0</c:v>
                </c:pt>
                <c:pt idx="10">
                  <c:v>0.45833333333333331</c:v>
                </c:pt>
                <c:pt idx="11">
                  <c:v>0.75</c:v>
                </c:pt>
                <c:pt idx="12">
                  <c:v>0</c:v>
                </c:pt>
                <c:pt idx="13">
                  <c:v>1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7-45E4-8AB0-FEFFEFCF921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87-45E4-8AB0-FEFFEFCF92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0.3527777777777778</c:v>
                </c:pt>
                <c:pt idx="1">
                  <c:v>0.3527777777777778</c:v>
                </c:pt>
                <c:pt idx="2">
                  <c:v>0.3527777777777778</c:v>
                </c:pt>
                <c:pt idx="3">
                  <c:v>0.3527777777777778</c:v>
                </c:pt>
                <c:pt idx="4">
                  <c:v>0.3527777777777778</c:v>
                </c:pt>
                <c:pt idx="5">
                  <c:v>0.3527777777777778</c:v>
                </c:pt>
                <c:pt idx="6">
                  <c:v>0.3527777777777778</c:v>
                </c:pt>
                <c:pt idx="7">
                  <c:v>0.3527777777777778</c:v>
                </c:pt>
                <c:pt idx="8">
                  <c:v>0.3527777777777778</c:v>
                </c:pt>
                <c:pt idx="9">
                  <c:v>0.3527777777777778</c:v>
                </c:pt>
                <c:pt idx="10">
                  <c:v>0.3527777777777778</c:v>
                </c:pt>
                <c:pt idx="11">
                  <c:v>0.3527777777777778</c:v>
                </c:pt>
                <c:pt idx="12">
                  <c:v>0.3527777777777778</c:v>
                </c:pt>
                <c:pt idx="13">
                  <c:v>0.3527777777777778</c:v>
                </c:pt>
                <c:pt idx="14">
                  <c:v>0.3527777777777778</c:v>
                </c:pt>
                <c:pt idx="15">
                  <c:v>0.3527777777777778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87-45E4-8AB0-FEFFEFCF9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5">
                  <c:v>3530</c:v>
                </c:pt>
                <c:pt idx="6">
                  <c:v>5261</c:v>
                </c:pt>
                <c:pt idx="7">
                  <c:v>646</c:v>
                </c:pt>
                <c:pt idx="8">
                  <c:v>22420</c:v>
                </c:pt>
                <c:pt idx="10">
                  <c:v>27965</c:v>
                </c:pt>
                <c:pt idx="11">
                  <c:v>3617</c:v>
                </c:pt>
                <c:pt idx="13">
                  <c:v>5600</c:v>
                </c:pt>
                <c:pt idx="14">
                  <c:v>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E2-4D30-A094-9B6D8D530E0B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2787</c:v>
                </c:pt>
                <c:pt idx="4">
                  <c:v>6382</c:v>
                </c:pt>
                <c:pt idx="5">
                  <c:v>3530</c:v>
                </c:pt>
                <c:pt idx="6">
                  <c:v>5261</c:v>
                </c:pt>
                <c:pt idx="7">
                  <c:v>646</c:v>
                </c:pt>
                <c:pt idx="8">
                  <c:v>22420</c:v>
                </c:pt>
                <c:pt idx="9">
                  <c:v>308</c:v>
                </c:pt>
                <c:pt idx="10">
                  <c:v>27965</c:v>
                </c:pt>
                <c:pt idx="11">
                  <c:v>3617</c:v>
                </c:pt>
                <c:pt idx="12">
                  <c:v>6544</c:v>
                </c:pt>
                <c:pt idx="13">
                  <c:v>5600</c:v>
                </c:pt>
                <c:pt idx="14">
                  <c:v>1901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E2-4D30-A094-9B6D8D530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75%</c:v>
                </c:pt>
                <c:pt idx="6">
                  <c:v>100%</c:v>
                </c:pt>
                <c:pt idx="7">
                  <c:v>25%</c:v>
                </c:pt>
                <c:pt idx="8">
                  <c:v>67%</c:v>
                </c:pt>
                <c:pt idx="9">
                  <c:v>0%</c:v>
                </c:pt>
                <c:pt idx="10">
                  <c:v>46%</c:v>
                </c:pt>
                <c:pt idx="11">
                  <c:v>75%</c:v>
                </c:pt>
                <c:pt idx="12">
                  <c:v>0%</c:v>
                </c:pt>
                <c:pt idx="13">
                  <c:v>100%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0.75</c:v>
                </c:pt>
                <c:pt idx="6">
                  <c:v>1</c:v>
                </c:pt>
                <c:pt idx="7">
                  <c:v>0.25</c:v>
                </c:pt>
                <c:pt idx="8">
                  <c:v>0.66666666666666663</c:v>
                </c:pt>
                <c:pt idx="9">
                  <c:v>0</c:v>
                </c:pt>
                <c:pt idx="10">
                  <c:v>0.45833333333333331</c:v>
                </c:pt>
                <c:pt idx="11">
                  <c:v>0.75</c:v>
                </c:pt>
                <c:pt idx="12">
                  <c:v>0</c:v>
                </c:pt>
                <c:pt idx="13">
                  <c:v>1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3-4FD0-9083-E172FCDB635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E3-4FD0-9083-E172FCDB635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0.3527777777777778</c:v>
                </c:pt>
                <c:pt idx="1">
                  <c:v>0.3527777777777778</c:v>
                </c:pt>
                <c:pt idx="2">
                  <c:v>0.3527777777777778</c:v>
                </c:pt>
                <c:pt idx="3">
                  <c:v>0.3527777777777778</c:v>
                </c:pt>
                <c:pt idx="4">
                  <c:v>0.3527777777777778</c:v>
                </c:pt>
                <c:pt idx="5">
                  <c:v>0.3527777777777778</c:v>
                </c:pt>
                <c:pt idx="6">
                  <c:v>0.3527777777777778</c:v>
                </c:pt>
                <c:pt idx="7">
                  <c:v>0.3527777777777778</c:v>
                </c:pt>
                <c:pt idx="8">
                  <c:v>0.3527777777777778</c:v>
                </c:pt>
                <c:pt idx="9">
                  <c:v>0.3527777777777778</c:v>
                </c:pt>
                <c:pt idx="10">
                  <c:v>0.3527777777777778</c:v>
                </c:pt>
                <c:pt idx="11">
                  <c:v>0.3527777777777778</c:v>
                </c:pt>
                <c:pt idx="12">
                  <c:v>0.3527777777777778</c:v>
                </c:pt>
                <c:pt idx="13">
                  <c:v>0.3527777777777778</c:v>
                </c:pt>
                <c:pt idx="14">
                  <c:v>0.3527777777777778</c:v>
                </c:pt>
                <c:pt idx="15">
                  <c:v>0.3527777777777778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3-4FD0-9083-E172FCDB6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26F-4172-BE75-36215D7C55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F-4172-BE75-36215D7C5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26F-4172-BE75-36215D7C55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6F-4172-BE75-36215D7C5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5">
                  <c:v>5736</c:v>
                </c:pt>
                <c:pt idx="6">
                  <c:v>5417</c:v>
                </c:pt>
                <c:pt idx="7">
                  <c:v>10540</c:v>
                </c:pt>
                <c:pt idx="10">
                  <c:v>2504</c:v>
                </c:pt>
                <c:pt idx="12">
                  <c:v>5853</c:v>
                </c:pt>
                <c:pt idx="13">
                  <c:v>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A-4C3B-833D-54E6A0CCF61F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2787</c:v>
                </c:pt>
                <c:pt idx="4">
                  <c:v>6382</c:v>
                </c:pt>
                <c:pt idx="5">
                  <c:v>5736</c:v>
                </c:pt>
                <c:pt idx="6">
                  <c:v>5417</c:v>
                </c:pt>
                <c:pt idx="7">
                  <c:v>10540</c:v>
                </c:pt>
                <c:pt idx="8">
                  <c:v>308</c:v>
                </c:pt>
                <c:pt idx="9">
                  <c:v>27965</c:v>
                </c:pt>
                <c:pt idx="10">
                  <c:v>2504</c:v>
                </c:pt>
                <c:pt idx="11">
                  <c:v>6544</c:v>
                </c:pt>
                <c:pt idx="12">
                  <c:v>5853</c:v>
                </c:pt>
                <c:pt idx="13">
                  <c:v>4853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A-4C3B-833D-54E6A0CCF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46%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0.45833333333333331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0-4F09-8FCC-39BBF726557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40-4F09-8FCC-39BBF726557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0.3305555555555556</c:v>
                </c:pt>
                <c:pt idx="1">
                  <c:v>0.3305555555555556</c:v>
                </c:pt>
                <c:pt idx="2">
                  <c:v>0.3305555555555556</c:v>
                </c:pt>
                <c:pt idx="3">
                  <c:v>0.3305555555555556</c:v>
                </c:pt>
                <c:pt idx="4">
                  <c:v>0.3305555555555556</c:v>
                </c:pt>
                <c:pt idx="5">
                  <c:v>0.3305555555555556</c:v>
                </c:pt>
                <c:pt idx="6">
                  <c:v>0.3305555555555556</c:v>
                </c:pt>
                <c:pt idx="7">
                  <c:v>0.3305555555555556</c:v>
                </c:pt>
                <c:pt idx="8">
                  <c:v>0.3305555555555556</c:v>
                </c:pt>
                <c:pt idx="9">
                  <c:v>0.3305555555555556</c:v>
                </c:pt>
                <c:pt idx="10">
                  <c:v>0.3305555555555556</c:v>
                </c:pt>
                <c:pt idx="11">
                  <c:v>0.3305555555555556</c:v>
                </c:pt>
                <c:pt idx="12">
                  <c:v>0.3305555555555556</c:v>
                </c:pt>
                <c:pt idx="13">
                  <c:v>0.3305555555555556</c:v>
                </c:pt>
                <c:pt idx="14">
                  <c:v>0.3305555555555556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40-4F09-8FCC-39BBF7265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5">
                  <c:v>5736</c:v>
                </c:pt>
                <c:pt idx="6">
                  <c:v>5417</c:v>
                </c:pt>
                <c:pt idx="7">
                  <c:v>10540</c:v>
                </c:pt>
                <c:pt idx="10">
                  <c:v>2504</c:v>
                </c:pt>
                <c:pt idx="12">
                  <c:v>5853</c:v>
                </c:pt>
                <c:pt idx="13">
                  <c:v>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1-461B-9F81-D4DAD84FA4EE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2308</c:v>
                </c:pt>
                <c:pt idx="3">
                  <c:v>2787</c:v>
                </c:pt>
                <c:pt idx="4">
                  <c:v>6382</c:v>
                </c:pt>
                <c:pt idx="5">
                  <c:v>5736</c:v>
                </c:pt>
                <c:pt idx="6">
                  <c:v>5417</c:v>
                </c:pt>
                <c:pt idx="7">
                  <c:v>10540</c:v>
                </c:pt>
                <c:pt idx="8">
                  <c:v>308</c:v>
                </c:pt>
                <c:pt idx="9">
                  <c:v>27965</c:v>
                </c:pt>
                <c:pt idx="10">
                  <c:v>2504</c:v>
                </c:pt>
                <c:pt idx="11">
                  <c:v>6544</c:v>
                </c:pt>
                <c:pt idx="12">
                  <c:v>5853</c:v>
                </c:pt>
                <c:pt idx="13">
                  <c:v>4853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1-461B-9F81-D4DAD84FA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46%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0.45833333333333331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B-41BF-A1B0-122E49957C8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8B-41BF-A1B0-122E49957C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2">
                  <c:v>LEAD GUIDE</c:v>
                </c:pt>
                <c:pt idx="3">
                  <c:v>Receptacle(GUIDE없음)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0.3305555555555556</c:v>
                </c:pt>
                <c:pt idx="1">
                  <c:v>0.3305555555555556</c:v>
                </c:pt>
                <c:pt idx="2">
                  <c:v>0.3305555555555556</c:v>
                </c:pt>
                <c:pt idx="3">
                  <c:v>0.3305555555555556</c:v>
                </c:pt>
                <c:pt idx="4">
                  <c:v>0.3305555555555556</c:v>
                </c:pt>
                <c:pt idx="5">
                  <c:v>0.3305555555555556</c:v>
                </c:pt>
                <c:pt idx="6">
                  <c:v>0.3305555555555556</c:v>
                </c:pt>
                <c:pt idx="7">
                  <c:v>0.3305555555555556</c:v>
                </c:pt>
                <c:pt idx="8">
                  <c:v>0.3305555555555556</c:v>
                </c:pt>
                <c:pt idx="9">
                  <c:v>0.3305555555555556</c:v>
                </c:pt>
                <c:pt idx="10">
                  <c:v>0.3305555555555556</c:v>
                </c:pt>
                <c:pt idx="11">
                  <c:v>0.3305555555555556</c:v>
                </c:pt>
                <c:pt idx="12">
                  <c:v>0.3305555555555556</c:v>
                </c:pt>
                <c:pt idx="13">
                  <c:v>0.3305555555555556</c:v>
                </c:pt>
                <c:pt idx="14">
                  <c:v>0.3305555555555556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B-41BF-A1B0-122E4995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B5F-46D7-A6FE-D561B79806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5F-46D7-A6FE-D561B7980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5F-46D7-A6FE-D561B79806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F-46D7-A6FE-D561B7980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2">
                  <c:v>16608</c:v>
                </c:pt>
                <c:pt idx="3">
                  <c:v>439</c:v>
                </c:pt>
                <c:pt idx="4">
                  <c:v>23776</c:v>
                </c:pt>
                <c:pt idx="5">
                  <c:v>6036</c:v>
                </c:pt>
                <c:pt idx="6">
                  <c:v>5567</c:v>
                </c:pt>
                <c:pt idx="10">
                  <c:v>3561</c:v>
                </c:pt>
                <c:pt idx="11">
                  <c:v>19964</c:v>
                </c:pt>
                <c:pt idx="12">
                  <c:v>12380</c:v>
                </c:pt>
                <c:pt idx="13">
                  <c:v>5354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9-49E0-AFF7-115CC2C59D83}"/>
            </c:ext>
          </c:extLst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16608</c:v>
                </c:pt>
                <c:pt idx="3">
                  <c:v>440</c:v>
                </c:pt>
                <c:pt idx="4">
                  <c:v>23776</c:v>
                </c:pt>
                <c:pt idx="5">
                  <c:v>6036</c:v>
                </c:pt>
                <c:pt idx="6">
                  <c:v>5567</c:v>
                </c:pt>
                <c:pt idx="7">
                  <c:v>10540</c:v>
                </c:pt>
                <c:pt idx="8">
                  <c:v>308</c:v>
                </c:pt>
                <c:pt idx="9">
                  <c:v>27965</c:v>
                </c:pt>
                <c:pt idx="10">
                  <c:v>3561</c:v>
                </c:pt>
                <c:pt idx="11">
                  <c:v>19964</c:v>
                </c:pt>
                <c:pt idx="12">
                  <c:v>12380</c:v>
                </c:pt>
                <c:pt idx="13">
                  <c:v>5354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9-49E0-AFF7-115CC2C59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17%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71%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0.16628787878787876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0.70833333333333337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C-40A1-B6C0-0EC895C0967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AC-40A1-B6C0-0EC895C096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0.50275252525252523</c:v>
                </c:pt>
                <c:pt idx="1">
                  <c:v>0.50275252525252523</c:v>
                </c:pt>
                <c:pt idx="2">
                  <c:v>0.50275252525252523</c:v>
                </c:pt>
                <c:pt idx="3">
                  <c:v>0.50275252525252523</c:v>
                </c:pt>
                <c:pt idx="4">
                  <c:v>0.50275252525252523</c:v>
                </c:pt>
                <c:pt idx="5">
                  <c:v>0.50275252525252523</c:v>
                </c:pt>
                <c:pt idx="6">
                  <c:v>0.50275252525252523</c:v>
                </c:pt>
                <c:pt idx="7">
                  <c:v>0.50275252525252523</c:v>
                </c:pt>
                <c:pt idx="8">
                  <c:v>0.50275252525252523</c:v>
                </c:pt>
                <c:pt idx="9">
                  <c:v>0.50275252525252523</c:v>
                </c:pt>
                <c:pt idx="10">
                  <c:v>0.50275252525252523</c:v>
                </c:pt>
                <c:pt idx="11">
                  <c:v>0.50275252525252523</c:v>
                </c:pt>
                <c:pt idx="12">
                  <c:v>0.50275252525252523</c:v>
                </c:pt>
                <c:pt idx="13">
                  <c:v>0.50275252525252523</c:v>
                </c:pt>
                <c:pt idx="14">
                  <c:v>0.50275252525252523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C-40A1-B6C0-0EC895C0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2">
                  <c:v>16608</c:v>
                </c:pt>
                <c:pt idx="3">
                  <c:v>439</c:v>
                </c:pt>
                <c:pt idx="4">
                  <c:v>23776</c:v>
                </c:pt>
                <c:pt idx="5">
                  <c:v>6036</c:v>
                </c:pt>
                <c:pt idx="6">
                  <c:v>5567</c:v>
                </c:pt>
                <c:pt idx="10">
                  <c:v>3561</c:v>
                </c:pt>
                <c:pt idx="11">
                  <c:v>19964</c:v>
                </c:pt>
                <c:pt idx="12">
                  <c:v>12380</c:v>
                </c:pt>
                <c:pt idx="13">
                  <c:v>5354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B-4A71-A905-65D31338F079}"/>
            </c:ext>
          </c:extLst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16608</c:v>
                </c:pt>
                <c:pt idx="3">
                  <c:v>440</c:v>
                </c:pt>
                <c:pt idx="4">
                  <c:v>23776</c:v>
                </c:pt>
                <c:pt idx="5">
                  <c:v>6036</c:v>
                </c:pt>
                <c:pt idx="6">
                  <c:v>5567</c:v>
                </c:pt>
                <c:pt idx="7">
                  <c:v>10540</c:v>
                </c:pt>
                <c:pt idx="8">
                  <c:v>308</c:v>
                </c:pt>
                <c:pt idx="9">
                  <c:v>27965</c:v>
                </c:pt>
                <c:pt idx="10">
                  <c:v>3561</c:v>
                </c:pt>
                <c:pt idx="11">
                  <c:v>19964</c:v>
                </c:pt>
                <c:pt idx="12">
                  <c:v>12380</c:v>
                </c:pt>
                <c:pt idx="13">
                  <c:v>5354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EB-4A71-A905-65D31338F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17%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71%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0.16628787878787876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0.70833333333333337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D-4AB6-9F33-383A9D16C65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AD-4AB6-9F33-383A9D16C6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0.50275252525252523</c:v>
                </c:pt>
                <c:pt idx="1">
                  <c:v>0.50275252525252523</c:v>
                </c:pt>
                <c:pt idx="2">
                  <c:v>0.50275252525252523</c:v>
                </c:pt>
                <c:pt idx="3">
                  <c:v>0.50275252525252523</c:v>
                </c:pt>
                <c:pt idx="4">
                  <c:v>0.50275252525252523</c:v>
                </c:pt>
                <c:pt idx="5">
                  <c:v>0.50275252525252523</c:v>
                </c:pt>
                <c:pt idx="6">
                  <c:v>0.50275252525252523</c:v>
                </c:pt>
                <c:pt idx="7">
                  <c:v>0.50275252525252523</c:v>
                </c:pt>
                <c:pt idx="8">
                  <c:v>0.50275252525252523</c:v>
                </c:pt>
                <c:pt idx="9">
                  <c:v>0.50275252525252523</c:v>
                </c:pt>
                <c:pt idx="10">
                  <c:v>0.50275252525252523</c:v>
                </c:pt>
                <c:pt idx="11">
                  <c:v>0.50275252525252523</c:v>
                </c:pt>
                <c:pt idx="12">
                  <c:v>0.50275252525252523</c:v>
                </c:pt>
                <c:pt idx="13">
                  <c:v>0.50275252525252523</c:v>
                </c:pt>
                <c:pt idx="14">
                  <c:v>0.50275252525252523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AD-4AB6-9F33-383A9D16C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002-4F16-BF58-2F26D4CC7F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02-4F16-BF58-2F26D4CC7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02-4F16-BF58-2F26D4CC7F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02-4F16-BF58-2F26D4CC7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16844</c:v>
                </c:pt>
                <c:pt idx="3">
                  <c:v>3108</c:v>
                </c:pt>
                <c:pt idx="4">
                  <c:v>26072</c:v>
                </c:pt>
                <c:pt idx="5">
                  <c:v>5863</c:v>
                </c:pt>
                <c:pt idx="6">
                  <c:v>3991</c:v>
                </c:pt>
                <c:pt idx="10">
                  <c:v>4272</c:v>
                </c:pt>
                <c:pt idx="11">
                  <c:v>21928</c:v>
                </c:pt>
                <c:pt idx="12">
                  <c:v>14384</c:v>
                </c:pt>
                <c:pt idx="13">
                  <c:v>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B-4383-A2D0-D5A241F44077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16844</c:v>
                </c:pt>
                <c:pt idx="3">
                  <c:v>3108</c:v>
                </c:pt>
                <c:pt idx="4">
                  <c:v>26072</c:v>
                </c:pt>
                <c:pt idx="5">
                  <c:v>5863</c:v>
                </c:pt>
                <c:pt idx="6">
                  <c:v>3991</c:v>
                </c:pt>
                <c:pt idx="7">
                  <c:v>10540</c:v>
                </c:pt>
                <c:pt idx="8">
                  <c:v>308</c:v>
                </c:pt>
                <c:pt idx="9">
                  <c:v>27965</c:v>
                </c:pt>
                <c:pt idx="10">
                  <c:v>4272</c:v>
                </c:pt>
                <c:pt idx="11">
                  <c:v>21928</c:v>
                </c:pt>
                <c:pt idx="12">
                  <c:v>14384</c:v>
                </c:pt>
                <c:pt idx="13">
                  <c:v>5003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4B-4383-A2D0-D5A241F44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67%</c:v>
                </c:pt>
                <c:pt idx="4">
                  <c:v>100%</c:v>
                </c:pt>
                <c:pt idx="5">
                  <c:v>100%</c:v>
                </c:pt>
                <c:pt idx="6">
                  <c:v>88%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88%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0.66666666666666663</c:v>
                </c:pt>
                <c:pt idx="4">
                  <c:v>1</c:v>
                </c:pt>
                <c:pt idx="5">
                  <c:v>1</c:v>
                </c:pt>
                <c:pt idx="6">
                  <c:v>0.875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0.875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8-43A9-A5EC-E202190186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A8-43A9-A5EC-E202190186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0.5444444444444444</c:v>
                </c:pt>
                <c:pt idx="1">
                  <c:v>0.5444444444444444</c:v>
                </c:pt>
                <c:pt idx="2">
                  <c:v>0.5444444444444444</c:v>
                </c:pt>
                <c:pt idx="3">
                  <c:v>0.5444444444444444</c:v>
                </c:pt>
                <c:pt idx="4">
                  <c:v>0.5444444444444444</c:v>
                </c:pt>
                <c:pt idx="5">
                  <c:v>0.5444444444444444</c:v>
                </c:pt>
                <c:pt idx="6">
                  <c:v>0.5444444444444444</c:v>
                </c:pt>
                <c:pt idx="7">
                  <c:v>0.5444444444444444</c:v>
                </c:pt>
                <c:pt idx="8">
                  <c:v>0.5444444444444444</c:v>
                </c:pt>
                <c:pt idx="9">
                  <c:v>0.5444444444444444</c:v>
                </c:pt>
                <c:pt idx="10">
                  <c:v>0.5444444444444444</c:v>
                </c:pt>
                <c:pt idx="11">
                  <c:v>0.5444444444444444</c:v>
                </c:pt>
                <c:pt idx="12">
                  <c:v>0.5444444444444444</c:v>
                </c:pt>
                <c:pt idx="13">
                  <c:v>0.5444444444444444</c:v>
                </c:pt>
                <c:pt idx="14">
                  <c:v>0.5444444444444444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A8-43A9-A5EC-E20219018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16844</c:v>
                </c:pt>
                <c:pt idx="3">
                  <c:v>3108</c:v>
                </c:pt>
                <c:pt idx="4">
                  <c:v>26072</c:v>
                </c:pt>
                <c:pt idx="5">
                  <c:v>5863</c:v>
                </c:pt>
                <c:pt idx="6">
                  <c:v>3991</c:v>
                </c:pt>
                <c:pt idx="10">
                  <c:v>4272</c:v>
                </c:pt>
                <c:pt idx="11">
                  <c:v>21928</c:v>
                </c:pt>
                <c:pt idx="12">
                  <c:v>14384</c:v>
                </c:pt>
                <c:pt idx="13">
                  <c:v>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4-4E0D-B9C9-6B4A39398F23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16844</c:v>
                </c:pt>
                <c:pt idx="3">
                  <c:v>3108</c:v>
                </c:pt>
                <c:pt idx="4">
                  <c:v>26072</c:v>
                </c:pt>
                <c:pt idx="5">
                  <c:v>5863</c:v>
                </c:pt>
                <c:pt idx="6">
                  <c:v>3991</c:v>
                </c:pt>
                <c:pt idx="7">
                  <c:v>10540</c:v>
                </c:pt>
                <c:pt idx="8">
                  <c:v>308</c:v>
                </c:pt>
                <c:pt idx="9">
                  <c:v>27965</c:v>
                </c:pt>
                <c:pt idx="10">
                  <c:v>4272</c:v>
                </c:pt>
                <c:pt idx="11">
                  <c:v>21928</c:v>
                </c:pt>
                <c:pt idx="12">
                  <c:v>14384</c:v>
                </c:pt>
                <c:pt idx="13">
                  <c:v>5003</c:v>
                </c:pt>
                <c:pt idx="14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4-4E0D-B9C9-6B4A39398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67%</c:v>
                </c:pt>
                <c:pt idx="4">
                  <c:v>100%</c:v>
                </c:pt>
                <c:pt idx="5">
                  <c:v>100%</c:v>
                </c:pt>
                <c:pt idx="6">
                  <c:v>88%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88%</c:v>
                </c:pt>
                <c:pt idx="11">
                  <c:v>100%</c:v>
                </c:pt>
                <c:pt idx="12">
                  <c:v>83%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0.66666666666666663</c:v>
                </c:pt>
                <c:pt idx="4">
                  <c:v>1</c:v>
                </c:pt>
                <c:pt idx="5">
                  <c:v>1</c:v>
                </c:pt>
                <c:pt idx="6">
                  <c:v>0.875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0.875</c:v>
                </c:pt>
                <c:pt idx="11">
                  <c:v>1</c:v>
                </c:pt>
                <c:pt idx="12">
                  <c:v>0.83333333333333337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9-4B45-BB22-387B0B39A57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D9-4B45-BB22-387B0B39A5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0.5444444444444444</c:v>
                </c:pt>
                <c:pt idx="1">
                  <c:v>0.5444444444444444</c:v>
                </c:pt>
                <c:pt idx="2">
                  <c:v>0.5444444444444444</c:v>
                </c:pt>
                <c:pt idx="3">
                  <c:v>0.5444444444444444</c:v>
                </c:pt>
                <c:pt idx="4">
                  <c:v>0.5444444444444444</c:v>
                </c:pt>
                <c:pt idx="5">
                  <c:v>0.5444444444444444</c:v>
                </c:pt>
                <c:pt idx="6">
                  <c:v>0.5444444444444444</c:v>
                </c:pt>
                <c:pt idx="7">
                  <c:v>0.5444444444444444</c:v>
                </c:pt>
                <c:pt idx="8">
                  <c:v>0.5444444444444444</c:v>
                </c:pt>
                <c:pt idx="9">
                  <c:v>0.5444444444444444</c:v>
                </c:pt>
                <c:pt idx="10">
                  <c:v>0.5444444444444444</c:v>
                </c:pt>
                <c:pt idx="11">
                  <c:v>0.5444444444444444</c:v>
                </c:pt>
                <c:pt idx="12">
                  <c:v>0.5444444444444444</c:v>
                </c:pt>
                <c:pt idx="13">
                  <c:v>0.5444444444444444</c:v>
                </c:pt>
                <c:pt idx="14">
                  <c:v>0.5444444444444444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9-4B45-BB22-387B0B39A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D99-4173-8CE1-D598A960D6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99-4173-8CE1-D598A960D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99-4173-8CE1-D598A960D6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99-4173-8CE1-D598A960D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'28'!$D$6:$D$22</c:f>
              <c:strCache>
                <c:ptCount val="16"/>
                <c:pt idx="2">
                  <c:v>LEAD GUIDE</c:v>
                </c:pt>
                <c:pt idx="3">
                  <c:v>ACTUATOR</c:v>
                </c:pt>
                <c:pt idx="4">
                  <c:v>ACTUATOR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'28'!$L$6:$L$22</c:f>
              <c:numCache>
                <c:formatCode>_(* #,##0_);_(* \(#,##0\);_(* "-"_);_(@_)</c:formatCode>
                <c:ptCount val="17"/>
                <c:pt idx="2">
                  <c:v>19920</c:v>
                </c:pt>
                <c:pt idx="3">
                  <c:v>2014</c:v>
                </c:pt>
                <c:pt idx="4">
                  <c:v>1505</c:v>
                </c:pt>
                <c:pt idx="5">
                  <c:v>26756</c:v>
                </c:pt>
                <c:pt idx="6">
                  <c:v>4843</c:v>
                </c:pt>
                <c:pt idx="7">
                  <c:v>3627</c:v>
                </c:pt>
                <c:pt idx="11">
                  <c:v>5733</c:v>
                </c:pt>
                <c:pt idx="12">
                  <c:v>25296</c:v>
                </c:pt>
                <c:pt idx="13">
                  <c:v>22568</c:v>
                </c:pt>
                <c:pt idx="14">
                  <c:v>3970</c:v>
                </c:pt>
                <c:pt idx="15">
                  <c:v>3970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06-4F70-965F-7696DE11D477}"/>
            </c:ext>
          </c:extLst>
        </c:ser>
        <c:ser>
          <c:idx val="1"/>
          <c:order val="1"/>
          <c:tx>
            <c:v>계획</c:v>
          </c:tx>
          <c:cat>
            <c:strRef>
              <c:f>'28'!$D$6:$D$22</c:f>
              <c:strCache>
                <c:ptCount val="16"/>
                <c:pt idx="2">
                  <c:v>LEAD GUIDE</c:v>
                </c:pt>
                <c:pt idx="3">
                  <c:v>ACTUATOR</c:v>
                </c:pt>
                <c:pt idx="4">
                  <c:v>ACTUATOR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'28'!$J$6:$J$22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19920</c:v>
                </c:pt>
                <c:pt idx="3">
                  <c:v>2014</c:v>
                </c:pt>
                <c:pt idx="4">
                  <c:v>1505</c:v>
                </c:pt>
                <c:pt idx="5">
                  <c:v>26756</c:v>
                </c:pt>
                <c:pt idx="6">
                  <c:v>4843</c:v>
                </c:pt>
                <c:pt idx="7">
                  <c:v>3627</c:v>
                </c:pt>
                <c:pt idx="8">
                  <c:v>10540</c:v>
                </c:pt>
                <c:pt idx="9">
                  <c:v>308</c:v>
                </c:pt>
                <c:pt idx="10">
                  <c:v>27965</c:v>
                </c:pt>
                <c:pt idx="11">
                  <c:v>5733</c:v>
                </c:pt>
                <c:pt idx="12">
                  <c:v>25296</c:v>
                </c:pt>
                <c:pt idx="13">
                  <c:v>22568</c:v>
                </c:pt>
                <c:pt idx="14">
                  <c:v>5003</c:v>
                </c:pt>
                <c:pt idx="15">
                  <c:v>5003</c:v>
                </c:pt>
                <c:pt idx="16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06-4F70-965F-7696DE11D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42%</c:v>
                </c:pt>
                <c:pt idx="4">
                  <c:v>38%</c:v>
                </c:pt>
                <c:pt idx="5">
                  <c:v>100%</c:v>
                </c:pt>
                <c:pt idx="6">
                  <c:v>100%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69%</c:v>
                </c:pt>
                <c:pt idx="15">
                  <c:v>69%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'28'!$D$6:$D$22</c:f>
              <c:strCache>
                <c:ptCount val="16"/>
                <c:pt idx="2">
                  <c:v>LEAD GUIDE</c:v>
                </c:pt>
                <c:pt idx="3">
                  <c:v>ACTUATOR</c:v>
                </c:pt>
                <c:pt idx="4">
                  <c:v>ACTUATOR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'28'!$AD$6:$AD$22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0.41666666666666669</c:v>
                </c:pt>
                <c:pt idx="4">
                  <c:v>0.375</c:v>
                </c:pt>
                <c:pt idx="5">
                  <c:v>1</c:v>
                </c:pt>
                <c:pt idx="6">
                  <c:v>1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0.69433339996002408</c:v>
                </c:pt>
                <c:pt idx="15">
                  <c:v>0.69433339996002408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B-4EFB-AC7E-56931215DC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7B-4EFB-AC7E-56931215DC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'28'!$D$6:$D$22</c:f>
              <c:strCache>
                <c:ptCount val="16"/>
                <c:pt idx="2">
                  <c:v>LEAD GUIDE</c:v>
                </c:pt>
                <c:pt idx="3">
                  <c:v>ACTUATOR</c:v>
                </c:pt>
                <c:pt idx="4">
                  <c:v>ACTUATOR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'28'!$AE$6:$AE$22</c:f>
              <c:numCache>
                <c:formatCode>0%</c:formatCode>
                <c:ptCount val="17"/>
                <c:pt idx="0">
                  <c:v>0.58424445332800323</c:v>
                </c:pt>
                <c:pt idx="1">
                  <c:v>0.58424445332800323</c:v>
                </c:pt>
                <c:pt idx="2">
                  <c:v>0.58424445332800323</c:v>
                </c:pt>
                <c:pt idx="3">
                  <c:v>0.58424445332800323</c:v>
                </c:pt>
                <c:pt idx="4">
                  <c:v>0.58424445332800323</c:v>
                </c:pt>
                <c:pt idx="5">
                  <c:v>0.58424445332800323</c:v>
                </c:pt>
                <c:pt idx="6">
                  <c:v>0.58424445332800323</c:v>
                </c:pt>
                <c:pt idx="7">
                  <c:v>0.58424445332800323</c:v>
                </c:pt>
                <c:pt idx="8">
                  <c:v>0.58424445332800323</c:v>
                </c:pt>
                <c:pt idx="9">
                  <c:v>0.58424445332800323</c:v>
                </c:pt>
                <c:pt idx="10">
                  <c:v>0.58424445332800323</c:v>
                </c:pt>
                <c:pt idx="11">
                  <c:v>0.58424445332800323</c:v>
                </c:pt>
                <c:pt idx="12">
                  <c:v>0.58424445332800323</c:v>
                </c:pt>
                <c:pt idx="13">
                  <c:v>0.58424445332800323</c:v>
                </c:pt>
                <c:pt idx="14">
                  <c:v>0.58424445332800323</c:v>
                </c:pt>
                <c:pt idx="15">
                  <c:v>0.58424445332800323</c:v>
                </c:pt>
                <c:pt idx="16">
                  <c:v>0.58424445332800323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7B-4EFB-AC7E-56931215D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'28'!$D$6:$D$22</c:f>
              <c:strCache>
                <c:ptCount val="16"/>
                <c:pt idx="2">
                  <c:v>LEAD GUIDE</c:v>
                </c:pt>
                <c:pt idx="3">
                  <c:v>ACTUATOR</c:v>
                </c:pt>
                <c:pt idx="4">
                  <c:v>ACTUATOR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'28'!$L$6:$L$22</c:f>
              <c:numCache>
                <c:formatCode>_(* #,##0_);_(* \(#,##0\);_(* "-"_);_(@_)</c:formatCode>
                <c:ptCount val="17"/>
                <c:pt idx="2">
                  <c:v>19920</c:v>
                </c:pt>
                <c:pt idx="3">
                  <c:v>2014</c:v>
                </c:pt>
                <c:pt idx="4">
                  <c:v>1505</c:v>
                </c:pt>
                <c:pt idx="5">
                  <c:v>26756</c:v>
                </c:pt>
                <c:pt idx="6">
                  <c:v>4843</c:v>
                </c:pt>
                <c:pt idx="7">
                  <c:v>3627</c:v>
                </c:pt>
                <c:pt idx="11">
                  <c:v>5733</c:v>
                </c:pt>
                <c:pt idx="12">
                  <c:v>25296</c:v>
                </c:pt>
                <c:pt idx="13">
                  <c:v>22568</c:v>
                </c:pt>
                <c:pt idx="14">
                  <c:v>3970</c:v>
                </c:pt>
                <c:pt idx="15">
                  <c:v>3970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46-412F-AF64-7BC83BF1A7B1}"/>
            </c:ext>
          </c:extLst>
        </c:ser>
        <c:ser>
          <c:idx val="1"/>
          <c:order val="1"/>
          <c:tx>
            <c:v>계획</c:v>
          </c:tx>
          <c:cat>
            <c:strRef>
              <c:f>'28'!$D$6:$D$22</c:f>
              <c:strCache>
                <c:ptCount val="16"/>
                <c:pt idx="2">
                  <c:v>LEAD GUIDE</c:v>
                </c:pt>
                <c:pt idx="3">
                  <c:v>ACTUATOR</c:v>
                </c:pt>
                <c:pt idx="4">
                  <c:v>ACTUATOR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'28'!$J$6:$J$22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19920</c:v>
                </c:pt>
                <c:pt idx="3">
                  <c:v>2014</c:v>
                </c:pt>
                <c:pt idx="4">
                  <c:v>1505</c:v>
                </c:pt>
                <c:pt idx="5">
                  <c:v>26756</c:v>
                </c:pt>
                <c:pt idx="6">
                  <c:v>4843</c:v>
                </c:pt>
                <c:pt idx="7">
                  <c:v>3627</c:v>
                </c:pt>
                <c:pt idx="8">
                  <c:v>10540</c:v>
                </c:pt>
                <c:pt idx="9">
                  <c:v>308</c:v>
                </c:pt>
                <c:pt idx="10">
                  <c:v>27965</c:v>
                </c:pt>
                <c:pt idx="11">
                  <c:v>5733</c:v>
                </c:pt>
                <c:pt idx="12">
                  <c:v>25296</c:v>
                </c:pt>
                <c:pt idx="13">
                  <c:v>22568</c:v>
                </c:pt>
                <c:pt idx="14">
                  <c:v>5003</c:v>
                </c:pt>
                <c:pt idx="15">
                  <c:v>5003</c:v>
                </c:pt>
                <c:pt idx="16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46-412F-AF64-7BC83BF1A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42%</c:v>
                </c:pt>
                <c:pt idx="4">
                  <c:v>38%</c:v>
                </c:pt>
                <c:pt idx="5">
                  <c:v>100%</c:v>
                </c:pt>
                <c:pt idx="6">
                  <c:v>100%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69%</c:v>
                </c:pt>
                <c:pt idx="15">
                  <c:v>69%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'28'!$D$6:$D$22</c:f>
              <c:strCache>
                <c:ptCount val="16"/>
                <c:pt idx="2">
                  <c:v>LEAD GUIDE</c:v>
                </c:pt>
                <c:pt idx="3">
                  <c:v>ACTUATOR</c:v>
                </c:pt>
                <c:pt idx="4">
                  <c:v>ACTUATOR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'28'!$AD$6:$AD$22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0.41666666666666669</c:v>
                </c:pt>
                <c:pt idx="4">
                  <c:v>0.375</c:v>
                </c:pt>
                <c:pt idx="5">
                  <c:v>1</c:v>
                </c:pt>
                <c:pt idx="6">
                  <c:v>1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0.69433339996002408</c:v>
                </c:pt>
                <c:pt idx="15">
                  <c:v>0.69433339996002408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7-47B0-9AC7-E69BBCFE510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F7-47B0-9AC7-E69BBCFE510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'28'!$D$6:$D$22</c:f>
              <c:strCache>
                <c:ptCount val="16"/>
                <c:pt idx="2">
                  <c:v>LEAD GUIDE</c:v>
                </c:pt>
                <c:pt idx="3">
                  <c:v>ACTUATOR</c:v>
                </c:pt>
                <c:pt idx="4">
                  <c:v>ACTUATOR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HEARD</c:v>
                </c:pt>
                <c:pt idx="9">
                  <c:v>BASE</c:v>
                </c:pt>
                <c:pt idx="10">
                  <c:v>LID</c:v>
                </c:pt>
                <c:pt idx="11">
                  <c:v>STOPPER</c:v>
                </c:pt>
                <c:pt idx="12">
                  <c:v>COVER</c:v>
                </c:pt>
                <c:pt idx="13">
                  <c:v>BASE</c:v>
                </c:pt>
                <c:pt idx="14">
                  <c:v>STOPPER</c:v>
                </c:pt>
                <c:pt idx="15">
                  <c:v>HOLDER</c:v>
                </c:pt>
              </c:strCache>
            </c:strRef>
          </c:cat>
          <c:val>
            <c:numRef>
              <c:f>'28'!$AE$6:$AE$22</c:f>
              <c:numCache>
                <c:formatCode>0%</c:formatCode>
                <c:ptCount val="17"/>
                <c:pt idx="0">
                  <c:v>0.58424445332800323</c:v>
                </c:pt>
                <c:pt idx="1">
                  <c:v>0.58424445332800323</c:v>
                </c:pt>
                <c:pt idx="2">
                  <c:v>0.58424445332800323</c:v>
                </c:pt>
                <c:pt idx="3">
                  <c:v>0.58424445332800323</c:v>
                </c:pt>
                <c:pt idx="4">
                  <c:v>0.58424445332800323</c:v>
                </c:pt>
                <c:pt idx="5">
                  <c:v>0.58424445332800323</c:v>
                </c:pt>
                <c:pt idx="6">
                  <c:v>0.58424445332800323</c:v>
                </c:pt>
                <c:pt idx="7">
                  <c:v>0.58424445332800323</c:v>
                </c:pt>
                <c:pt idx="8">
                  <c:v>0.58424445332800323</c:v>
                </c:pt>
                <c:pt idx="9">
                  <c:v>0.58424445332800323</c:v>
                </c:pt>
                <c:pt idx="10">
                  <c:v>0.58424445332800323</c:v>
                </c:pt>
                <c:pt idx="11">
                  <c:v>0.58424445332800323</c:v>
                </c:pt>
                <c:pt idx="12">
                  <c:v>0.58424445332800323</c:v>
                </c:pt>
                <c:pt idx="13">
                  <c:v>0.58424445332800323</c:v>
                </c:pt>
                <c:pt idx="14">
                  <c:v>0.58424445332800323</c:v>
                </c:pt>
                <c:pt idx="15">
                  <c:v>0.58424445332800323</c:v>
                </c:pt>
                <c:pt idx="16">
                  <c:v>0.58424445332800323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7-47B0-9AC7-E69BBCFE5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FBD-4756-91A2-100E97C8E9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D-4756-91A2-100E97C8E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FBD-4756-91A2-100E97C8E99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D-4756-91A2-100E97C8E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C-494A-A78F-A381358A32AA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19920</c:v>
                </c:pt>
                <c:pt idx="3">
                  <c:v>1505</c:v>
                </c:pt>
                <c:pt idx="4">
                  <c:v>26756</c:v>
                </c:pt>
                <c:pt idx="5">
                  <c:v>4843</c:v>
                </c:pt>
                <c:pt idx="6">
                  <c:v>3627</c:v>
                </c:pt>
                <c:pt idx="7">
                  <c:v>10540</c:v>
                </c:pt>
                <c:pt idx="8">
                  <c:v>308</c:v>
                </c:pt>
                <c:pt idx="9">
                  <c:v>27965</c:v>
                </c:pt>
                <c:pt idx="10">
                  <c:v>5733</c:v>
                </c:pt>
                <c:pt idx="11">
                  <c:v>25296</c:v>
                </c:pt>
                <c:pt idx="12">
                  <c:v>22568</c:v>
                </c:pt>
                <c:pt idx="13">
                  <c:v>5003</c:v>
                </c:pt>
                <c:pt idx="14">
                  <c:v>5003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0C-494A-A78F-A381358A3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DF-4045-A771-46FF0078096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DF-4045-A771-46FF0078096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DF-4045-A771-46FF00780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8-4EDA-88FC-1A31A40F74A5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19920</c:v>
                </c:pt>
                <c:pt idx="3">
                  <c:v>1505</c:v>
                </c:pt>
                <c:pt idx="4">
                  <c:v>26756</c:v>
                </c:pt>
                <c:pt idx="5">
                  <c:v>4843</c:v>
                </c:pt>
                <c:pt idx="6">
                  <c:v>3627</c:v>
                </c:pt>
                <c:pt idx="7">
                  <c:v>10540</c:v>
                </c:pt>
                <c:pt idx="8">
                  <c:v>308</c:v>
                </c:pt>
                <c:pt idx="9">
                  <c:v>27965</c:v>
                </c:pt>
                <c:pt idx="10">
                  <c:v>5733</c:v>
                </c:pt>
                <c:pt idx="11">
                  <c:v>25296</c:v>
                </c:pt>
                <c:pt idx="12">
                  <c:v>22568</c:v>
                </c:pt>
                <c:pt idx="13">
                  <c:v>5003</c:v>
                </c:pt>
                <c:pt idx="14">
                  <c:v>5003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E8-4EDA-88FC-1A31A40F7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7-44D9-8404-99CF2BED39E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47-44D9-8404-99CF2BED39E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7-44D9-8404-99CF2BED3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CF0-4460-97BF-9F707610B8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F0-4460-97BF-9F707610B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F0-4460-97BF-9F707610B80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F0-4460-97BF-9F707610B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2">
                  <c:v>20748</c:v>
                </c:pt>
                <c:pt idx="3">
                  <c:v>4882</c:v>
                </c:pt>
                <c:pt idx="4">
                  <c:v>24764</c:v>
                </c:pt>
                <c:pt idx="5">
                  <c:v>3771</c:v>
                </c:pt>
                <c:pt idx="6">
                  <c:v>5105</c:v>
                </c:pt>
                <c:pt idx="8">
                  <c:v>613</c:v>
                </c:pt>
                <c:pt idx="10">
                  <c:v>4375</c:v>
                </c:pt>
                <c:pt idx="11">
                  <c:v>24300</c:v>
                </c:pt>
                <c:pt idx="12">
                  <c:v>16460</c:v>
                </c:pt>
                <c:pt idx="13">
                  <c:v>4851</c:v>
                </c:pt>
                <c:pt idx="14">
                  <c:v>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8-4119-B3A7-FA99E9FE22C7}"/>
            </c:ext>
          </c:extLst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20748</c:v>
                </c:pt>
                <c:pt idx="3">
                  <c:v>4882</c:v>
                </c:pt>
                <c:pt idx="4">
                  <c:v>24764</c:v>
                </c:pt>
                <c:pt idx="5">
                  <c:v>3771</c:v>
                </c:pt>
                <c:pt idx="6">
                  <c:v>5105</c:v>
                </c:pt>
                <c:pt idx="7">
                  <c:v>10540</c:v>
                </c:pt>
                <c:pt idx="8">
                  <c:v>613</c:v>
                </c:pt>
                <c:pt idx="9">
                  <c:v>27965</c:v>
                </c:pt>
                <c:pt idx="10">
                  <c:v>4375</c:v>
                </c:pt>
                <c:pt idx="11">
                  <c:v>24300</c:v>
                </c:pt>
                <c:pt idx="12">
                  <c:v>16460</c:v>
                </c:pt>
                <c:pt idx="13">
                  <c:v>4851</c:v>
                </c:pt>
                <c:pt idx="14">
                  <c:v>4851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8-4119-B3A7-FA99E9FE2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75%</c:v>
                </c:pt>
                <c:pt idx="6">
                  <c:v>100%</c:v>
                </c:pt>
                <c:pt idx="7">
                  <c:v>0%</c:v>
                </c:pt>
                <c:pt idx="8">
                  <c:v>42%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92%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0</c:v>
                </c:pt>
                <c:pt idx="8">
                  <c:v>0.41666666666666669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0.91666666666666663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E-4DA3-9B40-39BFF266356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1E-4DA3-9B40-39BFF266356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0.66388888888888897</c:v>
                </c:pt>
                <c:pt idx="1">
                  <c:v>0.66388888888888897</c:v>
                </c:pt>
                <c:pt idx="2">
                  <c:v>0.66388888888888897</c:v>
                </c:pt>
                <c:pt idx="3">
                  <c:v>0.66388888888888897</c:v>
                </c:pt>
                <c:pt idx="4">
                  <c:v>0.66388888888888897</c:v>
                </c:pt>
                <c:pt idx="5">
                  <c:v>0.66388888888888897</c:v>
                </c:pt>
                <c:pt idx="6">
                  <c:v>0.66388888888888897</c:v>
                </c:pt>
                <c:pt idx="7">
                  <c:v>0.66388888888888897</c:v>
                </c:pt>
                <c:pt idx="8">
                  <c:v>0.66388888888888897</c:v>
                </c:pt>
                <c:pt idx="9">
                  <c:v>0.66388888888888897</c:v>
                </c:pt>
                <c:pt idx="10">
                  <c:v>0.66388888888888897</c:v>
                </c:pt>
                <c:pt idx="11">
                  <c:v>0.66388888888888897</c:v>
                </c:pt>
                <c:pt idx="12">
                  <c:v>0.66388888888888897</c:v>
                </c:pt>
                <c:pt idx="13">
                  <c:v>0.66388888888888897</c:v>
                </c:pt>
                <c:pt idx="14">
                  <c:v>0.66388888888888897</c:v>
                </c:pt>
                <c:pt idx="15">
                  <c:v>0.66388888888888897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E-4DA3-9B40-39BFF2663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2">
                  <c:v>20748</c:v>
                </c:pt>
                <c:pt idx="3">
                  <c:v>4882</c:v>
                </c:pt>
                <c:pt idx="4">
                  <c:v>24764</c:v>
                </c:pt>
                <c:pt idx="5">
                  <c:v>3771</c:v>
                </c:pt>
                <c:pt idx="6">
                  <c:v>5105</c:v>
                </c:pt>
                <c:pt idx="8">
                  <c:v>613</c:v>
                </c:pt>
                <c:pt idx="10">
                  <c:v>4375</c:v>
                </c:pt>
                <c:pt idx="11">
                  <c:v>24300</c:v>
                </c:pt>
                <c:pt idx="12">
                  <c:v>16460</c:v>
                </c:pt>
                <c:pt idx="13">
                  <c:v>4851</c:v>
                </c:pt>
                <c:pt idx="14">
                  <c:v>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7-4373-BBFB-EF976E42D78A}"/>
            </c:ext>
          </c:extLst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20748</c:v>
                </c:pt>
                <c:pt idx="3">
                  <c:v>4882</c:v>
                </c:pt>
                <c:pt idx="4">
                  <c:v>24764</c:v>
                </c:pt>
                <c:pt idx="5">
                  <c:v>3771</c:v>
                </c:pt>
                <c:pt idx="6">
                  <c:v>5105</c:v>
                </c:pt>
                <c:pt idx="7">
                  <c:v>10540</c:v>
                </c:pt>
                <c:pt idx="8">
                  <c:v>613</c:v>
                </c:pt>
                <c:pt idx="9">
                  <c:v>27965</c:v>
                </c:pt>
                <c:pt idx="10">
                  <c:v>4375</c:v>
                </c:pt>
                <c:pt idx="11">
                  <c:v>24300</c:v>
                </c:pt>
                <c:pt idx="12">
                  <c:v>16460</c:v>
                </c:pt>
                <c:pt idx="13">
                  <c:v>4851</c:v>
                </c:pt>
                <c:pt idx="14">
                  <c:v>4851</c:v>
                </c:pt>
                <c:pt idx="15">
                  <c:v>10476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7-4373-BBFB-EF976E42D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75%</c:v>
                </c:pt>
                <c:pt idx="6">
                  <c:v>100%</c:v>
                </c:pt>
                <c:pt idx="7">
                  <c:v>0%</c:v>
                </c:pt>
                <c:pt idx="8">
                  <c:v>42%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92%</c:v>
                </c:pt>
                <c:pt idx="13">
                  <c:v>100%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0.75</c:v>
                </c:pt>
                <c:pt idx="6">
                  <c:v>1</c:v>
                </c:pt>
                <c:pt idx="7">
                  <c:v>0</c:v>
                </c:pt>
                <c:pt idx="8">
                  <c:v>0.41666666666666669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0.91666666666666663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5-45AC-BE51-8EB873E346C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25-45AC-BE51-8EB873E346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5">
                  <c:v>SLIDER</c:v>
                </c:pt>
                <c:pt idx="6">
                  <c:v>BASE</c:v>
                </c:pt>
                <c:pt idx="7">
                  <c:v>HEARD</c:v>
                </c:pt>
                <c:pt idx="8">
                  <c:v>BASE</c:v>
                </c:pt>
                <c:pt idx="9">
                  <c:v>LID</c:v>
                </c:pt>
                <c:pt idx="10">
                  <c:v>STOPPER</c:v>
                </c:pt>
                <c:pt idx="11">
                  <c:v>COVER</c:v>
                </c:pt>
                <c:pt idx="12">
                  <c:v>BASE</c:v>
                </c:pt>
                <c:pt idx="13">
                  <c:v>STOPPER</c:v>
                </c:pt>
                <c:pt idx="14">
                  <c:v>HOLDER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0.66388888888888897</c:v>
                </c:pt>
                <c:pt idx="1">
                  <c:v>0.66388888888888897</c:v>
                </c:pt>
                <c:pt idx="2">
                  <c:v>0.66388888888888897</c:v>
                </c:pt>
                <c:pt idx="3">
                  <c:v>0.66388888888888897</c:v>
                </c:pt>
                <c:pt idx="4">
                  <c:v>0.66388888888888897</c:v>
                </c:pt>
                <c:pt idx="5">
                  <c:v>0.66388888888888897</c:v>
                </c:pt>
                <c:pt idx="6">
                  <c:v>0.66388888888888897</c:v>
                </c:pt>
                <c:pt idx="7">
                  <c:v>0.66388888888888897</c:v>
                </c:pt>
                <c:pt idx="8">
                  <c:v>0.66388888888888897</c:v>
                </c:pt>
                <c:pt idx="9">
                  <c:v>0.66388888888888897</c:v>
                </c:pt>
                <c:pt idx="10">
                  <c:v>0.66388888888888897</c:v>
                </c:pt>
                <c:pt idx="11">
                  <c:v>0.66388888888888897</c:v>
                </c:pt>
                <c:pt idx="12">
                  <c:v>0.66388888888888897</c:v>
                </c:pt>
                <c:pt idx="13">
                  <c:v>0.66388888888888897</c:v>
                </c:pt>
                <c:pt idx="14">
                  <c:v>0.66388888888888897</c:v>
                </c:pt>
                <c:pt idx="15">
                  <c:v>0.66388888888888897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25-45AC-BE51-8EB873E34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695-4409-B776-A2127853D8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2">
                  <c:v>0.44166666666666671</c:v>
                </c:pt>
                <c:pt idx="3">
                  <c:v>0.49993578295027574</c:v>
                </c:pt>
                <c:pt idx="4">
                  <c:v>0.48055555555555551</c:v>
                </c:pt>
                <c:pt idx="5">
                  <c:v>0.41103620474406993</c:v>
                </c:pt>
                <c:pt idx="6">
                  <c:v>0.43611012491781725</c:v>
                </c:pt>
                <c:pt idx="9">
                  <c:v>0.4443419480767255</c:v>
                </c:pt>
                <c:pt idx="10">
                  <c:v>0.44444444444444442</c:v>
                </c:pt>
                <c:pt idx="11">
                  <c:v>0.43609649122807015</c:v>
                </c:pt>
                <c:pt idx="12">
                  <c:v>0.39722222222222225</c:v>
                </c:pt>
                <c:pt idx="13">
                  <c:v>0.46388888888888891</c:v>
                </c:pt>
                <c:pt idx="14">
                  <c:v>0.21111111111111111</c:v>
                </c:pt>
                <c:pt idx="16">
                  <c:v>0.3972222222222222</c:v>
                </c:pt>
                <c:pt idx="17">
                  <c:v>0.2638888888888889</c:v>
                </c:pt>
                <c:pt idx="18">
                  <c:v>0.28611111111111115</c:v>
                </c:pt>
                <c:pt idx="19">
                  <c:v>0.24444444444444444</c:v>
                </c:pt>
                <c:pt idx="20">
                  <c:v>9.7894988637722752E-2</c:v>
                </c:pt>
                <c:pt idx="23">
                  <c:v>0.3527777777777778</c:v>
                </c:pt>
                <c:pt idx="24">
                  <c:v>0.3305555555555556</c:v>
                </c:pt>
                <c:pt idx="25">
                  <c:v>0.50275252525252523</c:v>
                </c:pt>
                <c:pt idx="26">
                  <c:v>0.5444444444444444</c:v>
                </c:pt>
                <c:pt idx="27">
                  <c:v>0.58424445332800323</c:v>
                </c:pt>
                <c:pt idx="30">
                  <c:v>0.66388888888888897</c:v>
                </c:pt>
                <c:pt idx="31">
                  <c:v>0.28821402391475592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5-4409-B776-A2127853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95-4409-B776-A2127853D8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95-4409-B776-A2127853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C0875C-7190-4418-B922-F449953DD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38CDDA5-6C51-478C-A216-100D4A047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50CC81E-EE3F-4193-92DE-2BBC1532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1FB5583-7E98-4151-93CE-568FF86B0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158AEA7-0D09-4446-99AB-EA9082712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D20326C-F761-4B2B-955C-1A67ECE66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33D000B-C616-47EC-9CC8-85AFD19FD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F5E9690-0980-4BC7-BF21-1ACC63D15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614FF55-255D-45B6-B3DA-ED6977DE4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760675D-4164-40F8-8864-041D3FC83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3D4F693-32D7-4ABE-AAAB-E7A613810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7FB20AA-80E4-4369-90D4-B97E2249B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F3DE4CC-7C62-47F1-87C9-DCE74BB32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554B9F3-955B-42AF-9D4B-1FB5BF187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FFB6C79-2ED0-4500-B940-D8BF4C6F4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58F1CC9-73A7-4504-A84D-AB9D9A9AC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AE907CB-97D6-4E4E-81AB-1EA405903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1C2B385-440D-4492-97E0-F161BDEA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ECA43BB-449F-49EB-88E7-703337DDE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2B85A54-7A40-4C00-94F7-034B06DA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81CDEA3-C466-4FEC-A533-19F5858B1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5EA84F4-765B-4E10-B218-12DCBB3A5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7B61AEC-B3A3-4134-8235-D9C23E2B89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4392CC-B1EB-4218-9F3F-49860F8D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28E953F-DAF3-4724-BB8A-44F5E9999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62346E3-6BEC-4210-9DA9-E99A07978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EFC646C-A934-40B6-8EBF-62B7B97D3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5761BBA-DAD7-435E-BB29-144D1DC98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BE5C0B5-637B-423C-AF12-38DBB91CC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BB9516F-7EAD-4061-ADAC-2E31D8E75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BC080A3-5CEF-48F1-8BC4-B717ED21A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5D8304-10B0-4359-A242-6488499C6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4DB79E9-395B-4605-A6D5-7EFA4BBB5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E1E347D-693F-4F66-B755-A99B5FDE2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31D8C13-759E-4F03-A1BE-491DB2E58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8A26888-CB22-4F18-9FB2-988D1B84F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8EC6A0C-DA9F-45E8-90EC-31D83131A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C60095F-4A62-457C-9B25-3EE29867A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32663E9-C60C-4003-BEC4-6467F8869A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C425418-5095-4108-94FE-C55B1E374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9B03E45-AFEB-4491-A055-8CD9C772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D6929C3-51C0-46D3-AC27-5CC2B2E61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F02F9EE-A69C-458A-9009-C4CC94B84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4D1F3C4-089D-4312-A6A8-063993BD1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1631A88-E412-4580-A4DC-9F2753FD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3F6C503-9F8B-4011-9727-CEBBA04E9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287393D-B5E0-4804-8C7A-D50378BC8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915C9EA-D8AE-48C1-AC5B-01B018199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9CD4416-DC5A-4330-BDC3-92AC2BC23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5A4B985-7ED8-43D3-863D-78F9D8DA2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9D8E20C-373F-4CC8-AA53-77EAC4B98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A567B50-47F1-4551-A1C4-240EB657F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E94124B-329C-43E4-A79D-9F7E8159D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84EB30E-BF58-4C33-94AA-E8D894124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8E2F0CD-032B-411D-B0F0-E1A2FE8C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58AA93E-5726-4DE6-9573-8F234669D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3A2B9CE-8EF4-4D12-8206-27A62D370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86B64EC-7D6D-4306-B101-0089FC67D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011F5D1-4ACE-4279-9CA4-0D0D12EA5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3D1BE75-A308-42BE-BF5B-880DE9A97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5E73C4D-6613-449B-8660-9B1F7BA46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FA3A8AB-10BA-4F54-9325-7C800FA5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16FB28C-88EF-48E4-B458-BA255FAFA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9B50EC-B27F-46D9-921F-A9027D15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2C24A02-7488-4D58-B1BF-173357442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9D261D0-C294-4681-945A-B4F9A521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9F83741-BBB3-4676-884A-8DFDFF687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E870453-BE90-42C4-8ACE-08FFB5851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B8FF7DF-ABD4-456E-BDD6-188718BBE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37F8AEA-5C8C-4DB3-B9A7-E2E21194B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EFAABC1-4B05-4D91-ABA9-A14848EE8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0C3B165-EF48-4E9F-A4A1-719244D09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CA9D76E-EEDC-4D39-A3F6-71DBFCE6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E0163A2-8429-4CF5-89D8-2A634E3C0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5278D2D-1299-4AFD-B6CA-6AABD8944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C6F0061-B049-4A20-AB82-003A83820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19E1391-07FE-4EEF-9635-4B559A7E5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486CC2F-3390-4424-B4C3-CB8565EBC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1036572-51AD-4437-BC85-4AD110CC7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8D14474-838D-483A-8E50-F9C87799A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FD71E1B-C01F-46E8-8BFD-EBE7A9732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E188D08-CDF6-418A-B055-6EE1ECE75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327C353-A898-4E54-8AA5-CA97707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A4ED76E-B0D6-4213-9FD2-7419A2DF4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54DDC9-BD6C-4114-821D-054C454E7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9CCA7C9-B6D6-4BF8-832A-0494D7811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02C8F77-AAAC-4D37-B04F-83BC074D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AEA0760-453A-458C-8ECF-FE8A44D92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6E654E1-F783-41E7-A02A-5E0C47C25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90E27F1-342D-4B62-AEA4-1EA8F723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F99C8DB-2344-45F7-A152-5CE84EB297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FB52EE9-41BE-4D86-9294-6FEA753BB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338A5D5-3DAB-4C57-9E58-09BC6E107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DAD5437-D061-4826-A25F-51EE1F605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11E1D76-FD92-408A-A73F-17DFCF76A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9350B2C-6BE0-4769-A4BA-C65185920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AD05744-84ED-4EF5-939F-76F82B01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AC3D637-E4CC-4825-A57E-70B37E2E8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DFC07A7-B3ED-4AFE-87BD-B6E23ACF4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B935C3A-387D-4E28-A96A-8FDFB0259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8FF0C44-DE0D-496D-8D8D-836BA336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87B5DAD-4137-4FAB-A923-B3E0791FE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B4D63C1-1564-4893-9203-4719925AE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522DBFE-8005-4C0C-84F2-F9C7CE09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E1CD13A-D33B-4A75-A7FA-F56F74C2D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01757B2-086E-4AAB-91DC-B4F84E757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79818DA-AAD2-45E8-8070-5BB049F98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31E854F-2183-4E31-8422-30917BE03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799D404-76C0-4F6C-9282-4B6AF77D2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4418952-3869-4FD7-BEDE-DE4656AA1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F59DF5F-4CD4-4DF0-97E9-BA135F7E9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A3B0EF5-04CA-43CE-BDD4-4F05FDF62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860425F-16E5-41F7-8AE5-6D699D50E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7A63099-9808-47F2-8482-AC6D785C3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A07C57F-5EE9-411B-BB57-8D2550D7C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DAFE66B-481F-44B1-9646-F8039C83E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3DBFEDC-4120-4384-B7F6-82D00C3D4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70159EF-A7E5-4BE3-9C70-60B8D854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8AF8C2F-0CF6-4754-ADEB-05BE134A2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105833</xdr:colOff>
      <xdr:row>51</xdr:row>
      <xdr:rowOff>185209</xdr:rowOff>
    </xdr:from>
    <xdr:to>
      <xdr:col>24</xdr:col>
      <xdr:colOff>330729</xdr:colOff>
      <xdr:row>55</xdr:row>
      <xdr:rowOff>39687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7B5417-65DF-4C3E-A058-3ED864E46AFB}"/>
            </a:ext>
          </a:extLst>
        </xdr:cNvPr>
        <xdr:cNvSpPr txBox="1"/>
      </xdr:nvSpPr>
      <xdr:spPr>
        <a:xfrm>
          <a:off x="13956771" y="16166042"/>
          <a:ext cx="5569479" cy="1230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/>
            <a:t>HSCB65 4CAV 5</a:t>
          </a:r>
          <a:r>
            <a:rPr lang="ko-KR" altLang="en-US" sz="2400"/>
            <a:t>종 승인후 양산</a:t>
          </a:r>
        </a:p>
      </xdr:txBody>
    </xdr:sp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7B07127-1D32-45D9-89C3-C72DFE90F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3F68C10-8AC6-40A7-BBAE-EAA2F9BC4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D728162-4D7E-4A60-9BD9-8D5EE4A39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09024EF-7CBE-469A-A5EE-FEB6D0032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B703AD5-8775-4C75-BAA8-A97791F63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C300025-DC50-497E-A42C-9C624CC2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255B676-C4DF-49BF-A187-ECD07F970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423334</xdr:colOff>
      <xdr:row>50</xdr:row>
      <xdr:rowOff>66146</xdr:rowOff>
    </xdr:from>
    <xdr:to>
      <xdr:col>23</xdr:col>
      <xdr:colOff>277813</xdr:colOff>
      <xdr:row>52</xdr:row>
      <xdr:rowOff>79374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EBDDC97-7B1B-4E90-A2F1-58945F17835C}"/>
            </a:ext>
          </a:extLst>
        </xdr:cNvPr>
        <xdr:cNvSpPr txBox="1"/>
      </xdr:nvSpPr>
      <xdr:spPr>
        <a:xfrm>
          <a:off x="13612813" y="15703021"/>
          <a:ext cx="5318125" cy="701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/>
            <a:t>HSCB65 4CAV 5</a:t>
          </a:r>
          <a:r>
            <a:rPr lang="ko-KR" altLang="en-US" sz="2400"/>
            <a:t>종 승인후 양산</a:t>
          </a:r>
        </a:p>
      </xdr:txBody>
    </xdr:sp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C696DA5-A758-4D0E-B5F3-EC6A44E8A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4B66202-5074-476A-AE20-9A7E7ED1A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094C077-6649-4E38-B68D-0EF9A39A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9E5BE14-1999-42FA-9935-8F52D8617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5FBFF54-9588-476D-A9ED-25D70328A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E7F5A83-ABB3-4D57-A2F8-EE719F34B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1E72F9B-5A9F-40B5-A4D8-E9A1585D2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119063</xdr:colOff>
      <xdr:row>52</xdr:row>
      <xdr:rowOff>171979</xdr:rowOff>
    </xdr:from>
    <xdr:to>
      <xdr:col>8</xdr:col>
      <xdr:colOff>939270</xdr:colOff>
      <xdr:row>55</xdr:row>
      <xdr:rowOff>291041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EC1A44C-FA03-40B4-B1AC-F81382DC1B09}"/>
            </a:ext>
          </a:extLst>
        </xdr:cNvPr>
        <xdr:cNvSpPr txBox="1"/>
      </xdr:nvSpPr>
      <xdr:spPr>
        <a:xfrm>
          <a:off x="423334" y="16496771"/>
          <a:ext cx="6905624" cy="1150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/>
            <a:t>HSCB65 4CAV 4</a:t>
          </a:r>
          <a:r>
            <a:rPr lang="ko-KR" altLang="en-US" sz="2400"/>
            <a:t>벌 승인후 양산</a:t>
          </a:r>
        </a:p>
      </xdr:txBody>
    </xdr:sp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FCFA418-6683-41E8-91A2-5B6643107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392C339-BD58-4F4A-AE6D-BAC1F5410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B44BCCC-3F17-4E6B-A6F3-8A6A340F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381151D-AF17-4D2B-9F60-2C63A0174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58289A4-5A29-4A36-A6C9-59378262C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7411712-DBF2-4268-9D92-94DCBDC60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E49F048-29B9-44BB-9576-E4C2EFBB7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F09908D-44CF-4EA0-B523-5D2E9292E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8A83D98-95C0-4CCF-846B-A02078FCB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006A7F1-3F09-4EA9-B47A-D57009960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63CCCE5-B001-4902-9250-6C44C41D0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9BD1D42-AD30-4EE5-B877-8397A0472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1904EC3-DF20-4C29-B47F-59B38D0F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2B0415C-AA0C-4C7B-AEEE-1F20C1DC9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317500</xdr:colOff>
      <xdr:row>52</xdr:row>
      <xdr:rowOff>171979</xdr:rowOff>
    </xdr:from>
    <xdr:to>
      <xdr:col>24</xdr:col>
      <xdr:colOff>185208</xdr:colOff>
      <xdr:row>55</xdr:row>
      <xdr:rowOff>132291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6792583-A37D-4DB9-98CD-444CCC0A00DD}"/>
            </a:ext>
          </a:extLst>
        </xdr:cNvPr>
        <xdr:cNvSpPr txBox="1"/>
      </xdr:nvSpPr>
      <xdr:spPr>
        <a:xfrm>
          <a:off x="13506979" y="16496771"/>
          <a:ext cx="5873750" cy="992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/>
            <a:t>SST</a:t>
          </a:r>
          <a:r>
            <a:rPr lang="en-US" altLang="ko-KR" sz="2400" baseline="0"/>
            <a:t> </a:t>
          </a:r>
          <a:r>
            <a:rPr lang="ko-KR" altLang="en-US" sz="2400" baseline="0"/>
            <a:t>셈플 </a:t>
          </a:r>
          <a:r>
            <a:rPr lang="en-US" altLang="ko-KR" sz="2400" baseline="0"/>
            <a:t>2</a:t>
          </a:r>
          <a:r>
            <a:rPr lang="ko-KR" altLang="en-US" sz="2400" baseline="0"/>
            <a:t>벌진행</a:t>
          </a:r>
          <a:endParaRPr lang="ko-KR" altLang="en-US" sz="2400"/>
        </a:p>
      </xdr:txBody>
    </xdr:sp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A887BF3-F032-4065-A9F7-219CE08F6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E4E248E-8294-4E02-AD3C-7314899A4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EC8122A-8E60-45C0-81AE-478C89BA0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711C219-FBA6-434D-82BE-E4A68232E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B9AB2C7-7BFA-4DDD-B0FF-D8D7B890C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EAC990D-77C2-4616-8259-ADF052F3F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45EB533-E9B7-49A3-A8BD-587571C60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410104</xdr:colOff>
      <xdr:row>51</xdr:row>
      <xdr:rowOff>185209</xdr:rowOff>
    </xdr:from>
    <xdr:to>
      <xdr:col>8</xdr:col>
      <xdr:colOff>198437</xdr:colOff>
      <xdr:row>54</xdr:row>
      <xdr:rowOff>145521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3242A84-1DEA-4A3B-BB5D-1C0E6735C1D4}"/>
            </a:ext>
          </a:extLst>
        </xdr:cNvPr>
        <xdr:cNvSpPr txBox="1"/>
      </xdr:nvSpPr>
      <xdr:spPr>
        <a:xfrm>
          <a:off x="714375" y="16166042"/>
          <a:ext cx="5873750" cy="992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/>
            <a:t>SST</a:t>
          </a:r>
          <a:r>
            <a:rPr lang="en-US" altLang="ko-KR" sz="2400" baseline="0"/>
            <a:t> </a:t>
          </a:r>
          <a:r>
            <a:rPr lang="ko-KR" altLang="en-US" sz="2400" baseline="0"/>
            <a:t>셈플 </a:t>
          </a:r>
          <a:r>
            <a:rPr lang="en-US" altLang="ko-KR" sz="2400" baseline="0"/>
            <a:t>2</a:t>
          </a:r>
          <a:r>
            <a:rPr lang="ko-KR" altLang="en-US" sz="2400" baseline="0"/>
            <a:t>벌진행</a:t>
          </a:r>
          <a:endParaRPr lang="ko-KR" altLang="en-US" sz="2400"/>
        </a:p>
      </xdr:txBody>
    </xdr:sp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AA4E59-29D4-44E8-B92B-F90D6175F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355595-C2D4-4AE7-9CE0-CDF087B33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E7920CC-0D69-4156-AD56-E36366EA7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257677D-5DB7-46AF-999A-3CA25E8B2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18CBFC7-D28F-4ECF-8032-02AF9328D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4AE2C20-88C7-469E-BB8F-EC741315A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635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1579594-429F-4954-97F8-BF6681233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AH7" sqref="AH7"/>
    </sheetView>
  </sheetViews>
  <sheetFormatPr defaultRowHeight="13.5"/>
  <cols>
    <col min="1" max="1" width="7.5" style="74" bestFit="1" customWidth="1"/>
    <col min="2" max="17" width="5.5" style="74" bestFit="1" customWidth="1"/>
    <col min="18" max="18" width="6" style="74" customWidth="1"/>
    <col min="19" max="33" width="5.5" style="74" bestFit="1" customWidth="1"/>
    <col min="34" max="16384" width="9" style="74"/>
  </cols>
  <sheetData>
    <row r="1" spans="1:33" ht="33.75" customHeight="1" thickBot="1">
      <c r="A1" s="357" t="s">
        <v>160</v>
      </c>
      <c r="B1" s="357"/>
      <c r="C1" s="357"/>
      <c r="D1" s="357"/>
      <c r="E1" s="357"/>
      <c r="F1" s="357"/>
      <c r="G1" s="357"/>
      <c r="H1" s="357"/>
    </row>
    <row r="2" spans="1:33" ht="21.75" customHeight="1" thickBot="1">
      <c r="A2" s="95" t="s">
        <v>59</v>
      </c>
      <c r="B2" s="97" t="s">
        <v>74</v>
      </c>
      <c r="C2" s="98" t="s">
        <v>75</v>
      </c>
      <c r="D2" s="98" t="s">
        <v>76</v>
      </c>
      <c r="E2" s="98" t="s">
        <v>77</v>
      </c>
      <c r="F2" s="98" t="s">
        <v>78</v>
      </c>
      <c r="G2" s="98" t="s">
        <v>79</v>
      </c>
      <c r="H2" s="98" t="s">
        <v>80</v>
      </c>
      <c r="I2" s="98" t="s">
        <v>81</v>
      </c>
      <c r="J2" s="98" t="s">
        <v>82</v>
      </c>
      <c r="K2" s="98" t="s">
        <v>83</v>
      </c>
      <c r="L2" s="98" t="s">
        <v>84</v>
      </c>
      <c r="M2" s="98" t="s">
        <v>85</v>
      </c>
      <c r="N2" s="98" t="s">
        <v>86</v>
      </c>
      <c r="O2" s="98" t="s">
        <v>87</v>
      </c>
      <c r="P2" s="98" t="s">
        <v>88</v>
      </c>
      <c r="Q2" s="98" t="s">
        <v>89</v>
      </c>
      <c r="R2" s="98" t="s">
        <v>90</v>
      </c>
      <c r="S2" s="98" t="s">
        <v>91</v>
      </c>
      <c r="T2" s="98" t="s">
        <v>92</v>
      </c>
      <c r="U2" s="98" t="s">
        <v>93</v>
      </c>
      <c r="V2" s="98" t="s">
        <v>94</v>
      </c>
      <c r="W2" s="98" t="s">
        <v>95</v>
      </c>
      <c r="X2" s="98" t="s">
        <v>96</v>
      </c>
      <c r="Y2" s="98" t="s">
        <v>97</v>
      </c>
      <c r="Z2" s="98" t="s">
        <v>98</v>
      </c>
      <c r="AA2" s="98" t="s">
        <v>99</v>
      </c>
      <c r="AB2" s="98" t="s">
        <v>100</v>
      </c>
      <c r="AC2" s="98" t="s">
        <v>101</v>
      </c>
      <c r="AD2" s="98" t="s">
        <v>102</v>
      </c>
      <c r="AE2" s="98" t="s">
        <v>103</v>
      </c>
      <c r="AF2" s="99" t="s">
        <v>104</v>
      </c>
      <c r="AG2" s="95" t="s">
        <v>106</v>
      </c>
    </row>
    <row r="3" spans="1:33" ht="21.75" customHeight="1">
      <c r="A3" s="115" t="s">
        <v>60</v>
      </c>
      <c r="B3" s="110"/>
      <c r="C3" s="110"/>
      <c r="D3" s="103">
        <f>'03'!AD6</f>
        <v>0</v>
      </c>
      <c r="E3" s="103">
        <f>'04'!AD6</f>
        <v>0</v>
      </c>
      <c r="F3" s="103">
        <f>'05'!AD6</f>
        <v>0</v>
      </c>
      <c r="G3" s="103">
        <f>'06'!AD6</f>
        <v>0</v>
      </c>
      <c r="H3" s="103">
        <f>'07'!AD6</f>
        <v>0</v>
      </c>
      <c r="I3" s="103"/>
      <c r="J3" s="103"/>
      <c r="K3" s="103">
        <f>'10'!AD6</f>
        <v>0</v>
      </c>
      <c r="L3" s="103">
        <f>'11'!AD6</f>
        <v>0</v>
      </c>
      <c r="M3" s="103">
        <f>'12'!AD6</f>
        <v>0</v>
      </c>
      <c r="N3" s="121">
        <f>'13'!AD6</f>
        <v>0</v>
      </c>
      <c r="O3" s="103">
        <f>'14'!AD6</f>
        <v>0</v>
      </c>
      <c r="P3" s="103">
        <f>'15'!AD6</f>
        <v>0</v>
      </c>
      <c r="Q3" s="103"/>
      <c r="R3" s="103">
        <f>'17'!AD6</f>
        <v>0</v>
      </c>
      <c r="S3" s="103">
        <f>'18'!AD6</f>
        <v>0</v>
      </c>
      <c r="T3" s="103">
        <f>'19'!AD6</f>
        <v>0</v>
      </c>
      <c r="U3" s="103">
        <f>'20'!AD6</f>
        <v>0</v>
      </c>
      <c r="V3" s="103">
        <f>'21'!AD6</f>
        <v>0</v>
      </c>
      <c r="W3" s="121"/>
      <c r="X3" s="103"/>
      <c r="Y3" s="103">
        <f>'24'!AD6</f>
        <v>0</v>
      </c>
      <c r="Z3" s="103">
        <f>'25'!AD6</f>
        <v>0</v>
      </c>
      <c r="AA3" s="103">
        <f>'26'!AD6</f>
        <v>0</v>
      </c>
      <c r="AB3" s="103">
        <f>'27'!AD6</f>
        <v>0</v>
      </c>
      <c r="AC3" s="103">
        <f>'28'!AD6</f>
        <v>0</v>
      </c>
      <c r="AD3" s="103"/>
      <c r="AE3" s="103"/>
      <c r="AF3" s="104">
        <f>'31'!AD6</f>
        <v>0</v>
      </c>
      <c r="AG3" s="106">
        <f>SUM(B3:AF3)/31</f>
        <v>0</v>
      </c>
    </row>
    <row r="4" spans="1:33" ht="21.75" customHeight="1">
      <c r="A4" s="116" t="s">
        <v>61</v>
      </c>
      <c r="B4" s="111"/>
      <c r="C4" s="111"/>
      <c r="D4" s="80">
        <f>'03'!AD7</f>
        <v>0</v>
      </c>
      <c r="E4" s="80">
        <f>'04'!AD7</f>
        <v>0</v>
      </c>
      <c r="F4" s="80">
        <f>'05'!AD7</f>
        <v>0</v>
      </c>
      <c r="G4" s="80">
        <f>'06'!AD7</f>
        <v>0</v>
      </c>
      <c r="H4" s="80">
        <f>'07'!AD7</f>
        <v>0</v>
      </c>
      <c r="I4" s="80"/>
      <c r="J4" s="80"/>
      <c r="K4" s="80">
        <f>'10'!AD7</f>
        <v>0</v>
      </c>
      <c r="L4" s="80">
        <f>'11'!AD7</f>
        <v>0</v>
      </c>
      <c r="M4" s="80">
        <f>'12'!AD7</f>
        <v>0</v>
      </c>
      <c r="N4" s="80">
        <f>'13'!AD7</f>
        <v>0</v>
      </c>
      <c r="O4" s="80">
        <f>'14'!AD7</f>
        <v>0</v>
      </c>
      <c r="P4" s="80">
        <f>'15'!AD7</f>
        <v>0</v>
      </c>
      <c r="Q4" s="80"/>
      <c r="R4" s="80">
        <f>'17'!AD7</f>
        <v>0</v>
      </c>
      <c r="S4" s="80">
        <f>'18'!AD7</f>
        <v>0</v>
      </c>
      <c r="T4" s="80">
        <f>'19'!AD7</f>
        <v>0</v>
      </c>
      <c r="U4" s="80">
        <f>'20'!AD7</f>
        <v>0</v>
      </c>
      <c r="V4" s="80">
        <f>'21'!AD7</f>
        <v>0</v>
      </c>
      <c r="W4" s="80"/>
      <c r="X4" s="80"/>
      <c r="Y4" s="80">
        <f>'24'!AD7</f>
        <v>0</v>
      </c>
      <c r="Z4" s="80">
        <f>'25'!AD7</f>
        <v>0</v>
      </c>
      <c r="AA4" s="80">
        <f>'26'!AD7</f>
        <v>0</v>
      </c>
      <c r="AB4" s="80">
        <f>'27'!AD7</f>
        <v>0</v>
      </c>
      <c r="AC4" s="80">
        <f>'28'!AD7</f>
        <v>0</v>
      </c>
      <c r="AD4" s="80"/>
      <c r="AE4" s="80"/>
      <c r="AF4" s="81">
        <f>'31'!AD7</f>
        <v>0</v>
      </c>
      <c r="AG4" s="82">
        <f t="shared" ref="AG4:AG18" si="0">SUM(B4:AF4)/31</f>
        <v>0</v>
      </c>
    </row>
    <row r="5" spans="1:33" ht="21.75" customHeight="1">
      <c r="A5" s="117" t="s">
        <v>62</v>
      </c>
      <c r="B5" s="112"/>
      <c r="C5" s="112"/>
      <c r="D5" s="83">
        <f>'03'!AD8</f>
        <v>1</v>
      </c>
      <c r="E5" s="83">
        <f>'04'!AD8</f>
        <v>1</v>
      </c>
      <c r="F5" s="83">
        <f>'05'!AD8</f>
        <v>1</v>
      </c>
      <c r="G5" s="83">
        <f>'06'!AD8</f>
        <v>1</v>
      </c>
      <c r="H5" s="83">
        <f>'07'!AD8</f>
        <v>1</v>
      </c>
      <c r="I5" s="83"/>
      <c r="J5" s="83"/>
      <c r="K5" s="83">
        <f>'10'!AD8</f>
        <v>1</v>
      </c>
      <c r="L5" s="83">
        <f>'11'!AD8</f>
        <v>1</v>
      </c>
      <c r="M5" s="83">
        <f>'12'!AD8</f>
        <v>1</v>
      </c>
      <c r="N5" s="83">
        <f>'13'!AD8</f>
        <v>1</v>
      </c>
      <c r="O5" s="83">
        <f>'14'!AD8</f>
        <v>1</v>
      </c>
      <c r="P5" s="83">
        <f>'15'!AD8</f>
        <v>0.41666666666666669</v>
      </c>
      <c r="Q5" s="83"/>
      <c r="R5" s="83">
        <f>'17'!AD8</f>
        <v>0</v>
      </c>
      <c r="S5" s="83">
        <f>'18'!AD8</f>
        <v>0</v>
      </c>
      <c r="T5" s="83">
        <f>'19'!AD8</f>
        <v>0</v>
      </c>
      <c r="U5" s="83">
        <f>'20'!AD8</f>
        <v>0</v>
      </c>
      <c r="V5" s="83">
        <f>'21'!AD8</f>
        <v>0</v>
      </c>
      <c r="W5" s="122"/>
      <c r="X5" s="83"/>
      <c r="Y5" s="83">
        <f>'24'!AD8</f>
        <v>0</v>
      </c>
      <c r="Z5" s="83">
        <f>'25'!AD8</f>
        <v>0</v>
      </c>
      <c r="AA5" s="83">
        <f>'26'!AD8</f>
        <v>0.875</v>
      </c>
      <c r="AB5" s="83">
        <f>'27'!AD8</f>
        <v>0.91666666666666663</v>
      </c>
      <c r="AC5" s="83">
        <f>'28'!AD8</f>
        <v>0.91666666666666663</v>
      </c>
      <c r="AD5" s="83"/>
      <c r="AE5" s="83"/>
      <c r="AF5" s="84">
        <f>'31'!AD8</f>
        <v>1</v>
      </c>
      <c r="AG5" s="85">
        <f t="shared" si="0"/>
        <v>0.45564516129032251</v>
      </c>
    </row>
    <row r="6" spans="1:33" ht="21.75" customHeight="1">
      <c r="A6" s="118" t="s">
        <v>63</v>
      </c>
      <c r="B6" s="113"/>
      <c r="C6" s="113"/>
      <c r="D6" s="86">
        <f>'03'!AD9</f>
        <v>0</v>
      </c>
      <c r="E6" s="86">
        <f>'04'!AD9</f>
        <v>0.625</v>
      </c>
      <c r="F6" s="86">
        <f>'05'!AD9</f>
        <v>0.79166666666666663</v>
      </c>
      <c r="G6" s="86">
        <f>'06'!AD9</f>
        <v>0.375</v>
      </c>
      <c r="H6" s="86">
        <f>'07'!AD9</f>
        <v>0.33333333333333331</v>
      </c>
      <c r="I6" s="86"/>
      <c r="J6" s="86"/>
      <c r="K6" s="86">
        <f>'10'!AD9</f>
        <v>0.16666666666666666</v>
      </c>
      <c r="L6" s="86">
        <f>'11'!AD9</f>
        <v>0.58333333333333337</v>
      </c>
      <c r="M6" s="86">
        <f>'12'!AD9</f>
        <v>0.95833333333333337</v>
      </c>
      <c r="N6" s="86">
        <f>'13'!AD9</f>
        <v>1</v>
      </c>
      <c r="O6" s="86">
        <f>'14'!AD9+'14'!AD10</f>
        <v>0.45833333333333337</v>
      </c>
      <c r="P6" s="86">
        <f>'15'!AD9</f>
        <v>0</v>
      </c>
      <c r="Q6" s="86"/>
      <c r="R6" s="86">
        <f>'17'!AD9</f>
        <v>0.33333333333333331</v>
      </c>
      <c r="S6" s="86">
        <f>'18'!AD9</f>
        <v>0.66666666666666663</v>
      </c>
      <c r="T6" s="86">
        <f>'19'!AD9</f>
        <v>1</v>
      </c>
      <c r="U6" s="86">
        <f>'20'!AD9+'20'!AD10+'20'!AD11</f>
        <v>0.79166666666666663</v>
      </c>
      <c r="V6" s="86">
        <f>'21'!AD9</f>
        <v>0.30175816289917473</v>
      </c>
      <c r="W6" s="86"/>
      <c r="X6" s="86"/>
      <c r="Y6" s="86">
        <f>'24'!AD9</f>
        <v>0</v>
      </c>
      <c r="Z6" s="86">
        <f>'25'!AD9</f>
        <v>0</v>
      </c>
      <c r="AA6" s="86">
        <f>'26'!AD9</f>
        <v>0.16628787878787876</v>
      </c>
      <c r="AB6" s="86">
        <f>'27'!AD9</f>
        <v>0.66666666666666663</v>
      </c>
      <c r="AC6" s="86">
        <f>'28'!AD9+'28'!AD10</f>
        <v>0.79166666666666674</v>
      </c>
      <c r="AD6" s="86"/>
      <c r="AE6" s="86"/>
      <c r="AF6" s="87">
        <f>'31'!AD9</f>
        <v>0.875</v>
      </c>
      <c r="AG6" s="88">
        <f t="shared" si="0"/>
        <v>0.35111976478560386</v>
      </c>
    </row>
    <row r="7" spans="1:33" ht="21.75" customHeight="1">
      <c r="A7" s="118" t="s">
        <v>64</v>
      </c>
      <c r="B7" s="113"/>
      <c r="C7" s="113"/>
      <c r="D7" s="86">
        <f>'03'!AD10</f>
        <v>0.83333333333333337</v>
      </c>
      <c r="E7" s="86">
        <f>'04'!AD10</f>
        <v>1</v>
      </c>
      <c r="F7" s="86">
        <f>'05'!AD10</f>
        <v>1</v>
      </c>
      <c r="G7" s="86">
        <f>'06'!AD10</f>
        <v>0.5</v>
      </c>
      <c r="H7" s="86">
        <f>'07'!AD10</f>
        <v>0</v>
      </c>
      <c r="I7" s="86"/>
      <c r="J7" s="86"/>
      <c r="K7" s="86">
        <f>'10'!AD10</f>
        <v>0.625</v>
      </c>
      <c r="L7" s="86">
        <f>'11'!AD10</f>
        <v>1</v>
      </c>
      <c r="M7" s="86">
        <f>'12'!AD10</f>
        <v>1</v>
      </c>
      <c r="N7" s="86">
        <f>'13'!AD10</f>
        <v>1</v>
      </c>
      <c r="O7" s="86">
        <f>'14'!AD11</f>
        <v>1</v>
      </c>
      <c r="P7" s="86">
        <f>'15'!AD10</f>
        <v>0.41666666666666669</v>
      </c>
      <c r="Q7" s="86"/>
      <c r="R7" s="86">
        <f>'17'!AD10</f>
        <v>1</v>
      </c>
      <c r="S7" s="86">
        <f>'18'!AD10</f>
        <v>0</v>
      </c>
      <c r="T7" s="86">
        <f>'19'!AD10</f>
        <v>0</v>
      </c>
      <c r="U7" s="86">
        <f>'20'!AD12</f>
        <v>0</v>
      </c>
      <c r="V7" s="86">
        <f>'21'!AD10</f>
        <v>0</v>
      </c>
      <c r="W7" s="86"/>
      <c r="X7" s="86"/>
      <c r="Y7" s="86">
        <f>'24'!AD10</f>
        <v>0</v>
      </c>
      <c r="Z7" s="86">
        <f>'25'!AD10</f>
        <v>0</v>
      </c>
      <c r="AA7" s="86">
        <f>'26'!AD10</f>
        <v>1</v>
      </c>
      <c r="AB7" s="86">
        <f>'27'!AD10</f>
        <v>1</v>
      </c>
      <c r="AC7" s="86">
        <f>'28'!AD11</f>
        <v>1</v>
      </c>
      <c r="AD7" s="86"/>
      <c r="AE7" s="86"/>
      <c r="AF7" s="87">
        <f>'31'!AD10</f>
        <v>1</v>
      </c>
      <c r="AG7" s="88">
        <f t="shared" si="0"/>
        <v>0.43145161290322581</v>
      </c>
    </row>
    <row r="8" spans="1:33" ht="21.75" customHeight="1">
      <c r="A8" s="118" t="s">
        <v>65</v>
      </c>
      <c r="B8" s="113"/>
      <c r="C8" s="113"/>
      <c r="D8" s="86">
        <f>'03'!AD11</f>
        <v>0</v>
      </c>
      <c r="E8" s="86">
        <f>'04'!AD11</f>
        <v>0</v>
      </c>
      <c r="F8" s="86">
        <f>'05'!AD11</f>
        <v>0</v>
      </c>
      <c r="G8" s="86">
        <f>'06'!AD11</f>
        <v>0</v>
      </c>
      <c r="H8" s="86">
        <f>'07'!AD11</f>
        <v>0.54166666666666663</v>
      </c>
      <c r="I8" s="86"/>
      <c r="J8" s="86"/>
      <c r="K8" s="86">
        <f>'10'!AD11</f>
        <v>0</v>
      </c>
      <c r="L8" s="86">
        <f>'11'!AD11</f>
        <v>0</v>
      </c>
      <c r="M8" s="86">
        <f>'12'!AD11</f>
        <v>0</v>
      </c>
      <c r="N8" s="86">
        <f>'13'!AD11</f>
        <v>0</v>
      </c>
      <c r="O8" s="86">
        <f>'14'!AD12</f>
        <v>0</v>
      </c>
      <c r="P8" s="86">
        <f>'15'!AD11</f>
        <v>0</v>
      </c>
      <c r="Q8" s="86"/>
      <c r="R8" s="86">
        <f>'17'!AD11</f>
        <v>0</v>
      </c>
      <c r="S8" s="86">
        <f>'18'!AD11</f>
        <v>0.41666666666666669</v>
      </c>
      <c r="T8" s="86">
        <f>'19'!AD11</f>
        <v>0.16666666666666666</v>
      </c>
      <c r="U8" s="86">
        <f>'20'!AD13</f>
        <v>0</v>
      </c>
      <c r="V8" s="86">
        <f>'21'!AD11</f>
        <v>0</v>
      </c>
      <c r="W8" s="86"/>
      <c r="X8" s="86"/>
      <c r="Y8" s="86">
        <f>'24'!AD11</f>
        <v>0.75</v>
      </c>
      <c r="Z8" s="86">
        <f>'25'!AD11</f>
        <v>1</v>
      </c>
      <c r="AA8" s="86">
        <f>'26'!AD11</f>
        <v>1</v>
      </c>
      <c r="AB8" s="86">
        <f>'27'!AD11</f>
        <v>1</v>
      </c>
      <c r="AC8" s="86">
        <f>'28'!AD12</f>
        <v>1</v>
      </c>
      <c r="AD8" s="86"/>
      <c r="AE8" s="86"/>
      <c r="AF8" s="87">
        <f>'31'!AD11</f>
        <v>0.75</v>
      </c>
      <c r="AG8" s="88">
        <f t="shared" si="0"/>
        <v>0.21370967741935484</v>
      </c>
    </row>
    <row r="9" spans="1:33" ht="21.75" customHeight="1">
      <c r="A9" s="118" t="s">
        <v>66</v>
      </c>
      <c r="B9" s="113"/>
      <c r="C9" s="113"/>
      <c r="D9" s="86">
        <f>'03'!AD12</f>
        <v>1</v>
      </c>
      <c r="E9" s="86">
        <f>'04'!AD12</f>
        <v>0.99962962962962965</v>
      </c>
      <c r="F9" s="86">
        <f>'05'!AD12</f>
        <v>0</v>
      </c>
      <c r="G9" s="86">
        <f>'06'!AD12</f>
        <v>0</v>
      </c>
      <c r="H9" s="86">
        <f>'07'!AD12</f>
        <v>0.33333333333333331</v>
      </c>
      <c r="I9" s="86"/>
      <c r="J9" s="86"/>
      <c r="K9" s="86">
        <f>'10'!AD12</f>
        <v>0.45833333333333331</v>
      </c>
      <c r="L9" s="86">
        <f>'11'!AD12</f>
        <v>0.66666666666666663</v>
      </c>
      <c r="M9" s="86">
        <f>'12'!AD12</f>
        <v>0.45833333333333331</v>
      </c>
      <c r="N9" s="86">
        <f>'13'!AD12</f>
        <v>0.875</v>
      </c>
      <c r="O9" s="86">
        <f>'14'!AD13</f>
        <v>0.875</v>
      </c>
      <c r="P9" s="86">
        <f>'15'!AD12</f>
        <v>0.41666666666666669</v>
      </c>
      <c r="Q9" s="86"/>
      <c r="R9" s="86">
        <f>'17'!AD12</f>
        <v>0.70833333333333337</v>
      </c>
      <c r="S9" s="86">
        <f>'18'!AD12</f>
        <v>0.29166666666666669</v>
      </c>
      <c r="T9" s="86">
        <f>'19'!AD12+'19'!AD13+'19'!AD14</f>
        <v>0.375</v>
      </c>
      <c r="U9" s="86">
        <f>'20'!AD14+'20'!AD15</f>
        <v>0.79166666666666663</v>
      </c>
      <c r="V9" s="86">
        <f>'21'!AD12</f>
        <v>0.33333333333333331</v>
      </c>
      <c r="W9" s="86"/>
      <c r="X9" s="86"/>
      <c r="Y9" s="86">
        <f>'24'!AD12</f>
        <v>1</v>
      </c>
      <c r="Z9" s="86">
        <f>'25'!AD12</f>
        <v>1</v>
      </c>
      <c r="AA9" s="86">
        <f>'26'!AD12</f>
        <v>1</v>
      </c>
      <c r="AB9" s="86">
        <f>'27'!AD12</f>
        <v>0.875</v>
      </c>
      <c r="AC9" s="86">
        <f>'28'!AD13</f>
        <v>0.66666666666666663</v>
      </c>
      <c r="AD9" s="86"/>
      <c r="AE9" s="86"/>
      <c r="AF9" s="87">
        <f>'31'!AD12</f>
        <v>1</v>
      </c>
      <c r="AG9" s="88">
        <f t="shared" si="0"/>
        <v>0.45563321385902034</v>
      </c>
    </row>
    <row r="10" spans="1:33" ht="21.75" customHeight="1">
      <c r="A10" s="118" t="s">
        <v>67</v>
      </c>
      <c r="B10" s="113"/>
      <c r="C10" s="113"/>
      <c r="D10" s="86">
        <f>'03'!AD13</f>
        <v>1</v>
      </c>
      <c r="E10" s="86">
        <f>'04'!AD13</f>
        <v>1</v>
      </c>
      <c r="F10" s="86">
        <f>'05'!AD13</f>
        <v>1</v>
      </c>
      <c r="G10" s="86">
        <f>'06'!AD13</f>
        <v>0.25</v>
      </c>
      <c r="H10" s="86">
        <f>'07'!AD13</f>
        <v>0.33333333333333331</v>
      </c>
      <c r="I10" s="86"/>
      <c r="J10" s="86"/>
      <c r="K10" s="86">
        <f>'10'!AD13</f>
        <v>0.16666666666666666</v>
      </c>
      <c r="L10" s="86">
        <f>'11'!AD13</f>
        <v>0</v>
      </c>
      <c r="M10" s="86">
        <f>'12'!AD13</f>
        <v>0.91644736842105257</v>
      </c>
      <c r="N10" s="86">
        <f>'13'!AD13</f>
        <v>0.5</v>
      </c>
      <c r="O10" s="86">
        <f>'14'!AD14</f>
        <v>1</v>
      </c>
      <c r="P10" s="86">
        <f>'15'!AD13</f>
        <v>0.41666666666666669</v>
      </c>
      <c r="Q10" s="86"/>
      <c r="R10" s="86">
        <f>'17'!AD13</f>
        <v>0</v>
      </c>
      <c r="S10" s="86">
        <f>'18'!AD13</f>
        <v>0</v>
      </c>
      <c r="T10" s="86">
        <f>'19'!AD15</f>
        <v>0</v>
      </c>
      <c r="U10" s="86">
        <f>'20'!AD16</f>
        <v>0.25</v>
      </c>
      <c r="V10" s="86">
        <f>'21'!AD13</f>
        <v>0.25</v>
      </c>
      <c r="W10" s="86"/>
      <c r="X10" s="86"/>
      <c r="Y10" s="86">
        <f>'24'!AD13+'24'!AD14</f>
        <v>0.91666666666666663</v>
      </c>
      <c r="Z10" s="86">
        <f>'25'!AD13</f>
        <v>0.5</v>
      </c>
      <c r="AA10" s="86">
        <f>'26'!AD13</f>
        <v>0</v>
      </c>
      <c r="AB10" s="86">
        <f>'27'!AD13</f>
        <v>0</v>
      </c>
      <c r="AC10" s="86">
        <f>'28'!AD14</f>
        <v>0</v>
      </c>
      <c r="AD10" s="86"/>
      <c r="AE10" s="86"/>
      <c r="AF10" s="87">
        <f>'31'!AD13</f>
        <v>0</v>
      </c>
      <c r="AG10" s="88">
        <f t="shared" si="0"/>
        <v>0.27418647425014148</v>
      </c>
    </row>
    <row r="11" spans="1:33" ht="21.75" customHeight="1">
      <c r="A11" s="117" t="s">
        <v>68</v>
      </c>
      <c r="B11" s="112"/>
      <c r="C11" s="112"/>
      <c r="D11" s="83">
        <f>'03'!AD14</f>
        <v>0</v>
      </c>
      <c r="E11" s="83">
        <f>'04'!AD14</f>
        <v>0</v>
      </c>
      <c r="F11" s="83">
        <f>'05'!AD14</f>
        <v>0</v>
      </c>
      <c r="G11" s="83">
        <f>'06'!AD14</f>
        <v>0</v>
      </c>
      <c r="H11" s="83">
        <f>'07'!AD14</f>
        <v>0</v>
      </c>
      <c r="I11" s="83"/>
      <c r="J11" s="83"/>
      <c r="K11" s="83">
        <f>'10'!AD14</f>
        <v>0</v>
      </c>
      <c r="L11" s="83">
        <f>'11'!AD14</f>
        <v>0</v>
      </c>
      <c r="M11" s="83">
        <f>'12'!AD14</f>
        <v>0</v>
      </c>
      <c r="N11" s="83">
        <f>'13'!AD14</f>
        <v>0</v>
      </c>
      <c r="O11" s="83">
        <f>'14'!AD15</f>
        <v>0</v>
      </c>
      <c r="P11" s="83">
        <f>'15'!AD14</f>
        <v>0.20833333333333334</v>
      </c>
      <c r="Q11" s="83"/>
      <c r="R11" s="83">
        <f>'17'!AD14</f>
        <v>0.20833333333333334</v>
      </c>
      <c r="S11" s="83">
        <f>'18'!AD14</f>
        <v>0</v>
      </c>
      <c r="T11" s="83">
        <f>'19'!AD16</f>
        <v>0</v>
      </c>
      <c r="U11" s="83">
        <f>'20'!AD17</f>
        <v>0</v>
      </c>
      <c r="V11" s="83">
        <f>'21'!AD14</f>
        <v>0</v>
      </c>
      <c r="W11" s="83"/>
      <c r="X11" s="83"/>
      <c r="Y11" s="83">
        <f>'24'!AD15</f>
        <v>0</v>
      </c>
      <c r="Z11" s="83">
        <f>'25'!AD14</f>
        <v>0</v>
      </c>
      <c r="AA11" s="83">
        <f>'26'!AD14</f>
        <v>0</v>
      </c>
      <c r="AB11" s="83">
        <f>'27'!AD14</f>
        <v>0</v>
      </c>
      <c r="AC11" s="83">
        <f>'28'!AD15</f>
        <v>0</v>
      </c>
      <c r="AD11" s="83"/>
      <c r="AE11" s="83"/>
      <c r="AF11" s="84">
        <f>'31'!AD14</f>
        <v>0.41666666666666669</v>
      </c>
      <c r="AG11" s="85">
        <f t="shared" si="0"/>
        <v>2.6881720430107527E-2</v>
      </c>
    </row>
    <row r="12" spans="1:33" ht="21.75" customHeight="1">
      <c r="A12" s="117" t="s">
        <v>69</v>
      </c>
      <c r="B12" s="112"/>
      <c r="C12" s="112"/>
      <c r="D12" s="83">
        <f>'03'!AD15</f>
        <v>1</v>
      </c>
      <c r="E12" s="83">
        <f>'04'!AD15</f>
        <v>0.99940711462450593</v>
      </c>
      <c r="F12" s="83">
        <f>'05'!AD15</f>
        <v>0.75</v>
      </c>
      <c r="G12" s="83">
        <f>'06'!AD15</f>
        <v>1</v>
      </c>
      <c r="H12" s="83">
        <f>'07'!AD15</f>
        <v>0.99998520710059169</v>
      </c>
      <c r="I12" s="83"/>
      <c r="J12" s="83"/>
      <c r="K12" s="83">
        <f>'10'!AD15</f>
        <v>1</v>
      </c>
      <c r="L12" s="83">
        <f>'11'!AD15</f>
        <v>0.41666666666666669</v>
      </c>
      <c r="M12" s="83">
        <f>'12'!AD15</f>
        <v>0</v>
      </c>
      <c r="N12" s="83">
        <f>'13'!AD15</f>
        <v>0</v>
      </c>
      <c r="O12" s="83">
        <f>'14'!AD16</f>
        <v>0</v>
      </c>
      <c r="P12" s="83">
        <f>'15'!AD15</f>
        <v>0</v>
      </c>
      <c r="Q12" s="83"/>
      <c r="R12" s="83">
        <f>'17'!AD15</f>
        <v>0</v>
      </c>
      <c r="S12" s="83">
        <f>'18'!AD15</f>
        <v>0</v>
      </c>
      <c r="T12" s="83">
        <f>'19'!AD17</f>
        <v>0</v>
      </c>
      <c r="U12" s="83">
        <f>'20'!AD18</f>
        <v>0</v>
      </c>
      <c r="V12" s="83">
        <f>'21'!AD15</f>
        <v>0</v>
      </c>
      <c r="W12" s="83"/>
      <c r="X12" s="83"/>
      <c r="Y12" s="83">
        <f>'24'!AD16</f>
        <v>0.45833333333333331</v>
      </c>
      <c r="Z12" s="83">
        <f>'25'!AD15</f>
        <v>0</v>
      </c>
      <c r="AA12" s="83">
        <f>'26'!AD15</f>
        <v>0</v>
      </c>
      <c r="AB12" s="83">
        <f>'27'!AD15</f>
        <v>0</v>
      </c>
      <c r="AC12" s="83">
        <f>'28'!AD16</f>
        <v>0</v>
      </c>
      <c r="AD12" s="83"/>
      <c r="AE12" s="83"/>
      <c r="AF12" s="84">
        <f>'31'!AD15</f>
        <v>0</v>
      </c>
      <c r="AG12" s="85">
        <f t="shared" si="0"/>
        <v>0.21369007489435798</v>
      </c>
    </row>
    <row r="13" spans="1:33" ht="21.75" customHeight="1">
      <c r="A13" s="117" t="s">
        <v>70</v>
      </c>
      <c r="B13" s="112"/>
      <c r="C13" s="112"/>
      <c r="D13" s="83">
        <f>'03'!AD16</f>
        <v>0</v>
      </c>
      <c r="E13" s="83">
        <f>'04'!AD16</f>
        <v>0</v>
      </c>
      <c r="F13" s="83">
        <f>'05'!AD16</f>
        <v>0.66666666666666663</v>
      </c>
      <c r="G13" s="83">
        <f>'06'!AD16</f>
        <v>0.125</v>
      </c>
      <c r="H13" s="83">
        <f>'07'!AD16</f>
        <v>0</v>
      </c>
      <c r="I13" s="83"/>
      <c r="J13" s="83"/>
      <c r="K13" s="83">
        <f>'10'!AD16</f>
        <v>0</v>
      </c>
      <c r="L13" s="83">
        <f>'11'!AD16</f>
        <v>0</v>
      </c>
      <c r="M13" s="83">
        <f>'12'!AD16</f>
        <v>0</v>
      </c>
      <c r="N13" s="83">
        <f>'13'!AD16</f>
        <v>0.16666666666666666</v>
      </c>
      <c r="O13" s="83">
        <f>'14'!AD17</f>
        <v>0</v>
      </c>
      <c r="P13" s="83">
        <f>'15'!AD16</f>
        <v>0.33333333333333331</v>
      </c>
      <c r="Q13" s="83"/>
      <c r="R13" s="83">
        <f>'17'!AD16</f>
        <v>0.91666666666666663</v>
      </c>
      <c r="S13" s="83">
        <f>'18'!AD16</f>
        <v>0.83333333333333337</v>
      </c>
      <c r="T13" s="83">
        <f>'19'!AD18</f>
        <v>0.875</v>
      </c>
      <c r="U13" s="83">
        <f>'20'!AD19</f>
        <v>0.83333333333333337</v>
      </c>
      <c r="V13" s="83">
        <f>'21'!AD16</f>
        <v>0.25</v>
      </c>
      <c r="W13" s="83"/>
      <c r="X13" s="83"/>
      <c r="Y13" s="83">
        <f>'24'!AD17</f>
        <v>0.75</v>
      </c>
      <c r="Z13" s="83">
        <f>'25'!AD16</f>
        <v>0.45833333333333331</v>
      </c>
      <c r="AA13" s="83">
        <f>'26'!AD16</f>
        <v>0.79166666666666663</v>
      </c>
      <c r="AB13" s="83">
        <f>'27'!AD16</f>
        <v>0.875</v>
      </c>
      <c r="AC13" s="83">
        <f>'28'!AD17</f>
        <v>1</v>
      </c>
      <c r="AD13" s="83"/>
      <c r="AE13" s="83"/>
      <c r="AF13" s="84">
        <f>'31'!AD16</f>
        <v>1</v>
      </c>
      <c r="AG13" s="85">
        <f t="shared" si="0"/>
        <v>0.31854838709677419</v>
      </c>
    </row>
    <row r="14" spans="1:33" ht="21.75" customHeight="1">
      <c r="A14" s="117" t="s">
        <v>71</v>
      </c>
      <c r="B14" s="112"/>
      <c r="C14" s="112"/>
      <c r="D14" s="83">
        <f>'03'!AD17</f>
        <v>0.79166666666666663</v>
      </c>
      <c r="E14" s="83">
        <f>'04'!AD17</f>
        <v>1</v>
      </c>
      <c r="F14" s="83">
        <f>'05'!AD17</f>
        <v>1</v>
      </c>
      <c r="G14" s="83">
        <f>'06'!AD17</f>
        <v>0.99887640449438198</v>
      </c>
      <c r="H14" s="83">
        <f>'07'!AD17</f>
        <v>1</v>
      </c>
      <c r="I14" s="83"/>
      <c r="J14" s="83"/>
      <c r="K14" s="83">
        <f>'10'!AD17</f>
        <v>0.99970149253731344</v>
      </c>
      <c r="L14" s="83">
        <f>'11'!AD17</f>
        <v>1</v>
      </c>
      <c r="M14" s="83">
        <f>'12'!AD17</f>
        <v>1</v>
      </c>
      <c r="N14" s="83">
        <f>'13'!AD17</f>
        <v>1</v>
      </c>
      <c r="O14" s="83">
        <f>'14'!AD18</f>
        <v>1</v>
      </c>
      <c r="P14" s="83">
        <f>'15'!AD17</f>
        <v>0.41666666666666669</v>
      </c>
      <c r="Q14" s="83"/>
      <c r="R14" s="83">
        <f>'17'!AD17</f>
        <v>1</v>
      </c>
      <c r="S14" s="83">
        <f>'18'!AD17</f>
        <v>0</v>
      </c>
      <c r="T14" s="83">
        <f>'19'!AD19</f>
        <v>0</v>
      </c>
      <c r="U14" s="83">
        <f>'20'!AD20</f>
        <v>0</v>
      </c>
      <c r="V14" s="83">
        <f>'21'!AD17</f>
        <v>0</v>
      </c>
      <c r="W14" s="83"/>
      <c r="X14" s="83"/>
      <c r="Y14" s="83">
        <f>'24'!AD18</f>
        <v>0</v>
      </c>
      <c r="Z14" s="83">
        <f>'25'!AD17</f>
        <v>0</v>
      </c>
      <c r="AA14" s="83">
        <f>'26'!AD17</f>
        <v>1</v>
      </c>
      <c r="AB14" s="83">
        <f>'27'!AD17</f>
        <v>1</v>
      </c>
      <c r="AC14" s="83">
        <f>'28'!AD18</f>
        <v>1</v>
      </c>
      <c r="AD14" s="83"/>
      <c r="AE14" s="83"/>
      <c r="AF14" s="84">
        <f>'31'!AD17</f>
        <v>1</v>
      </c>
      <c r="AG14" s="85">
        <f t="shared" si="0"/>
        <v>0.49054552356016218</v>
      </c>
    </row>
    <row r="15" spans="1:33" ht="21.75" customHeight="1">
      <c r="A15" s="118" t="s">
        <v>72</v>
      </c>
      <c r="B15" s="113"/>
      <c r="C15" s="113"/>
      <c r="D15" s="86">
        <f>'03'!AD18</f>
        <v>1</v>
      </c>
      <c r="E15" s="86">
        <f>'04'!AD18</f>
        <v>0.875</v>
      </c>
      <c r="F15" s="86">
        <f>'05'!AD18</f>
        <v>1</v>
      </c>
      <c r="G15" s="86">
        <f>'06'!AD18</f>
        <v>1</v>
      </c>
      <c r="H15" s="86">
        <f>'07'!AD18</f>
        <v>1</v>
      </c>
      <c r="I15" s="86"/>
      <c r="J15" s="86"/>
      <c r="K15" s="86">
        <f>'10'!AD18</f>
        <v>0.99876106194690262</v>
      </c>
      <c r="L15" s="86">
        <f>'11'!AD18</f>
        <v>1</v>
      </c>
      <c r="M15" s="86">
        <f>'12'!AD18</f>
        <v>1</v>
      </c>
      <c r="N15" s="86">
        <f>'13'!AD18</f>
        <v>0.41666666666666669</v>
      </c>
      <c r="O15" s="86">
        <f>'14'!AD19</f>
        <v>0.79166666666666663</v>
      </c>
      <c r="P15" s="86">
        <f>'15'!AD18</f>
        <v>0.29166666666666669</v>
      </c>
      <c r="Q15" s="86"/>
      <c r="R15" s="86">
        <f>'17'!AD18</f>
        <v>0.79166666666666663</v>
      </c>
      <c r="S15" s="86">
        <f>'18'!AD18</f>
        <v>0.83333333333333337</v>
      </c>
      <c r="T15" s="86">
        <f>'19'!AD20</f>
        <v>0.875</v>
      </c>
      <c r="U15" s="86">
        <f>'20'!AD21</f>
        <v>1</v>
      </c>
      <c r="V15" s="86">
        <f>'21'!AD18</f>
        <v>0.33333333333333331</v>
      </c>
      <c r="W15" s="86"/>
      <c r="X15" s="86"/>
      <c r="Y15" s="86">
        <f>'24'!AD19</f>
        <v>1</v>
      </c>
      <c r="Z15" s="86">
        <f>'25'!AD18</f>
        <v>1</v>
      </c>
      <c r="AA15" s="86">
        <f>'26'!AD18</f>
        <v>0.70833333333333337</v>
      </c>
      <c r="AB15" s="86">
        <f>'27'!AD18</f>
        <v>0.83333333333333337</v>
      </c>
      <c r="AC15" s="86">
        <f>'28'!AD19</f>
        <v>1</v>
      </c>
      <c r="AD15" s="86"/>
      <c r="AE15" s="86"/>
      <c r="AF15" s="87">
        <f>'31'!AD18</f>
        <v>0.91666666666666663</v>
      </c>
      <c r="AG15" s="88">
        <f t="shared" si="0"/>
        <v>0.60211057189076034</v>
      </c>
    </row>
    <row r="16" spans="1:33" ht="21.75" customHeight="1">
      <c r="A16" s="118" t="s">
        <v>73</v>
      </c>
      <c r="B16" s="113"/>
      <c r="C16" s="113"/>
      <c r="D16" s="86">
        <f>'03'!AD19</f>
        <v>0</v>
      </c>
      <c r="E16" s="86">
        <f>'04'!AD19</f>
        <v>0</v>
      </c>
      <c r="F16" s="86">
        <f>'05'!AD19</f>
        <v>0</v>
      </c>
      <c r="G16" s="86">
        <f>'06'!AD19</f>
        <v>0.91666666666666663</v>
      </c>
      <c r="H16" s="86">
        <f>'07'!AD19</f>
        <v>1</v>
      </c>
      <c r="I16" s="86"/>
      <c r="J16" s="86"/>
      <c r="K16" s="86">
        <f>'10'!AD19</f>
        <v>1</v>
      </c>
      <c r="L16" s="86">
        <f>'11'!AD19</f>
        <v>1</v>
      </c>
      <c r="M16" s="86">
        <f>'12'!AD19+'12'!AD20</f>
        <v>0.20833333333333334</v>
      </c>
      <c r="N16" s="86">
        <f>'13'!AD19</f>
        <v>0</v>
      </c>
      <c r="O16" s="86">
        <f>'14'!AD20</f>
        <v>0.83333333333333337</v>
      </c>
      <c r="P16" s="86">
        <f>'15'!AD19</f>
        <v>0.25</v>
      </c>
      <c r="Q16" s="86"/>
      <c r="R16" s="86">
        <f>'17'!AD19</f>
        <v>1</v>
      </c>
      <c r="S16" s="86">
        <f>'18'!AD19</f>
        <v>0.91666666666666663</v>
      </c>
      <c r="T16" s="86">
        <f>'19'!AD21</f>
        <v>1</v>
      </c>
      <c r="U16" s="86">
        <f>'20'!AD22</f>
        <v>0</v>
      </c>
      <c r="V16" s="86">
        <f>'21'!AD19</f>
        <v>0</v>
      </c>
      <c r="W16" s="86"/>
      <c r="X16" s="86"/>
      <c r="Y16" s="86">
        <f>'24'!AD20</f>
        <v>0.41666666666666669</v>
      </c>
      <c r="Z16" s="86">
        <f>'25'!AD19</f>
        <v>1</v>
      </c>
      <c r="AA16" s="86">
        <f>'26'!AD19</f>
        <v>1</v>
      </c>
      <c r="AB16" s="86">
        <f>'27'!AD19</f>
        <v>1</v>
      </c>
      <c r="AC16" s="86">
        <f>'28'!AD20</f>
        <v>0.69433339996002408</v>
      </c>
      <c r="AD16" s="86"/>
      <c r="AE16" s="86"/>
      <c r="AF16" s="87">
        <f>'31'!AD20</f>
        <v>1</v>
      </c>
      <c r="AG16" s="88">
        <f t="shared" si="0"/>
        <v>0.42696774408473198</v>
      </c>
    </row>
    <row r="17" spans="1:33" ht="21.75" customHeight="1" thickBot="1">
      <c r="A17" s="119" t="s">
        <v>111</v>
      </c>
      <c r="B17" s="114"/>
      <c r="C17" s="114"/>
      <c r="D17" s="89">
        <f>'03'!AD20</f>
        <v>0</v>
      </c>
      <c r="E17" s="89">
        <f>'04'!AD20</f>
        <v>0</v>
      </c>
      <c r="F17" s="89">
        <f>'05'!AD20</f>
        <v>0</v>
      </c>
      <c r="G17" s="89">
        <f>'06'!AD20</f>
        <v>0</v>
      </c>
      <c r="H17" s="89">
        <f>'07'!AD20</f>
        <v>0</v>
      </c>
      <c r="I17" s="89"/>
      <c r="J17" s="89"/>
      <c r="K17" s="89">
        <f>'10'!AD20</f>
        <v>0.25</v>
      </c>
      <c r="L17" s="89">
        <f>'11'!AD20</f>
        <v>0</v>
      </c>
      <c r="M17" s="89">
        <f>'12'!AD21</f>
        <v>0</v>
      </c>
      <c r="N17" s="89">
        <f>'13'!AD20</f>
        <v>0</v>
      </c>
      <c r="O17" s="89">
        <f>'14'!AD21</f>
        <v>0</v>
      </c>
      <c r="P17" s="89">
        <f>'15'!AD20</f>
        <v>0</v>
      </c>
      <c r="Q17" s="89"/>
      <c r="R17" s="89">
        <f>'17'!AD20</f>
        <v>0</v>
      </c>
      <c r="S17" s="89">
        <f>'18'!AD20</f>
        <v>0</v>
      </c>
      <c r="T17" s="89">
        <f>'19'!AD22</f>
        <v>0</v>
      </c>
      <c r="U17" s="89">
        <f>'20'!AD23</f>
        <v>0</v>
      </c>
      <c r="V17" s="89">
        <f>'21'!AD20</f>
        <v>0</v>
      </c>
      <c r="W17" s="89"/>
      <c r="X17" s="89"/>
      <c r="Y17" s="89">
        <f>'24'!AD21</f>
        <v>0</v>
      </c>
      <c r="Z17" s="89">
        <f>'25'!AD20</f>
        <v>0</v>
      </c>
      <c r="AA17" s="89">
        <f>'26'!AD20</f>
        <v>0</v>
      </c>
      <c r="AB17" s="89">
        <f>'27'!AD20</f>
        <v>0</v>
      </c>
      <c r="AC17" s="89">
        <f>'28'!AD22</f>
        <v>0</v>
      </c>
      <c r="AD17" s="89"/>
      <c r="AE17" s="89"/>
      <c r="AF17" s="90">
        <f>'31'!AD21</f>
        <v>0</v>
      </c>
      <c r="AG17" s="91">
        <f t="shared" si="0"/>
        <v>8.0645161290322578E-3</v>
      </c>
    </row>
    <row r="18" spans="1:33" s="92" customFormat="1" ht="21.75" customHeight="1">
      <c r="A18" s="96" t="s">
        <v>105</v>
      </c>
      <c r="B18" s="100"/>
      <c r="C18" s="100"/>
      <c r="D18" s="101">
        <f>'03'!AD21</f>
        <v>0.44166666666666671</v>
      </c>
      <c r="E18" s="101">
        <f>'04'!AD21</f>
        <v>0.49993578295027574</v>
      </c>
      <c r="F18" s="101">
        <f>'05'!AD21</f>
        <v>0.48055555555555551</v>
      </c>
      <c r="G18" s="101">
        <f>'06'!AD21</f>
        <v>0.41103620474406993</v>
      </c>
      <c r="H18" s="101">
        <f>'07'!AD21</f>
        <v>0.43611012491781725</v>
      </c>
      <c r="I18" s="101"/>
      <c r="J18" s="101"/>
      <c r="K18" s="101">
        <f>'10'!AD21</f>
        <v>0.4443419480767255</v>
      </c>
      <c r="L18" s="101">
        <f>'11'!AD21</f>
        <v>0.44444444444444442</v>
      </c>
      <c r="M18" s="101">
        <f>'12'!AD22</f>
        <v>0.43609649122807015</v>
      </c>
      <c r="N18" s="101">
        <f>'13'!AD21</f>
        <v>0.39722222222222225</v>
      </c>
      <c r="O18" s="101">
        <f>'14'!AD22</f>
        <v>0.46388888888888891</v>
      </c>
      <c r="P18" s="101">
        <f>'15'!AD21</f>
        <v>0.21111111111111111</v>
      </c>
      <c r="Q18" s="101"/>
      <c r="R18" s="101">
        <f>'17'!AD21</f>
        <v>0.3972222222222222</v>
      </c>
      <c r="S18" s="101">
        <f>'18'!AD21</f>
        <v>0.2638888888888889</v>
      </c>
      <c r="T18" s="101">
        <f>'19'!AD23</f>
        <v>0.28611111111111115</v>
      </c>
      <c r="U18" s="101">
        <f>'20'!AD24</f>
        <v>0.24444444444444444</v>
      </c>
      <c r="V18" s="101">
        <f>'21'!AD21</f>
        <v>9.7894988637722752E-2</v>
      </c>
      <c r="W18" s="101"/>
      <c r="X18" s="101"/>
      <c r="Y18" s="101">
        <f>'24'!AD22</f>
        <v>0.3527777777777778</v>
      </c>
      <c r="Z18" s="101">
        <f>'25'!AD21</f>
        <v>0.3305555555555556</v>
      </c>
      <c r="AA18" s="101">
        <f>'26'!AD21</f>
        <v>0.50275252525252523</v>
      </c>
      <c r="AB18" s="101">
        <f>'27'!AD21</f>
        <v>0.5444444444444444</v>
      </c>
      <c r="AC18" s="101">
        <f>'28'!AD23</f>
        <v>0.58424445332800323</v>
      </c>
      <c r="AD18" s="101"/>
      <c r="AE18" s="101"/>
      <c r="AF18" s="102">
        <f>'31'!AD22</f>
        <v>0.66388888888888897</v>
      </c>
      <c r="AG18" s="105">
        <f t="shared" si="0"/>
        <v>0.28821402391475592</v>
      </c>
    </row>
    <row r="19" spans="1:33" ht="21.75" customHeight="1" thickBot="1">
      <c r="A19" s="75" t="s">
        <v>109</v>
      </c>
      <c r="B19" s="76">
        <v>0.7</v>
      </c>
      <c r="C19" s="77">
        <v>0.7</v>
      </c>
      <c r="D19" s="77">
        <v>0.7</v>
      </c>
      <c r="E19" s="77">
        <v>0.7</v>
      </c>
      <c r="F19" s="77">
        <v>0.7</v>
      </c>
      <c r="G19" s="77">
        <v>0.7</v>
      </c>
      <c r="H19" s="77">
        <v>0.7</v>
      </c>
      <c r="I19" s="77">
        <v>0.7</v>
      </c>
      <c r="J19" s="77">
        <v>0.7</v>
      </c>
      <c r="K19" s="77">
        <v>0.7</v>
      </c>
      <c r="L19" s="77">
        <v>0.7</v>
      </c>
      <c r="M19" s="77">
        <v>0.7</v>
      </c>
      <c r="N19" s="77">
        <v>0.7</v>
      </c>
      <c r="O19" s="77">
        <v>0.7</v>
      </c>
      <c r="P19" s="77">
        <v>0.7</v>
      </c>
      <c r="Q19" s="77">
        <v>0.7</v>
      </c>
      <c r="R19" s="77">
        <v>0.7</v>
      </c>
      <c r="S19" s="77">
        <v>0.7</v>
      </c>
      <c r="T19" s="77">
        <v>0.7</v>
      </c>
      <c r="U19" s="77">
        <v>0.7</v>
      </c>
      <c r="V19" s="77">
        <v>0.7</v>
      </c>
      <c r="W19" s="77">
        <v>0.7</v>
      </c>
      <c r="X19" s="77">
        <v>0.7</v>
      </c>
      <c r="Y19" s="77">
        <v>0.7</v>
      </c>
      <c r="Z19" s="77">
        <v>0.7</v>
      </c>
      <c r="AA19" s="77">
        <v>0.7</v>
      </c>
      <c r="AB19" s="77">
        <v>0.7</v>
      </c>
      <c r="AC19" s="77">
        <v>0.7</v>
      </c>
      <c r="AD19" s="77">
        <v>0.7</v>
      </c>
      <c r="AE19" s="77">
        <v>0.7</v>
      </c>
      <c r="AF19" s="78">
        <v>0.7</v>
      </c>
      <c r="AG19" s="79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5776-C704-480E-820D-A6F65FA491F7}">
  <sheetPr>
    <pageSetUpPr fitToPage="1"/>
  </sheetPr>
  <dimension ref="A1:AF86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159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126" t="s">
        <v>17</v>
      </c>
      <c r="L5" s="126" t="s">
        <v>18</v>
      </c>
      <c r="M5" s="126" t="s">
        <v>19</v>
      </c>
      <c r="N5" s="12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0.44166666666666671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0.44166666666666671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6622</v>
      </c>
      <c r="K8" s="15">
        <f>L8+4226+6836+7688+6790+7670+5621+7015+7715</f>
        <v>60183</v>
      </c>
      <c r="L8" s="15">
        <f>3721+2901</f>
        <v>6622</v>
      </c>
      <c r="M8" s="16">
        <f t="shared" si="0"/>
        <v>6622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0.44166666666666671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121</v>
      </c>
      <c r="E9" s="57" t="s">
        <v>157</v>
      </c>
      <c r="F9" s="33" t="s">
        <v>138</v>
      </c>
      <c r="G9" s="36">
        <v>1</v>
      </c>
      <c r="H9" s="38">
        <v>25</v>
      </c>
      <c r="I9" s="7">
        <v>1000</v>
      </c>
      <c r="J9" s="5">
        <v>5011</v>
      </c>
      <c r="K9" s="15">
        <f>L9+5011</f>
        <v>5011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0.44166666666666671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4813</v>
      </c>
      <c r="K10" s="15">
        <f>L10+4579+6047+6324+6911+6027+6392+6482+6359+6690</f>
        <v>60624</v>
      </c>
      <c r="L10" s="15">
        <f>3382+1431</f>
        <v>4813</v>
      </c>
      <c r="M10" s="16">
        <f t="shared" si="0"/>
        <v>4813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0.83333333333333337</v>
      </c>
      <c r="AD10" s="10">
        <f t="shared" si="6"/>
        <v>0.83333333333333337</v>
      </c>
      <c r="AE10" s="39">
        <f t="shared" si="7"/>
        <v>0.44166666666666671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152</v>
      </c>
      <c r="F11" s="12" t="s">
        <v>149</v>
      </c>
      <c r="G11" s="12">
        <v>3</v>
      </c>
      <c r="H11" s="13">
        <v>25</v>
      </c>
      <c r="I11" s="34">
        <v>10000</v>
      </c>
      <c r="J11" s="5">
        <v>11556</v>
      </c>
      <c r="K11" s="15">
        <f>L11+11556</f>
        <v>11556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0.44166666666666671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158</v>
      </c>
      <c r="F12" s="12" t="s">
        <v>139</v>
      </c>
      <c r="G12" s="12">
        <v>1</v>
      </c>
      <c r="H12" s="13">
        <v>25</v>
      </c>
      <c r="I12" s="7">
        <v>20000</v>
      </c>
      <c r="J12" s="14">
        <v>5170</v>
      </c>
      <c r="K12" s="15">
        <f>L12+3246</f>
        <v>8416</v>
      </c>
      <c r="L12" s="15">
        <f>2836+2334</f>
        <v>5170</v>
      </c>
      <c r="M12" s="16">
        <f t="shared" si="0"/>
        <v>5170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0.44166666666666671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129</v>
      </c>
      <c r="F13" s="12" t="s">
        <v>127</v>
      </c>
      <c r="G13" s="12">
        <v>1</v>
      </c>
      <c r="H13" s="13">
        <v>25</v>
      </c>
      <c r="I13" s="7">
        <v>20000</v>
      </c>
      <c r="J13" s="14">
        <v>5053</v>
      </c>
      <c r="K13" s="15">
        <f>L13</f>
        <v>5053</v>
      </c>
      <c r="L13" s="15">
        <f>2783+2270</f>
        <v>5053</v>
      </c>
      <c r="M13" s="16">
        <f t="shared" si="0"/>
        <v>5053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0.44166666666666671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0.44166666666666671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126</v>
      </c>
      <c r="D15" s="55" t="s">
        <v>128</v>
      </c>
      <c r="E15" s="57" t="s">
        <v>151</v>
      </c>
      <c r="F15" s="12" t="s">
        <v>149</v>
      </c>
      <c r="G15" s="12">
        <v>1</v>
      </c>
      <c r="H15" s="13">
        <v>24</v>
      </c>
      <c r="I15" s="34">
        <v>70000</v>
      </c>
      <c r="J15" s="14">
        <v>6218</v>
      </c>
      <c r="K15" s="15">
        <f>L15+4017+6169+6186+3488+6134+4402+2841+7222</f>
        <v>46677</v>
      </c>
      <c r="L15" s="15">
        <f>3495+2723</f>
        <v>6218</v>
      </c>
      <c r="M15" s="16">
        <f t="shared" si="0"/>
        <v>6218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1</v>
      </c>
      <c r="AD15" s="10">
        <f t="shared" si="6"/>
        <v>1</v>
      </c>
      <c r="AE15" s="39">
        <f t="shared" si="7"/>
        <v>0.44166666666666671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131</v>
      </c>
      <c r="E16" s="57" t="s">
        <v>143</v>
      </c>
      <c r="F16" s="33" t="s">
        <v>139</v>
      </c>
      <c r="G16" s="36">
        <v>1</v>
      </c>
      <c r="H16" s="38">
        <v>24</v>
      </c>
      <c r="I16" s="7">
        <v>6000</v>
      </c>
      <c r="J16" s="5">
        <v>3000</v>
      </c>
      <c r="K16" s="15">
        <f>L16+430+5436+2998</f>
        <v>8864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0.44166666666666671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4468</v>
      </c>
      <c r="K17" s="15">
        <f>L17+5530+6591+6555+7009+6234+3454+6385+6995+7383</f>
        <v>60604</v>
      </c>
      <c r="L17" s="15">
        <f>3626+842</f>
        <v>4468</v>
      </c>
      <c r="M17" s="16">
        <f t="shared" si="0"/>
        <v>4468</v>
      </c>
      <c r="N17" s="16">
        <v>0</v>
      </c>
      <c r="O17" s="62">
        <f t="shared" si="1"/>
        <v>0</v>
      </c>
      <c r="P17" s="42">
        <f t="shared" si="2"/>
        <v>19</v>
      </c>
      <c r="Q17" s="43">
        <f t="shared" si="3"/>
        <v>5</v>
      </c>
      <c r="R17" s="7"/>
      <c r="S17" s="6">
        <v>5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0.79166666666666663</v>
      </c>
      <c r="AD17" s="10">
        <f t="shared" si="6"/>
        <v>0.79166666666666663</v>
      </c>
      <c r="AE17" s="39">
        <f t="shared" si="7"/>
        <v>0.44166666666666671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5633</v>
      </c>
      <c r="K18" s="15">
        <f>L18+3442+4857+6103+3605+5831+5901+4875+6279</f>
        <v>46526</v>
      </c>
      <c r="L18" s="15">
        <f>3157+2476</f>
        <v>5633</v>
      </c>
      <c r="M18" s="16">
        <f t="shared" si="0"/>
        <v>5633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0.44166666666666671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155</v>
      </c>
      <c r="E19" s="57" t="s">
        <v>156</v>
      </c>
      <c r="F19" s="12" t="s">
        <v>144</v>
      </c>
      <c r="G19" s="36">
        <v>1</v>
      </c>
      <c r="H19" s="13">
        <v>24</v>
      </c>
      <c r="I19" s="7">
        <v>2000</v>
      </c>
      <c r="J19" s="14">
        <v>2084</v>
      </c>
      <c r="K19" s="15">
        <f>L19+2084</f>
        <v>2084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0.44166666666666671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43600</v>
      </c>
      <c r="K20" s="15">
        <f>L20+39648+30712+45256+43600</f>
        <v>159216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0.44166666666666671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714000</v>
      </c>
      <c r="J21" s="22">
        <f t="shared" si="9"/>
        <v>104850</v>
      </c>
      <c r="K21" s="23">
        <f t="shared" si="9"/>
        <v>479080</v>
      </c>
      <c r="L21" s="24">
        <f t="shared" si="9"/>
        <v>37977</v>
      </c>
      <c r="M21" s="23">
        <f t="shared" si="9"/>
        <v>37977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159</v>
      </c>
      <c r="Q21" s="46">
        <f t="shared" si="10"/>
        <v>201</v>
      </c>
      <c r="R21" s="26">
        <f t="shared" si="10"/>
        <v>24</v>
      </c>
      <c r="S21" s="27">
        <f t="shared" si="10"/>
        <v>9</v>
      </c>
      <c r="T21" s="27">
        <f t="shared" si="10"/>
        <v>0</v>
      </c>
      <c r="U21" s="27">
        <f t="shared" si="10"/>
        <v>0</v>
      </c>
      <c r="V21" s="28">
        <f t="shared" si="10"/>
        <v>24</v>
      </c>
      <c r="W21" s="29">
        <f t="shared" si="10"/>
        <v>144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0.46666666666666667</v>
      </c>
      <c r="AC21" s="4">
        <f>SUM(AC6:AC20)/15</f>
        <v>0.44166666666666671</v>
      </c>
      <c r="AD21" s="4">
        <f>SUM(AD6:AD20)/15</f>
        <v>0.44166666666666671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161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166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127" t="s">
        <v>46</v>
      </c>
      <c r="D50" s="127" t="s">
        <v>47</v>
      </c>
      <c r="E50" s="127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127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126</v>
      </c>
      <c r="B51" s="400"/>
      <c r="C51" s="129" t="s">
        <v>123</v>
      </c>
      <c r="D51" s="129" t="s">
        <v>120</v>
      </c>
      <c r="E51" s="129" t="s">
        <v>147</v>
      </c>
      <c r="F51" s="401" t="s">
        <v>146</v>
      </c>
      <c r="G51" s="402"/>
      <c r="H51" s="402"/>
      <c r="I51" s="402"/>
      <c r="J51" s="402"/>
      <c r="K51" s="402"/>
      <c r="L51" s="402"/>
      <c r="M51" s="403"/>
      <c r="N51" s="128" t="s">
        <v>114</v>
      </c>
      <c r="O51" s="124" t="s">
        <v>137</v>
      </c>
      <c r="P51" s="404" t="s">
        <v>120</v>
      </c>
      <c r="Q51" s="405"/>
      <c r="R51" s="400" t="s">
        <v>167</v>
      </c>
      <c r="S51" s="400"/>
      <c r="T51" s="400"/>
      <c r="U51" s="400"/>
      <c r="V51" s="406" t="s">
        <v>124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118</v>
      </c>
      <c r="B52" s="400"/>
      <c r="C52" s="129" t="s">
        <v>125</v>
      </c>
      <c r="D52" s="129" t="s">
        <v>117</v>
      </c>
      <c r="E52" s="129" t="s">
        <v>129</v>
      </c>
      <c r="F52" s="401" t="s">
        <v>119</v>
      </c>
      <c r="G52" s="402"/>
      <c r="H52" s="402"/>
      <c r="I52" s="402"/>
      <c r="J52" s="402"/>
      <c r="K52" s="402"/>
      <c r="L52" s="402"/>
      <c r="M52" s="403"/>
      <c r="N52" s="128" t="s">
        <v>114</v>
      </c>
      <c r="O52" s="124" t="s">
        <v>130</v>
      </c>
      <c r="P52" s="404" t="s">
        <v>117</v>
      </c>
      <c r="Q52" s="405"/>
      <c r="R52" s="400" t="s">
        <v>168</v>
      </c>
      <c r="S52" s="400"/>
      <c r="T52" s="400"/>
      <c r="U52" s="400"/>
      <c r="V52" s="406" t="s">
        <v>119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126</v>
      </c>
      <c r="B53" s="400"/>
      <c r="C53" s="129" t="s">
        <v>141</v>
      </c>
      <c r="D53" s="129" t="s">
        <v>128</v>
      </c>
      <c r="E53" s="129" t="s">
        <v>148</v>
      </c>
      <c r="F53" s="401" t="s">
        <v>153</v>
      </c>
      <c r="G53" s="402"/>
      <c r="H53" s="402"/>
      <c r="I53" s="402"/>
      <c r="J53" s="402"/>
      <c r="K53" s="402"/>
      <c r="L53" s="402"/>
      <c r="M53" s="403"/>
      <c r="N53" s="128"/>
      <c r="O53" s="124"/>
      <c r="P53" s="404"/>
      <c r="Q53" s="405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163</v>
      </c>
      <c r="B54" s="400"/>
      <c r="C54" s="129" t="s">
        <v>164</v>
      </c>
      <c r="D54" s="129" t="s">
        <v>120</v>
      </c>
      <c r="E54" s="129" t="s">
        <v>162</v>
      </c>
      <c r="F54" s="401" t="s">
        <v>165</v>
      </c>
      <c r="G54" s="402"/>
      <c r="H54" s="402"/>
      <c r="I54" s="402"/>
      <c r="J54" s="402"/>
      <c r="K54" s="402"/>
      <c r="L54" s="402"/>
      <c r="M54" s="403"/>
      <c r="N54" s="128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129"/>
      <c r="D55" s="129"/>
      <c r="E55" s="129"/>
      <c r="F55" s="401"/>
      <c r="G55" s="402"/>
      <c r="H55" s="402"/>
      <c r="I55" s="402"/>
      <c r="J55" s="402"/>
      <c r="K55" s="402"/>
      <c r="L55" s="402"/>
      <c r="M55" s="403"/>
      <c r="N55" s="128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129"/>
      <c r="D56" s="129"/>
      <c r="E56" s="129"/>
      <c r="F56" s="401"/>
      <c r="G56" s="402"/>
      <c r="H56" s="402"/>
      <c r="I56" s="402"/>
      <c r="J56" s="402"/>
      <c r="K56" s="402"/>
      <c r="L56" s="402"/>
      <c r="M56" s="403"/>
      <c r="N56" s="128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129"/>
      <c r="D57" s="129"/>
      <c r="E57" s="129"/>
      <c r="F57" s="406"/>
      <c r="G57" s="406"/>
      <c r="H57" s="406"/>
      <c r="I57" s="406"/>
      <c r="J57" s="406"/>
      <c r="K57" s="406"/>
      <c r="L57" s="406"/>
      <c r="M57" s="407"/>
      <c r="N57" s="128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129"/>
      <c r="D58" s="129"/>
      <c r="E58" s="129"/>
      <c r="F58" s="406"/>
      <c r="G58" s="406"/>
      <c r="H58" s="406"/>
      <c r="I58" s="406"/>
      <c r="J58" s="406"/>
      <c r="K58" s="406"/>
      <c r="L58" s="406"/>
      <c r="M58" s="407"/>
      <c r="N58" s="128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129"/>
      <c r="D59" s="129"/>
      <c r="E59" s="129"/>
      <c r="F59" s="406"/>
      <c r="G59" s="406"/>
      <c r="H59" s="406"/>
      <c r="I59" s="406"/>
      <c r="J59" s="406"/>
      <c r="K59" s="406"/>
      <c r="L59" s="406"/>
      <c r="M59" s="407"/>
      <c r="N59" s="128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131"/>
      <c r="D60" s="131"/>
      <c r="E60" s="131"/>
      <c r="F60" s="410"/>
      <c r="G60" s="410"/>
      <c r="H60" s="410"/>
      <c r="I60" s="410"/>
      <c r="J60" s="410"/>
      <c r="K60" s="410"/>
      <c r="L60" s="410"/>
      <c r="M60" s="411"/>
      <c r="N60" s="130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169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132" t="s">
        <v>2</v>
      </c>
      <c r="D62" s="132" t="s">
        <v>37</v>
      </c>
      <c r="E62" s="132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132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114</v>
      </c>
      <c r="D63" s="135"/>
      <c r="E63" s="133" t="s">
        <v>131</v>
      </c>
      <c r="F63" s="423" t="s">
        <v>145</v>
      </c>
      <c r="G63" s="424"/>
      <c r="H63" s="424"/>
      <c r="I63" s="424"/>
      <c r="J63" s="424"/>
      <c r="K63" s="424" t="s">
        <v>171</v>
      </c>
      <c r="L63" s="424"/>
      <c r="M63" s="54" t="s">
        <v>170</v>
      </c>
      <c r="N63" s="424">
        <v>4</v>
      </c>
      <c r="O63" s="424"/>
      <c r="P63" s="425">
        <v>50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114</v>
      </c>
      <c r="D64" s="135"/>
      <c r="E64" s="133" t="s">
        <v>173</v>
      </c>
      <c r="F64" s="423" t="s">
        <v>172</v>
      </c>
      <c r="G64" s="424"/>
      <c r="H64" s="424"/>
      <c r="I64" s="424"/>
      <c r="J64" s="424"/>
      <c r="K64" s="424" t="s">
        <v>174</v>
      </c>
      <c r="L64" s="424"/>
      <c r="M64" s="54" t="s">
        <v>175</v>
      </c>
      <c r="N64" s="424">
        <v>4</v>
      </c>
      <c r="O64" s="424"/>
      <c r="P64" s="425">
        <v>200</v>
      </c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 t="s">
        <v>114</v>
      </c>
      <c r="D65" s="135"/>
      <c r="E65" s="133" t="s">
        <v>177</v>
      </c>
      <c r="F65" s="423" t="s">
        <v>176</v>
      </c>
      <c r="G65" s="424"/>
      <c r="H65" s="424"/>
      <c r="I65" s="424"/>
      <c r="J65" s="424"/>
      <c r="K65" s="424" t="s">
        <v>178</v>
      </c>
      <c r="L65" s="424"/>
      <c r="M65" s="54" t="s">
        <v>175</v>
      </c>
      <c r="N65" s="424">
        <v>14</v>
      </c>
      <c r="O65" s="424"/>
      <c r="P65" s="425"/>
      <c r="Q65" s="425"/>
      <c r="R65" s="406" t="s">
        <v>179</v>
      </c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135"/>
      <c r="E66" s="133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135"/>
      <c r="E67" s="133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135"/>
      <c r="E68" s="133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135"/>
      <c r="E69" s="133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135"/>
      <c r="E70" s="133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180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134" t="s">
        <v>2</v>
      </c>
      <c r="D72" s="134" t="s">
        <v>37</v>
      </c>
      <c r="E72" s="134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136" t="s">
        <v>114</v>
      </c>
      <c r="D73" s="136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135"/>
      <c r="D74" s="135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135"/>
      <c r="D75" s="135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135"/>
      <c r="D76" s="135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135"/>
      <c r="D77" s="135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135"/>
      <c r="D78" s="135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135"/>
      <c r="D79" s="135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135"/>
      <c r="D80" s="135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135"/>
      <c r="D81" s="135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181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ABAE-D7AE-42E2-88B4-D5721FFA90DE}">
  <sheetPr>
    <pageSetUpPr fitToPage="1"/>
  </sheetPr>
  <dimension ref="A1:AF86"/>
  <sheetViews>
    <sheetView zoomScale="72" zoomScaleNormal="72" zoomScaleSheetLayoutView="70" workbookViewId="0">
      <selection activeCell="F53" sqref="F53:M5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182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137" t="s">
        <v>17</v>
      </c>
      <c r="L5" s="137" t="s">
        <v>18</v>
      </c>
      <c r="M5" s="137" t="s">
        <v>19</v>
      </c>
      <c r="N5" s="13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0.49993578295027574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0.49993578295027574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7015</v>
      </c>
      <c r="K8" s="15">
        <f>L8+4226+6836+7688+6790+7670+5621+7015+7715+6622</f>
        <v>67198</v>
      </c>
      <c r="L8" s="15">
        <f>3631+3384</f>
        <v>7015</v>
      </c>
      <c r="M8" s="16">
        <f t="shared" si="0"/>
        <v>7015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0.49993578295027574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114</v>
      </c>
      <c r="D9" s="55" t="s">
        <v>120</v>
      </c>
      <c r="E9" s="57" t="s">
        <v>162</v>
      </c>
      <c r="F9" s="33" t="s">
        <v>139</v>
      </c>
      <c r="G9" s="36">
        <v>1</v>
      </c>
      <c r="H9" s="38">
        <v>25</v>
      </c>
      <c r="I9" s="7">
        <v>1000</v>
      </c>
      <c r="J9" s="5">
        <v>2619</v>
      </c>
      <c r="K9" s="15">
        <f>L9</f>
        <v>2619</v>
      </c>
      <c r="L9" s="15">
        <f>2225+394</f>
        <v>2619</v>
      </c>
      <c r="M9" s="16">
        <f t="shared" si="0"/>
        <v>2619</v>
      </c>
      <c r="N9" s="16">
        <v>0</v>
      </c>
      <c r="O9" s="62">
        <f t="shared" si="1"/>
        <v>0</v>
      </c>
      <c r="P9" s="42">
        <f t="shared" si="2"/>
        <v>15</v>
      </c>
      <c r="Q9" s="43">
        <f t="shared" si="3"/>
        <v>9</v>
      </c>
      <c r="R9" s="7"/>
      <c r="S9" s="6">
        <v>9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0.625</v>
      </c>
      <c r="AD9" s="10">
        <f t="shared" si="6"/>
        <v>0.625</v>
      </c>
      <c r="AE9" s="39">
        <f t="shared" si="7"/>
        <v>0.49993578295027574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6466</v>
      </c>
      <c r="K10" s="15">
        <f>L10+4579+6047+6324+6911+6027+6392+6482+6359+6690+4813</f>
        <v>67090</v>
      </c>
      <c r="L10" s="15">
        <f>3078+3388</f>
        <v>6466</v>
      </c>
      <c r="M10" s="16">
        <f t="shared" si="0"/>
        <v>6466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0.49993578295027574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152</v>
      </c>
      <c r="F11" s="12" t="s">
        <v>149</v>
      </c>
      <c r="G11" s="12">
        <v>3</v>
      </c>
      <c r="H11" s="13">
        <v>25</v>
      </c>
      <c r="I11" s="34">
        <v>10000</v>
      </c>
      <c r="J11" s="5">
        <v>11556</v>
      </c>
      <c r="K11" s="15">
        <f>L11+11556</f>
        <v>11556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0.49993578295027574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158</v>
      </c>
      <c r="F12" s="12" t="s">
        <v>139</v>
      </c>
      <c r="G12" s="12">
        <v>1</v>
      </c>
      <c r="H12" s="13">
        <v>25</v>
      </c>
      <c r="I12" s="7">
        <v>20000</v>
      </c>
      <c r="J12" s="14">
        <v>5400</v>
      </c>
      <c r="K12" s="15">
        <f>L12+3246+5170</f>
        <v>13814</v>
      </c>
      <c r="L12" s="15">
        <f>2587+2811</f>
        <v>5398</v>
      </c>
      <c r="M12" s="16">
        <f t="shared" si="0"/>
        <v>5398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0.99962962962962965</v>
      </c>
      <c r="AC12" s="9">
        <f t="shared" si="5"/>
        <v>1</v>
      </c>
      <c r="AD12" s="10">
        <f t="shared" si="6"/>
        <v>0.99962962962962965</v>
      </c>
      <c r="AE12" s="39">
        <f t="shared" si="7"/>
        <v>0.49993578295027574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129</v>
      </c>
      <c r="F13" s="12" t="s">
        <v>127</v>
      </c>
      <c r="G13" s="12">
        <v>1</v>
      </c>
      <c r="H13" s="13">
        <v>25</v>
      </c>
      <c r="I13" s="7">
        <v>20000</v>
      </c>
      <c r="J13" s="14">
        <v>5248</v>
      </c>
      <c r="K13" s="15">
        <f>L13+5053</f>
        <v>10301</v>
      </c>
      <c r="L13" s="15">
        <f>2788+2460</f>
        <v>5248</v>
      </c>
      <c r="M13" s="16">
        <f t="shared" si="0"/>
        <v>5248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0.49993578295027574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0.49993578295027574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126</v>
      </c>
      <c r="D15" s="55" t="s">
        <v>128</v>
      </c>
      <c r="E15" s="57" t="s">
        <v>151</v>
      </c>
      <c r="F15" s="12" t="s">
        <v>149</v>
      </c>
      <c r="G15" s="12">
        <v>1</v>
      </c>
      <c r="H15" s="13">
        <v>24</v>
      </c>
      <c r="I15" s="34">
        <v>70000</v>
      </c>
      <c r="J15" s="14">
        <v>5060</v>
      </c>
      <c r="K15" s="15">
        <f>L15+4017+6169+6186+3488+6134+4402+2841+7222+6218</f>
        <v>51734</v>
      </c>
      <c r="L15" s="15">
        <f>1905+3152</f>
        <v>5057</v>
      </c>
      <c r="M15" s="16">
        <f t="shared" si="0"/>
        <v>5057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0.99940711462450593</v>
      </c>
      <c r="AC15" s="9">
        <f t="shared" si="5"/>
        <v>1</v>
      </c>
      <c r="AD15" s="10">
        <f t="shared" si="6"/>
        <v>0.99940711462450593</v>
      </c>
      <c r="AE15" s="39">
        <f t="shared" si="7"/>
        <v>0.49993578295027574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131</v>
      </c>
      <c r="E16" s="57" t="s">
        <v>143</v>
      </c>
      <c r="F16" s="33" t="s">
        <v>139</v>
      </c>
      <c r="G16" s="36">
        <v>1</v>
      </c>
      <c r="H16" s="38">
        <v>24</v>
      </c>
      <c r="I16" s="7">
        <v>6000</v>
      </c>
      <c r="J16" s="5">
        <v>3000</v>
      </c>
      <c r="K16" s="15">
        <f>L16+430+5436+2998</f>
        <v>8864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0.49993578295027574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7061</v>
      </c>
      <c r="K17" s="15">
        <f>L17+5530+6591+6555+7009+6234+3454+6385+6995+7383+4468</f>
        <v>67665</v>
      </c>
      <c r="L17" s="15">
        <f>3367+3694</f>
        <v>7061</v>
      </c>
      <c r="M17" s="16">
        <f t="shared" si="0"/>
        <v>7061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0.49993578295027574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5015</v>
      </c>
      <c r="K18" s="15">
        <f>L18+3442+4857+6103+3605+5831+5901+4875+6279+5633</f>
        <v>51541</v>
      </c>
      <c r="L18" s="15">
        <f>3070+1945</f>
        <v>5015</v>
      </c>
      <c r="M18" s="16">
        <f t="shared" si="0"/>
        <v>5015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9">
        <f t="shared" si="7"/>
        <v>0.49993578295027574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155</v>
      </c>
      <c r="E19" s="57" t="s">
        <v>156</v>
      </c>
      <c r="F19" s="12" t="s">
        <v>144</v>
      </c>
      <c r="G19" s="36">
        <v>1</v>
      </c>
      <c r="H19" s="13">
        <v>24</v>
      </c>
      <c r="I19" s="7">
        <v>2000</v>
      </c>
      <c r="J19" s="14">
        <v>2084</v>
      </c>
      <c r="K19" s="15">
        <f>L19+2084</f>
        <v>2084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0.49993578295027574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43600</v>
      </c>
      <c r="K20" s="15">
        <f>L20+39648+30712+45256+43600</f>
        <v>159216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0.49993578295027574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714000</v>
      </c>
      <c r="J21" s="22">
        <f t="shared" si="9"/>
        <v>105746</v>
      </c>
      <c r="K21" s="23">
        <f t="shared" si="9"/>
        <v>517948</v>
      </c>
      <c r="L21" s="24">
        <f t="shared" si="9"/>
        <v>43879</v>
      </c>
      <c r="M21" s="23">
        <f t="shared" si="9"/>
        <v>43879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180</v>
      </c>
      <c r="Q21" s="46">
        <f t="shared" si="10"/>
        <v>180</v>
      </c>
      <c r="R21" s="26">
        <f t="shared" si="10"/>
        <v>24</v>
      </c>
      <c r="S21" s="27">
        <f t="shared" si="10"/>
        <v>12</v>
      </c>
      <c r="T21" s="27">
        <f t="shared" si="10"/>
        <v>0</v>
      </c>
      <c r="U21" s="27">
        <f t="shared" si="10"/>
        <v>0</v>
      </c>
      <c r="V21" s="28">
        <f t="shared" si="10"/>
        <v>24</v>
      </c>
      <c r="W21" s="29">
        <f t="shared" si="10"/>
        <v>120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0.53326911628360907</v>
      </c>
      <c r="AC21" s="4">
        <f>SUM(AC6:AC20)/15</f>
        <v>0.5</v>
      </c>
      <c r="AD21" s="4">
        <f>SUM(AD6:AD20)/15</f>
        <v>0.49993578295027574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183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186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138" t="s">
        <v>46</v>
      </c>
      <c r="D50" s="138" t="s">
        <v>47</v>
      </c>
      <c r="E50" s="138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138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114</v>
      </c>
      <c r="B51" s="400"/>
      <c r="C51" s="140" t="s">
        <v>130</v>
      </c>
      <c r="D51" s="140" t="s">
        <v>120</v>
      </c>
      <c r="E51" s="140" t="s">
        <v>162</v>
      </c>
      <c r="F51" s="401" t="s">
        <v>124</v>
      </c>
      <c r="G51" s="402"/>
      <c r="H51" s="402"/>
      <c r="I51" s="402"/>
      <c r="J51" s="402"/>
      <c r="K51" s="402"/>
      <c r="L51" s="402"/>
      <c r="M51" s="403"/>
      <c r="N51" s="139" t="s">
        <v>188</v>
      </c>
      <c r="O51" s="124" t="s">
        <v>189</v>
      </c>
      <c r="P51" s="404"/>
      <c r="Q51" s="405"/>
      <c r="R51" s="400" t="s">
        <v>187</v>
      </c>
      <c r="S51" s="400"/>
      <c r="T51" s="400"/>
      <c r="U51" s="400"/>
      <c r="V51" s="406" t="s">
        <v>119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126</v>
      </c>
      <c r="B52" s="400"/>
      <c r="C52" s="140" t="s">
        <v>184</v>
      </c>
      <c r="D52" s="140" t="s">
        <v>117</v>
      </c>
      <c r="E52" s="140" t="s">
        <v>142</v>
      </c>
      <c r="F52" s="401" t="s">
        <v>185</v>
      </c>
      <c r="G52" s="402"/>
      <c r="H52" s="402"/>
      <c r="I52" s="402"/>
      <c r="J52" s="402"/>
      <c r="K52" s="402"/>
      <c r="L52" s="402"/>
      <c r="M52" s="403"/>
      <c r="N52" s="139" t="s">
        <v>114</v>
      </c>
      <c r="O52" s="124" t="s">
        <v>191</v>
      </c>
      <c r="P52" s="404" t="s">
        <v>120</v>
      </c>
      <c r="Q52" s="405"/>
      <c r="R52" s="400" t="s">
        <v>190</v>
      </c>
      <c r="S52" s="400"/>
      <c r="T52" s="400"/>
      <c r="U52" s="400"/>
      <c r="V52" s="406" t="s">
        <v>119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/>
      <c r="B53" s="400"/>
      <c r="C53" s="140"/>
      <c r="D53" s="140"/>
      <c r="E53" s="140"/>
      <c r="F53" s="401"/>
      <c r="G53" s="402"/>
      <c r="H53" s="402"/>
      <c r="I53" s="402"/>
      <c r="J53" s="402"/>
      <c r="K53" s="402"/>
      <c r="L53" s="402"/>
      <c r="M53" s="403"/>
      <c r="N53" s="139" t="s">
        <v>114</v>
      </c>
      <c r="O53" s="124" t="s">
        <v>130</v>
      </c>
      <c r="P53" s="404" t="s">
        <v>117</v>
      </c>
      <c r="Q53" s="405"/>
      <c r="R53" s="400" t="s">
        <v>168</v>
      </c>
      <c r="S53" s="400"/>
      <c r="T53" s="400"/>
      <c r="U53" s="400"/>
      <c r="V53" s="406" t="s">
        <v>119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140"/>
      <c r="D54" s="140"/>
      <c r="E54" s="140"/>
      <c r="F54" s="401"/>
      <c r="G54" s="402"/>
      <c r="H54" s="402"/>
      <c r="I54" s="402"/>
      <c r="J54" s="402"/>
      <c r="K54" s="402"/>
      <c r="L54" s="402"/>
      <c r="M54" s="403"/>
      <c r="N54" s="139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140"/>
      <c r="D55" s="140"/>
      <c r="E55" s="140"/>
      <c r="F55" s="401"/>
      <c r="G55" s="402"/>
      <c r="H55" s="402"/>
      <c r="I55" s="402"/>
      <c r="J55" s="402"/>
      <c r="K55" s="402"/>
      <c r="L55" s="402"/>
      <c r="M55" s="403"/>
      <c r="N55" s="139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140"/>
      <c r="D56" s="140"/>
      <c r="E56" s="140"/>
      <c r="F56" s="401"/>
      <c r="G56" s="402"/>
      <c r="H56" s="402"/>
      <c r="I56" s="402"/>
      <c r="J56" s="402"/>
      <c r="K56" s="402"/>
      <c r="L56" s="402"/>
      <c r="M56" s="403"/>
      <c r="N56" s="139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140"/>
      <c r="D57" s="140"/>
      <c r="E57" s="140"/>
      <c r="F57" s="406"/>
      <c r="G57" s="406"/>
      <c r="H57" s="406"/>
      <c r="I57" s="406"/>
      <c r="J57" s="406"/>
      <c r="K57" s="406"/>
      <c r="L57" s="406"/>
      <c r="M57" s="407"/>
      <c r="N57" s="139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140"/>
      <c r="D58" s="140"/>
      <c r="E58" s="140"/>
      <c r="F58" s="406"/>
      <c r="G58" s="406"/>
      <c r="H58" s="406"/>
      <c r="I58" s="406"/>
      <c r="J58" s="406"/>
      <c r="K58" s="406"/>
      <c r="L58" s="406"/>
      <c r="M58" s="407"/>
      <c r="N58" s="139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140"/>
      <c r="D59" s="140"/>
      <c r="E59" s="140"/>
      <c r="F59" s="406"/>
      <c r="G59" s="406"/>
      <c r="H59" s="406"/>
      <c r="I59" s="406"/>
      <c r="J59" s="406"/>
      <c r="K59" s="406"/>
      <c r="L59" s="406"/>
      <c r="M59" s="407"/>
      <c r="N59" s="139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142"/>
      <c r="D60" s="142"/>
      <c r="E60" s="142"/>
      <c r="F60" s="410"/>
      <c r="G60" s="410"/>
      <c r="H60" s="410"/>
      <c r="I60" s="410"/>
      <c r="J60" s="410"/>
      <c r="K60" s="410"/>
      <c r="L60" s="410"/>
      <c r="M60" s="411"/>
      <c r="N60" s="141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192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143" t="s">
        <v>2</v>
      </c>
      <c r="D62" s="143" t="s">
        <v>37</v>
      </c>
      <c r="E62" s="143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143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114</v>
      </c>
      <c r="D63" s="146"/>
      <c r="E63" s="144" t="s">
        <v>173</v>
      </c>
      <c r="F63" s="423" t="s">
        <v>172</v>
      </c>
      <c r="G63" s="424"/>
      <c r="H63" s="424"/>
      <c r="I63" s="424"/>
      <c r="J63" s="424"/>
      <c r="K63" s="424" t="s">
        <v>144</v>
      </c>
      <c r="L63" s="424"/>
      <c r="M63" s="54" t="s">
        <v>175</v>
      </c>
      <c r="N63" s="424">
        <v>4</v>
      </c>
      <c r="O63" s="424"/>
      <c r="P63" s="425">
        <v>200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114</v>
      </c>
      <c r="D64" s="146"/>
      <c r="E64" s="144" t="s">
        <v>117</v>
      </c>
      <c r="F64" s="423" t="s">
        <v>176</v>
      </c>
      <c r="G64" s="424"/>
      <c r="H64" s="424"/>
      <c r="I64" s="424"/>
      <c r="J64" s="424"/>
      <c r="K64" s="424" t="s">
        <v>193</v>
      </c>
      <c r="L64" s="424"/>
      <c r="M64" s="54" t="s">
        <v>175</v>
      </c>
      <c r="N64" s="424">
        <v>14</v>
      </c>
      <c r="O64" s="424"/>
      <c r="P64" s="425"/>
      <c r="Q64" s="425"/>
      <c r="R64" s="406" t="s">
        <v>179</v>
      </c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146"/>
      <c r="E65" s="144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146"/>
      <c r="E66" s="144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146"/>
      <c r="E67" s="144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146"/>
      <c r="E68" s="144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146"/>
      <c r="E69" s="144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146"/>
      <c r="E70" s="144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194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145" t="s">
        <v>2</v>
      </c>
      <c r="D72" s="145" t="s">
        <v>37</v>
      </c>
      <c r="E72" s="145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147" t="s">
        <v>114</v>
      </c>
      <c r="D73" s="147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146"/>
      <c r="D74" s="146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146"/>
      <c r="D75" s="146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146"/>
      <c r="D76" s="146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146"/>
      <c r="D77" s="146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146"/>
      <c r="D78" s="146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146"/>
      <c r="D79" s="146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146"/>
      <c r="D80" s="146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146"/>
      <c r="D81" s="146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195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BCE3-EBBA-4372-BF7A-6CC31CB2A110}">
  <sheetPr>
    <pageSetUpPr fitToPage="1"/>
  </sheetPr>
  <dimension ref="A1:AF86"/>
  <sheetViews>
    <sheetView zoomScale="72" zoomScaleNormal="72" zoomScaleSheetLayoutView="70" workbookViewId="0">
      <selection activeCell="K11" sqref="K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196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0.48055555555555551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0.48055555555555551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7123</v>
      </c>
      <c r="K8" s="15">
        <f>L8+4226+6836+7688+6790+7670+5621+7015+7715+6622+7015</f>
        <v>74321</v>
      </c>
      <c r="L8" s="15">
        <f>3416+3707</f>
        <v>7123</v>
      </c>
      <c r="M8" s="16">
        <f t="shared" si="0"/>
        <v>7123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0.48055555555555551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114</v>
      </c>
      <c r="D9" s="55" t="s">
        <v>117</v>
      </c>
      <c r="E9" s="57" t="s">
        <v>168</v>
      </c>
      <c r="F9" s="33" t="s">
        <v>138</v>
      </c>
      <c r="G9" s="36">
        <v>1</v>
      </c>
      <c r="H9" s="38">
        <v>25</v>
      </c>
      <c r="I9" s="7">
        <v>3500</v>
      </c>
      <c r="J9" s="5">
        <v>3862</v>
      </c>
      <c r="K9" s="15">
        <f>L9</f>
        <v>3862</v>
      </c>
      <c r="L9" s="15">
        <f>2641+1221</f>
        <v>3862</v>
      </c>
      <c r="M9" s="16">
        <f t="shared" si="0"/>
        <v>3862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9">
        <f t="shared" si="7"/>
        <v>0.48055555555555551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6487</v>
      </c>
      <c r="K10" s="15">
        <f>L10+4579+6047+6324+6911+6027+6392+6482+6359+6690+4813+6466</f>
        <v>73577</v>
      </c>
      <c r="L10" s="15">
        <f>3116+3371</f>
        <v>6487</v>
      </c>
      <c r="M10" s="16">
        <f t="shared" si="0"/>
        <v>6487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0.48055555555555551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152</v>
      </c>
      <c r="F11" s="12" t="s">
        <v>149</v>
      </c>
      <c r="G11" s="12">
        <v>3</v>
      </c>
      <c r="H11" s="13">
        <v>25</v>
      </c>
      <c r="I11" s="34">
        <v>10000</v>
      </c>
      <c r="J11" s="5">
        <v>11556</v>
      </c>
      <c r="K11" s="15">
        <f>L11+11556</f>
        <v>11556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0.48055555555555551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158</v>
      </c>
      <c r="F12" s="12" t="s">
        <v>139</v>
      </c>
      <c r="G12" s="12">
        <v>1</v>
      </c>
      <c r="H12" s="13">
        <v>25</v>
      </c>
      <c r="I12" s="7">
        <v>20000</v>
      </c>
      <c r="J12" s="14">
        <v>5400</v>
      </c>
      <c r="K12" s="15">
        <f>L12+3246+5170+5398</f>
        <v>13814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0.48055555555555551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129</v>
      </c>
      <c r="F13" s="12" t="s">
        <v>127</v>
      </c>
      <c r="G13" s="12">
        <v>1</v>
      </c>
      <c r="H13" s="13">
        <v>25</v>
      </c>
      <c r="I13" s="7">
        <v>20000</v>
      </c>
      <c r="J13" s="14">
        <v>5028</v>
      </c>
      <c r="K13" s="15">
        <f>L13+5053+5248</f>
        <v>15329</v>
      </c>
      <c r="L13" s="15">
        <f>2435+2593</f>
        <v>5028</v>
      </c>
      <c r="M13" s="16">
        <f t="shared" si="0"/>
        <v>5028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0.48055555555555551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0.48055555555555551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32805</v>
      </c>
      <c r="K15" s="15">
        <f>L15</f>
        <v>32805</v>
      </c>
      <c r="L15" s="15">
        <f>4630*6+1005*5</f>
        <v>32805</v>
      </c>
      <c r="M15" s="16">
        <f t="shared" si="0"/>
        <v>32805</v>
      </c>
      <c r="N15" s="16">
        <v>0</v>
      </c>
      <c r="O15" s="62">
        <f t="shared" si="1"/>
        <v>0</v>
      </c>
      <c r="P15" s="42">
        <f t="shared" si="2"/>
        <v>18</v>
      </c>
      <c r="Q15" s="43">
        <f t="shared" si="3"/>
        <v>6</v>
      </c>
      <c r="R15" s="7"/>
      <c r="S15" s="6"/>
      <c r="T15" s="17">
        <v>6</v>
      </c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0.75</v>
      </c>
      <c r="AD15" s="10">
        <f t="shared" si="6"/>
        <v>0.75</v>
      </c>
      <c r="AE15" s="39">
        <f t="shared" si="7"/>
        <v>0.48055555555555551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190</v>
      </c>
      <c r="F16" s="33" t="s">
        <v>199</v>
      </c>
      <c r="G16" s="36">
        <v>1</v>
      </c>
      <c r="H16" s="38">
        <v>24</v>
      </c>
      <c r="I16" s="7">
        <v>3500</v>
      </c>
      <c r="J16" s="5">
        <v>3030</v>
      </c>
      <c r="K16" s="15">
        <f>L16</f>
        <v>3030</v>
      </c>
      <c r="L16" s="15">
        <f>2773+257</f>
        <v>3030</v>
      </c>
      <c r="M16" s="16">
        <f t="shared" si="0"/>
        <v>3030</v>
      </c>
      <c r="N16" s="16">
        <v>0</v>
      </c>
      <c r="O16" s="62">
        <f t="shared" si="1"/>
        <v>0</v>
      </c>
      <c r="P16" s="42">
        <f t="shared" si="2"/>
        <v>16</v>
      </c>
      <c r="Q16" s="43">
        <f t="shared" si="3"/>
        <v>8</v>
      </c>
      <c r="R16" s="7"/>
      <c r="S16" s="6">
        <v>8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9">
        <f t="shared" si="7"/>
        <v>0.48055555555555551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7120</v>
      </c>
      <c r="K17" s="15">
        <f>L17+5530+6591+6555+7009+6234+3454+6385+6995+7383+4468+7061</f>
        <v>74785</v>
      </c>
      <c r="L17" s="15">
        <f>3699+3421</f>
        <v>7120</v>
      </c>
      <c r="M17" s="16">
        <f t="shared" si="0"/>
        <v>7120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0.48055555555555551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5887</v>
      </c>
      <c r="K18" s="15">
        <f>L18+3442+4857+6103+3605+5831+5901+4875+6279+5633+5015</f>
        <v>57428</v>
      </c>
      <c r="L18" s="15">
        <f>2830+3057</f>
        <v>5887</v>
      </c>
      <c r="M18" s="16">
        <f t="shared" si="0"/>
        <v>5887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0.48055555555555551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155</v>
      </c>
      <c r="E19" s="57" t="s">
        <v>156</v>
      </c>
      <c r="F19" s="12" t="s">
        <v>144</v>
      </c>
      <c r="G19" s="36">
        <v>1</v>
      </c>
      <c r="H19" s="13">
        <v>24</v>
      </c>
      <c r="I19" s="7">
        <v>2000</v>
      </c>
      <c r="J19" s="14">
        <v>2084</v>
      </c>
      <c r="K19" s="15">
        <f>L19+2084</f>
        <v>2084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0.48055555555555551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43600</v>
      </c>
      <c r="K20" s="15">
        <f>L20+39648+30712+45256+43600</f>
        <v>159216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0.48055555555555551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744000</v>
      </c>
      <c r="J21" s="22">
        <f t="shared" si="9"/>
        <v>135604</v>
      </c>
      <c r="K21" s="23">
        <f t="shared" si="9"/>
        <v>526073</v>
      </c>
      <c r="L21" s="24">
        <f t="shared" si="9"/>
        <v>71342</v>
      </c>
      <c r="M21" s="23">
        <f t="shared" si="9"/>
        <v>71342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173</v>
      </c>
      <c r="Q21" s="46">
        <f t="shared" si="10"/>
        <v>187</v>
      </c>
      <c r="R21" s="26">
        <f t="shared" si="10"/>
        <v>24</v>
      </c>
      <c r="S21" s="27">
        <f t="shared" si="10"/>
        <v>13</v>
      </c>
      <c r="T21" s="27">
        <f t="shared" si="10"/>
        <v>6</v>
      </c>
      <c r="U21" s="27">
        <f t="shared" si="10"/>
        <v>0</v>
      </c>
      <c r="V21" s="28">
        <f t="shared" si="10"/>
        <v>24</v>
      </c>
      <c r="W21" s="29">
        <f t="shared" si="10"/>
        <v>120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0.53333333333333333</v>
      </c>
      <c r="AC21" s="4">
        <f>SUM(AC6:AC20)/15</f>
        <v>0.48055555555555551</v>
      </c>
      <c r="AD21" s="4">
        <f>SUM(AD6:AD20)/15</f>
        <v>0.48055555555555551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200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202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149" t="s">
        <v>46</v>
      </c>
      <c r="D50" s="149" t="s">
        <v>47</v>
      </c>
      <c r="E50" s="149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149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114</v>
      </c>
      <c r="B51" s="400"/>
      <c r="C51" s="151" t="s">
        <v>130</v>
      </c>
      <c r="D51" s="151" t="s">
        <v>117</v>
      </c>
      <c r="E51" s="151" t="s">
        <v>168</v>
      </c>
      <c r="F51" s="401" t="s">
        <v>201</v>
      </c>
      <c r="G51" s="402"/>
      <c r="H51" s="402"/>
      <c r="I51" s="402"/>
      <c r="J51" s="402"/>
      <c r="K51" s="402"/>
      <c r="L51" s="402"/>
      <c r="M51" s="403"/>
      <c r="N51" s="150" t="s">
        <v>204</v>
      </c>
      <c r="O51" s="124" t="s">
        <v>130</v>
      </c>
      <c r="P51" s="404" t="s">
        <v>131</v>
      </c>
      <c r="Q51" s="405"/>
      <c r="R51" s="400" t="s">
        <v>203</v>
      </c>
      <c r="S51" s="400"/>
      <c r="T51" s="400"/>
      <c r="U51" s="400"/>
      <c r="V51" s="406" t="s">
        <v>119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188</v>
      </c>
      <c r="B52" s="400"/>
      <c r="C52" s="151" t="s">
        <v>189</v>
      </c>
      <c r="D52" s="151"/>
      <c r="E52" s="151" t="s">
        <v>187</v>
      </c>
      <c r="F52" s="401" t="s">
        <v>119</v>
      </c>
      <c r="G52" s="402"/>
      <c r="H52" s="402"/>
      <c r="I52" s="402"/>
      <c r="J52" s="402"/>
      <c r="K52" s="402"/>
      <c r="L52" s="402"/>
      <c r="M52" s="403"/>
      <c r="N52" s="150" t="s">
        <v>126</v>
      </c>
      <c r="O52" s="124" t="s">
        <v>137</v>
      </c>
      <c r="P52" s="404" t="s">
        <v>120</v>
      </c>
      <c r="Q52" s="405"/>
      <c r="R52" s="400" t="s">
        <v>205</v>
      </c>
      <c r="S52" s="400"/>
      <c r="T52" s="400"/>
      <c r="U52" s="400"/>
      <c r="V52" s="406" t="s">
        <v>119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114</v>
      </c>
      <c r="B53" s="400"/>
      <c r="C53" s="151" t="s">
        <v>191</v>
      </c>
      <c r="D53" s="151" t="s">
        <v>120</v>
      </c>
      <c r="E53" s="151" t="s">
        <v>190</v>
      </c>
      <c r="F53" s="401" t="s">
        <v>119</v>
      </c>
      <c r="G53" s="402"/>
      <c r="H53" s="402"/>
      <c r="I53" s="402"/>
      <c r="J53" s="402"/>
      <c r="K53" s="402"/>
      <c r="L53" s="402"/>
      <c r="M53" s="403"/>
      <c r="N53" s="150"/>
      <c r="O53" s="124"/>
      <c r="P53" s="404"/>
      <c r="Q53" s="405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151"/>
      <c r="D54" s="151"/>
      <c r="E54" s="151"/>
      <c r="F54" s="401"/>
      <c r="G54" s="402"/>
      <c r="H54" s="402"/>
      <c r="I54" s="402"/>
      <c r="J54" s="402"/>
      <c r="K54" s="402"/>
      <c r="L54" s="402"/>
      <c r="M54" s="403"/>
      <c r="N54" s="150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151"/>
      <c r="D55" s="151"/>
      <c r="E55" s="151"/>
      <c r="F55" s="401"/>
      <c r="G55" s="402"/>
      <c r="H55" s="402"/>
      <c r="I55" s="402"/>
      <c r="J55" s="402"/>
      <c r="K55" s="402"/>
      <c r="L55" s="402"/>
      <c r="M55" s="403"/>
      <c r="N55" s="150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151"/>
      <c r="D56" s="151"/>
      <c r="E56" s="151"/>
      <c r="F56" s="401"/>
      <c r="G56" s="402"/>
      <c r="H56" s="402"/>
      <c r="I56" s="402"/>
      <c r="J56" s="402"/>
      <c r="K56" s="402"/>
      <c r="L56" s="402"/>
      <c r="M56" s="403"/>
      <c r="N56" s="150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151"/>
      <c r="D57" s="151"/>
      <c r="E57" s="151"/>
      <c r="F57" s="406"/>
      <c r="G57" s="406"/>
      <c r="H57" s="406"/>
      <c r="I57" s="406"/>
      <c r="J57" s="406"/>
      <c r="K57" s="406"/>
      <c r="L57" s="406"/>
      <c r="M57" s="407"/>
      <c r="N57" s="150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151"/>
      <c r="D58" s="151"/>
      <c r="E58" s="151"/>
      <c r="F58" s="406"/>
      <c r="G58" s="406"/>
      <c r="H58" s="406"/>
      <c r="I58" s="406"/>
      <c r="J58" s="406"/>
      <c r="K58" s="406"/>
      <c r="L58" s="406"/>
      <c r="M58" s="407"/>
      <c r="N58" s="150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151"/>
      <c r="D59" s="151"/>
      <c r="E59" s="151"/>
      <c r="F59" s="406"/>
      <c r="G59" s="406"/>
      <c r="H59" s="406"/>
      <c r="I59" s="406"/>
      <c r="J59" s="406"/>
      <c r="K59" s="406"/>
      <c r="L59" s="406"/>
      <c r="M59" s="407"/>
      <c r="N59" s="150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153"/>
      <c r="D60" s="153"/>
      <c r="E60" s="153"/>
      <c r="F60" s="410"/>
      <c r="G60" s="410"/>
      <c r="H60" s="410"/>
      <c r="I60" s="410"/>
      <c r="J60" s="410"/>
      <c r="K60" s="410"/>
      <c r="L60" s="410"/>
      <c r="M60" s="411"/>
      <c r="N60" s="152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206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154" t="s">
        <v>2</v>
      </c>
      <c r="D62" s="154" t="s">
        <v>37</v>
      </c>
      <c r="E62" s="154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154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208</v>
      </c>
      <c r="D63" s="157"/>
      <c r="E63" s="155"/>
      <c r="F63" s="423" t="s">
        <v>207</v>
      </c>
      <c r="G63" s="424"/>
      <c r="H63" s="424"/>
      <c r="I63" s="424"/>
      <c r="J63" s="424"/>
      <c r="K63" s="424" t="s">
        <v>136</v>
      </c>
      <c r="L63" s="424"/>
      <c r="M63" s="54" t="s">
        <v>175</v>
      </c>
      <c r="N63" s="424">
        <v>6</v>
      </c>
      <c r="O63" s="424"/>
      <c r="P63" s="425" t="s">
        <v>209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114</v>
      </c>
      <c r="D64" s="157"/>
      <c r="E64" s="155" t="s">
        <v>117</v>
      </c>
      <c r="F64" s="423" t="s">
        <v>176</v>
      </c>
      <c r="G64" s="424"/>
      <c r="H64" s="424"/>
      <c r="I64" s="424"/>
      <c r="J64" s="424"/>
      <c r="K64" s="424" t="s">
        <v>215</v>
      </c>
      <c r="L64" s="424"/>
      <c r="M64" s="54" t="s">
        <v>175</v>
      </c>
      <c r="N64" s="424">
        <v>14</v>
      </c>
      <c r="O64" s="424"/>
      <c r="P64" s="425">
        <v>200</v>
      </c>
      <c r="Q64" s="425"/>
      <c r="R64" s="406" t="s">
        <v>216</v>
      </c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 t="s">
        <v>126</v>
      </c>
      <c r="D65" s="157"/>
      <c r="E65" s="155" t="s">
        <v>211</v>
      </c>
      <c r="F65" s="423" t="s">
        <v>210</v>
      </c>
      <c r="G65" s="424"/>
      <c r="H65" s="424"/>
      <c r="I65" s="424"/>
      <c r="J65" s="424"/>
      <c r="K65" s="424" t="s">
        <v>212</v>
      </c>
      <c r="L65" s="424"/>
      <c r="M65" s="54" t="s">
        <v>175</v>
      </c>
      <c r="N65" s="424">
        <v>7</v>
      </c>
      <c r="O65" s="424"/>
      <c r="P65" s="425"/>
      <c r="Q65" s="425"/>
      <c r="R65" s="406" t="s">
        <v>213</v>
      </c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 t="s">
        <v>114</v>
      </c>
      <c r="D66" s="157"/>
      <c r="E66" s="155" t="s">
        <v>120</v>
      </c>
      <c r="F66" s="423" t="s">
        <v>214</v>
      </c>
      <c r="G66" s="424"/>
      <c r="H66" s="424"/>
      <c r="I66" s="424"/>
      <c r="J66" s="424"/>
      <c r="K66" s="424" t="s">
        <v>178</v>
      </c>
      <c r="L66" s="424"/>
      <c r="M66" s="54" t="s">
        <v>175</v>
      </c>
      <c r="N66" s="424">
        <v>14</v>
      </c>
      <c r="O66" s="424"/>
      <c r="P66" s="425">
        <v>200</v>
      </c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 t="s">
        <v>114</v>
      </c>
      <c r="D67" s="157"/>
      <c r="E67" s="155" t="s">
        <v>128</v>
      </c>
      <c r="F67" s="423" t="s">
        <v>217</v>
      </c>
      <c r="G67" s="424"/>
      <c r="H67" s="424"/>
      <c r="I67" s="424"/>
      <c r="J67" s="424"/>
      <c r="K67" s="424" t="s">
        <v>218</v>
      </c>
      <c r="L67" s="424"/>
      <c r="M67" s="54" t="s">
        <v>170</v>
      </c>
      <c r="N67" s="424">
        <v>11</v>
      </c>
      <c r="O67" s="424"/>
      <c r="P67" s="425">
        <v>50</v>
      </c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157"/>
      <c r="E68" s="155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157"/>
      <c r="E69" s="155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157"/>
      <c r="E70" s="155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219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156" t="s">
        <v>2</v>
      </c>
      <c r="D72" s="156" t="s">
        <v>37</v>
      </c>
      <c r="E72" s="156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158" t="s">
        <v>114</v>
      </c>
      <c r="D73" s="158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157"/>
      <c r="D74" s="157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157"/>
      <c r="D75" s="157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157"/>
      <c r="D76" s="157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157"/>
      <c r="D77" s="157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157"/>
      <c r="D78" s="157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157"/>
      <c r="D79" s="157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157"/>
      <c r="D80" s="157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157"/>
      <c r="D81" s="157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220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FC17-FD34-47A1-B89D-DCD3383B9CBC}">
  <sheetPr>
    <pageSetUpPr fitToPage="1"/>
  </sheetPr>
  <dimension ref="A1:AF86"/>
  <sheetViews>
    <sheetView topLeftCell="A43" zoomScale="72" zoomScaleNormal="72" zoomScaleSheetLayoutView="70" workbookViewId="0">
      <selection activeCell="C63" sqref="C63:Q6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221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169" t="s">
        <v>17</v>
      </c>
      <c r="L5" s="169" t="s">
        <v>18</v>
      </c>
      <c r="M5" s="169" t="s">
        <v>19</v>
      </c>
      <c r="N5" s="1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0.41103620474406993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0.41103620474406993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7122</v>
      </c>
      <c r="K8" s="15">
        <f>L8+4226+6836+7688+6790+7670+5621+7015+7715+6622+7015+7123</f>
        <v>81443</v>
      </c>
      <c r="L8" s="15">
        <f>3678+3444</f>
        <v>7122</v>
      </c>
      <c r="M8" s="16">
        <f t="shared" si="0"/>
        <v>7122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0.41103620474406993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204</v>
      </c>
      <c r="D9" s="55" t="s">
        <v>131</v>
      </c>
      <c r="E9" s="57" t="s">
        <v>203</v>
      </c>
      <c r="F9" s="33" t="s">
        <v>222</v>
      </c>
      <c r="G9" s="36">
        <v>1</v>
      </c>
      <c r="H9" s="38">
        <v>25</v>
      </c>
      <c r="I9" s="7">
        <v>500</v>
      </c>
      <c r="J9" s="5">
        <v>1564</v>
      </c>
      <c r="K9" s="15">
        <f>L9</f>
        <v>1564</v>
      </c>
      <c r="L9" s="15">
        <f>599+965</f>
        <v>1564</v>
      </c>
      <c r="M9" s="16">
        <f t="shared" si="0"/>
        <v>1564</v>
      </c>
      <c r="N9" s="16">
        <v>0</v>
      </c>
      <c r="O9" s="62">
        <f t="shared" si="1"/>
        <v>0</v>
      </c>
      <c r="P9" s="42">
        <f t="shared" si="2"/>
        <v>9</v>
      </c>
      <c r="Q9" s="43">
        <f t="shared" si="3"/>
        <v>15</v>
      </c>
      <c r="R9" s="7"/>
      <c r="S9" s="6"/>
      <c r="T9" s="17"/>
      <c r="U9" s="17"/>
      <c r="V9" s="18"/>
      <c r="W9" s="19">
        <v>15</v>
      </c>
      <c r="X9" s="17"/>
      <c r="Y9" s="20"/>
      <c r="Z9" s="20"/>
      <c r="AA9" s="21"/>
      <c r="AB9" s="8">
        <f t="shared" si="4"/>
        <v>1</v>
      </c>
      <c r="AC9" s="9">
        <f t="shared" si="5"/>
        <v>0.375</v>
      </c>
      <c r="AD9" s="10">
        <f t="shared" si="6"/>
        <v>0.375</v>
      </c>
      <c r="AE9" s="39">
        <f t="shared" si="7"/>
        <v>0.41103620474406993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2679</v>
      </c>
      <c r="K10" s="15">
        <f>L10+4579+6047+6324+6911+6027+6392+6482+6359+6690+4813+6466+6487</f>
        <v>76256</v>
      </c>
      <c r="L10" s="15">
        <f>2679</f>
        <v>2679</v>
      </c>
      <c r="M10" s="16">
        <f t="shared" si="0"/>
        <v>2679</v>
      </c>
      <c r="N10" s="16">
        <v>0</v>
      </c>
      <c r="O10" s="62">
        <f t="shared" si="1"/>
        <v>0</v>
      </c>
      <c r="P10" s="42">
        <f t="shared" si="2"/>
        <v>12</v>
      </c>
      <c r="Q10" s="43">
        <f t="shared" si="3"/>
        <v>12</v>
      </c>
      <c r="R10" s="7"/>
      <c r="S10" s="6">
        <v>12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0.5</v>
      </c>
      <c r="AD10" s="10">
        <f t="shared" si="6"/>
        <v>0.5</v>
      </c>
      <c r="AE10" s="39">
        <f t="shared" si="7"/>
        <v>0.41103620474406993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37" t="s">
        <v>126</v>
      </c>
      <c r="D11" s="55" t="s">
        <v>121</v>
      </c>
      <c r="E11" s="57" t="s">
        <v>152</v>
      </c>
      <c r="F11" s="12" t="s">
        <v>149</v>
      </c>
      <c r="G11" s="12">
        <v>3</v>
      </c>
      <c r="H11" s="13">
        <v>25</v>
      </c>
      <c r="I11" s="34">
        <v>10000</v>
      </c>
      <c r="J11" s="5">
        <v>11556</v>
      </c>
      <c r="K11" s="15">
        <f>L11+11556</f>
        <v>11556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0.41103620474406993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158</v>
      </c>
      <c r="F12" s="12" t="s">
        <v>139</v>
      </c>
      <c r="G12" s="12">
        <v>1</v>
      </c>
      <c r="H12" s="13">
        <v>25</v>
      </c>
      <c r="I12" s="7">
        <v>20000</v>
      </c>
      <c r="J12" s="14">
        <v>5400</v>
      </c>
      <c r="K12" s="15">
        <f>L12+3246+5170+5398</f>
        <v>13814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0.41103620474406993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117</v>
      </c>
      <c r="E13" s="57" t="s">
        <v>129</v>
      </c>
      <c r="F13" s="12" t="s">
        <v>127</v>
      </c>
      <c r="G13" s="12">
        <v>1</v>
      </c>
      <c r="H13" s="13">
        <v>25</v>
      </c>
      <c r="I13" s="7">
        <v>20000</v>
      </c>
      <c r="J13" s="14">
        <v>1174</v>
      </c>
      <c r="K13" s="15">
        <f>L13+5053+5248+5028</f>
        <v>16503</v>
      </c>
      <c r="L13" s="15">
        <v>1174</v>
      </c>
      <c r="M13" s="16">
        <f t="shared" si="0"/>
        <v>1174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>
        <v>18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9">
        <f t="shared" si="7"/>
        <v>0.41103620474406993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0.41103620474406993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66430</v>
      </c>
      <c r="K15" s="15">
        <f>L15+32805</f>
        <v>99235</v>
      </c>
      <c r="L15" s="15">
        <f>4502*7+4988*7</f>
        <v>66430</v>
      </c>
      <c r="M15" s="16">
        <f t="shared" si="0"/>
        <v>66430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1</v>
      </c>
      <c r="AD15" s="10">
        <f t="shared" si="6"/>
        <v>1</v>
      </c>
      <c r="AE15" s="39">
        <f t="shared" si="7"/>
        <v>0.41103620474406993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190</v>
      </c>
      <c r="F16" s="33" t="s">
        <v>199</v>
      </c>
      <c r="G16" s="36">
        <v>1</v>
      </c>
      <c r="H16" s="38">
        <v>24</v>
      </c>
      <c r="I16" s="7">
        <v>3500</v>
      </c>
      <c r="J16" s="5">
        <v>664</v>
      </c>
      <c r="K16" s="15">
        <f>L16+3030</f>
        <v>3694</v>
      </c>
      <c r="L16" s="15">
        <v>664</v>
      </c>
      <c r="M16" s="16">
        <f t="shared" si="0"/>
        <v>664</v>
      </c>
      <c r="N16" s="16">
        <v>0</v>
      </c>
      <c r="O16" s="62">
        <f t="shared" si="1"/>
        <v>0</v>
      </c>
      <c r="P16" s="42">
        <f t="shared" si="2"/>
        <v>3</v>
      </c>
      <c r="Q16" s="43">
        <f t="shared" si="3"/>
        <v>21</v>
      </c>
      <c r="R16" s="7"/>
      <c r="S16" s="6"/>
      <c r="T16" s="17"/>
      <c r="U16" s="17"/>
      <c r="V16" s="18"/>
      <c r="W16" s="19">
        <v>21</v>
      </c>
      <c r="X16" s="17"/>
      <c r="Y16" s="20"/>
      <c r="Z16" s="20"/>
      <c r="AA16" s="21"/>
      <c r="AB16" s="8">
        <f t="shared" si="4"/>
        <v>1</v>
      </c>
      <c r="AC16" s="9">
        <f t="shared" si="5"/>
        <v>0.125</v>
      </c>
      <c r="AD16" s="10">
        <f t="shared" si="6"/>
        <v>0.125</v>
      </c>
      <c r="AE16" s="39">
        <f t="shared" si="7"/>
        <v>0.41103620474406993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7120</v>
      </c>
      <c r="K17" s="15">
        <f>L17+5530+6591+6555+7009+6234+3454+6385+6995+7383+4468+7061+7120</f>
        <v>81897</v>
      </c>
      <c r="L17" s="15">
        <f>3660+3452</f>
        <v>7112</v>
      </c>
      <c r="M17" s="16">
        <f t="shared" si="0"/>
        <v>7112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0.99887640449438198</v>
      </c>
      <c r="AC17" s="9">
        <f t="shared" si="5"/>
        <v>1</v>
      </c>
      <c r="AD17" s="10">
        <f t="shared" si="6"/>
        <v>0.99887640449438198</v>
      </c>
      <c r="AE17" s="39">
        <f t="shared" si="7"/>
        <v>0.41103620474406993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5920</v>
      </c>
      <c r="K18" s="15">
        <f>L18+3442+4857+6103+3605+5831+5901+4875+6279+5633+5015+5887</f>
        <v>63348</v>
      </c>
      <c r="L18" s="15">
        <f>2859+3061</f>
        <v>5920</v>
      </c>
      <c r="M18" s="16">
        <f t="shared" si="0"/>
        <v>5920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0.41103620474406993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120</v>
      </c>
      <c r="E19" s="57" t="s">
        <v>205</v>
      </c>
      <c r="F19" s="12" t="s">
        <v>144</v>
      </c>
      <c r="G19" s="36">
        <v>2</v>
      </c>
      <c r="H19" s="13">
        <v>24</v>
      </c>
      <c r="I19" s="7">
        <v>40000</v>
      </c>
      <c r="J19" s="14">
        <v>9520</v>
      </c>
      <c r="K19" s="15">
        <f>L19</f>
        <v>9520</v>
      </c>
      <c r="L19" s="15">
        <f>1802*2+2958*2</f>
        <v>9520</v>
      </c>
      <c r="M19" s="16">
        <f t="shared" si="0"/>
        <v>9520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/>
      <c r="T19" s="17">
        <v>2</v>
      </c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9">
        <f t="shared" si="7"/>
        <v>0.41103620474406993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43600</v>
      </c>
      <c r="K20" s="15">
        <f>L20+39648+30712+45256+43600</f>
        <v>159216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0.41103620474406993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779000</v>
      </c>
      <c r="J21" s="22">
        <f t="shared" si="9"/>
        <v>164371</v>
      </c>
      <c r="K21" s="23">
        <f t="shared" si="9"/>
        <v>622312</v>
      </c>
      <c r="L21" s="24">
        <f t="shared" si="9"/>
        <v>102185</v>
      </c>
      <c r="M21" s="23">
        <f t="shared" si="9"/>
        <v>102185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148</v>
      </c>
      <c r="Q21" s="46">
        <f t="shared" si="10"/>
        <v>212</v>
      </c>
      <c r="R21" s="26">
        <f t="shared" si="10"/>
        <v>24</v>
      </c>
      <c r="S21" s="27">
        <f t="shared" si="10"/>
        <v>30</v>
      </c>
      <c r="T21" s="27">
        <f t="shared" si="10"/>
        <v>2</v>
      </c>
      <c r="U21" s="27">
        <f t="shared" si="10"/>
        <v>0</v>
      </c>
      <c r="V21" s="28">
        <f t="shared" si="10"/>
        <v>24</v>
      </c>
      <c r="W21" s="29">
        <f t="shared" si="10"/>
        <v>132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0.59992509363295876</v>
      </c>
      <c r="AC21" s="4">
        <f>SUM(AC6:AC20)/15</f>
        <v>0.41111111111111115</v>
      </c>
      <c r="AD21" s="4">
        <f>SUM(AD6:AD20)/15</f>
        <v>0.41103620474406993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223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224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168" t="s">
        <v>46</v>
      </c>
      <c r="D50" s="168" t="s">
        <v>47</v>
      </c>
      <c r="E50" s="168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168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204</v>
      </c>
      <c r="B51" s="400"/>
      <c r="C51" s="165" t="s">
        <v>130</v>
      </c>
      <c r="D51" s="165" t="s">
        <v>131</v>
      </c>
      <c r="E51" s="165" t="s">
        <v>203</v>
      </c>
      <c r="F51" s="401" t="s">
        <v>119</v>
      </c>
      <c r="G51" s="402"/>
      <c r="H51" s="402"/>
      <c r="I51" s="402"/>
      <c r="J51" s="402"/>
      <c r="K51" s="402"/>
      <c r="L51" s="402"/>
      <c r="M51" s="403"/>
      <c r="N51" s="164" t="s">
        <v>114</v>
      </c>
      <c r="O51" s="124" t="s">
        <v>130</v>
      </c>
      <c r="P51" s="404" t="s">
        <v>120</v>
      </c>
      <c r="Q51" s="405"/>
      <c r="R51" s="400" t="s">
        <v>225</v>
      </c>
      <c r="S51" s="400"/>
      <c r="T51" s="400"/>
      <c r="U51" s="400"/>
      <c r="V51" s="406" t="s">
        <v>119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126</v>
      </c>
      <c r="B52" s="400"/>
      <c r="C52" s="165" t="s">
        <v>137</v>
      </c>
      <c r="D52" s="165" t="s">
        <v>120</v>
      </c>
      <c r="E52" s="165" t="s">
        <v>205</v>
      </c>
      <c r="F52" s="401" t="s">
        <v>119</v>
      </c>
      <c r="G52" s="402"/>
      <c r="H52" s="402"/>
      <c r="I52" s="402"/>
      <c r="J52" s="402"/>
      <c r="K52" s="402"/>
      <c r="L52" s="402"/>
      <c r="M52" s="403"/>
      <c r="N52" s="164" t="s">
        <v>114</v>
      </c>
      <c r="O52" s="124" t="s">
        <v>228</v>
      </c>
      <c r="P52" s="404" t="s">
        <v>227</v>
      </c>
      <c r="Q52" s="405"/>
      <c r="R52" s="400" t="s">
        <v>226</v>
      </c>
      <c r="S52" s="400"/>
      <c r="T52" s="400"/>
      <c r="U52" s="400"/>
      <c r="V52" s="406" t="s">
        <v>119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/>
      <c r="B53" s="400"/>
      <c r="C53" s="165"/>
      <c r="D53" s="165"/>
      <c r="E53" s="165"/>
      <c r="F53" s="401"/>
      <c r="G53" s="402"/>
      <c r="H53" s="402"/>
      <c r="I53" s="402"/>
      <c r="J53" s="402"/>
      <c r="K53" s="402"/>
      <c r="L53" s="402"/>
      <c r="M53" s="403"/>
      <c r="N53" s="164" t="s">
        <v>115</v>
      </c>
      <c r="O53" s="124" t="s">
        <v>230</v>
      </c>
      <c r="P53" s="404" t="s">
        <v>229</v>
      </c>
      <c r="Q53" s="405"/>
      <c r="R53" s="400"/>
      <c r="S53" s="400"/>
      <c r="T53" s="400"/>
      <c r="U53" s="400"/>
      <c r="V53" s="406" t="s">
        <v>119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165"/>
      <c r="D54" s="165"/>
      <c r="E54" s="165"/>
      <c r="F54" s="401"/>
      <c r="G54" s="402"/>
      <c r="H54" s="402"/>
      <c r="I54" s="402"/>
      <c r="J54" s="402"/>
      <c r="K54" s="402"/>
      <c r="L54" s="402"/>
      <c r="M54" s="403"/>
      <c r="N54" s="164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165"/>
      <c r="D55" s="165"/>
      <c r="E55" s="165"/>
      <c r="F55" s="401"/>
      <c r="G55" s="402"/>
      <c r="H55" s="402"/>
      <c r="I55" s="402"/>
      <c r="J55" s="402"/>
      <c r="K55" s="402"/>
      <c r="L55" s="402"/>
      <c r="M55" s="403"/>
      <c r="N55" s="164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165"/>
      <c r="D56" s="165"/>
      <c r="E56" s="165"/>
      <c r="F56" s="401"/>
      <c r="G56" s="402"/>
      <c r="H56" s="402"/>
      <c r="I56" s="402"/>
      <c r="J56" s="402"/>
      <c r="K56" s="402"/>
      <c r="L56" s="402"/>
      <c r="M56" s="403"/>
      <c r="N56" s="164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165"/>
      <c r="D57" s="165"/>
      <c r="E57" s="165"/>
      <c r="F57" s="406"/>
      <c r="G57" s="406"/>
      <c r="H57" s="406"/>
      <c r="I57" s="406"/>
      <c r="J57" s="406"/>
      <c r="K57" s="406"/>
      <c r="L57" s="406"/>
      <c r="M57" s="407"/>
      <c r="N57" s="164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165"/>
      <c r="D58" s="165"/>
      <c r="E58" s="165"/>
      <c r="F58" s="406"/>
      <c r="G58" s="406"/>
      <c r="H58" s="406"/>
      <c r="I58" s="406"/>
      <c r="J58" s="406"/>
      <c r="K58" s="406"/>
      <c r="L58" s="406"/>
      <c r="M58" s="407"/>
      <c r="N58" s="164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165"/>
      <c r="D59" s="165"/>
      <c r="E59" s="165"/>
      <c r="F59" s="406"/>
      <c r="G59" s="406"/>
      <c r="H59" s="406"/>
      <c r="I59" s="406"/>
      <c r="J59" s="406"/>
      <c r="K59" s="406"/>
      <c r="L59" s="406"/>
      <c r="M59" s="407"/>
      <c r="N59" s="164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167"/>
      <c r="D60" s="167"/>
      <c r="E60" s="167"/>
      <c r="F60" s="410"/>
      <c r="G60" s="410"/>
      <c r="H60" s="410"/>
      <c r="I60" s="410"/>
      <c r="J60" s="410"/>
      <c r="K60" s="410"/>
      <c r="L60" s="410"/>
      <c r="M60" s="411"/>
      <c r="N60" s="166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231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163" t="s">
        <v>2</v>
      </c>
      <c r="D62" s="163" t="s">
        <v>37</v>
      </c>
      <c r="E62" s="163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163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126</v>
      </c>
      <c r="D63" s="159"/>
      <c r="E63" s="162" t="s">
        <v>211</v>
      </c>
      <c r="F63" s="423" t="s">
        <v>210</v>
      </c>
      <c r="G63" s="424"/>
      <c r="H63" s="424"/>
      <c r="I63" s="424"/>
      <c r="J63" s="424"/>
      <c r="K63" s="424" t="s">
        <v>212</v>
      </c>
      <c r="L63" s="424"/>
      <c r="M63" s="54" t="s">
        <v>175</v>
      </c>
      <c r="N63" s="424">
        <v>7</v>
      </c>
      <c r="O63" s="424"/>
      <c r="P63" s="425">
        <v>200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114</v>
      </c>
      <c r="D64" s="159"/>
      <c r="E64" s="162" t="s">
        <v>134</v>
      </c>
      <c r="F64" s="423" t="s">
        <v>232</v>
      </c>
      <c r="G64" s="424"/>
      <c r="H64" s="424"/>
      <c r="I64" s="424"/>
      <c r="J64" s="424"/>
      <c r="K64" s="424" t="s">
        <v>136</v>
      </c>
      <c r="L64" s="424"/>
      <c r="M64" s="54" t="s">
        <v>175</v>
      </c>
      <c r="N64" s="424">
        <v>6</v>
      </c>
      <c r="O64" s="424"/>
      <c r="P64" s="425">
        <v>200</v>
      </c>
      <c r="Q64" s="425"/>
      <c r="R64" s="406" t="s">
        <v>233</v>
      </c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159"/>
      <c r="E65" s="162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159"/>
      <c r="E66" s="162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159"/>
      <c r="E67" s="162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159"/>
      <c r="E68" s="162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159"/>
      <c r="E69" s="162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159"/>
      <c r="E70" s="162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234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161" t="s">
        <v>2</v>
      </c>
      <c r="D72" s="161" t="s">
        <v>37</v>
      </c>
      <c r="E72" s="161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160" t="s">
        <v>114</v>
      </c>
      <c r="D73" s="160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159"/>
      <c r="D74" s="159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159"/>
      <c r="D75" s="159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159"/>
      <c r="D76" s="159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159"/>
      <c r="D77" s="159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159"/>
      <c r="D78" s="159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159"/>
      <c r="D79" s="159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159"/>
      <c r="D80" s="159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159"/>
      <c r="D81" s="159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235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222C-2C70-470F-8DD0-DF86C6DF1CCD}">
  <sheetPr>
    <pageSetUpPr fitToPage="1"/>
  </sheetPr>
  <dimension ref="A1:AF86"/>
  <sheetViews>
    <sheetView topLeftCell="A40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236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170" t="s">
        <v>17</v>
      </c>
      <c r="L5" s="170" t="s">
        <v>18</v>
      </c>
      <c r="M5" s="170" t="s">
        <v>19</v>
      </c>
      <c r="N5" s="17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0.43611012491781725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0.43611012491781725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7421</v>
      </c>
      <c r="K8" s="15">
        <f>L8+4226+6836+7688+6790+7670+5621+7015+7715+6622+7015+7123+7122</f>
        <v>88864</v>
      </c>
      <c r="L8" s="15">
        <f>3515+3906</f>
        <v>7421</v>
      </c>
      <c r="M8" s="16">
        <f t="shared" si="0"/>
        <v>7421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0.43611012491781725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114</v>
      </c>
      <c r="D9" s="55" t="s">
        <v>120</v>
      </c>
      <c r="E9" s="57" t="s">
        <v>237</v>
      </c>
      <c r="F9" s="33" t="s">
        <v>199</v>
      </c>
      <c r="G9" s="36" t="s">
        <v>238</v>
      </c>
      <c r="H9" s="38">
        <v>25</v>
      </c>
      <c r="I9" s="7">
        <v>500</v>
      </c>
      <c r="J9" s="5">
        <v>1413</v>
      </c>
      <c r="K9" s="15">
        <f>L9</f>
        <v>1413</v>
      </c>
      <c r="L9" s="15">
        <f>599+814</f>
        <v>1413</v>
      </c>
      <c r="M9" s="16">
        <f t="shared" si="0"/>
        <v>1413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9">
        <f t="shared" si="7"/>
        <v>0.43611012491781725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2679</v>
      </c>
      <c r="K10" s="15">
        <f>L10+4579+6047+6324+6911+6027+6392+6482+6359+6690+4813+6466+6487+2679</f>
        <v>76256</v>
      </c>
      <c r="L10" s="15">
        <v>0</v>
      </c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0.43611012491781725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227</v>
      </c>
      <c r="E11" s="57" t="s">
        <v>226</v>
      </c>
      <c r="F11" s="12">
        <v>8301</v>
      </c>
      <c r="G11" s="12">
        <v>1</v>
      </c>
      <c r="H11" s="13">
        <v>25</v>
      </c>
      <c r="I11" s="7">
        <v>2200</v>
      </c>
      <c r="J11" s="14">
        <v>2410</v>
      </c>
      <c r="K11" s="15">
        <f>L11</f>
        <v>2410</v>
      </c>
      <c r="L11" s="15">
        <f>1208+1202</f>
        <v>2410</v>
      </c>
      <c r="M11" s="16">
        <f t="shared" si="0"/>
        <v>2410</v>
      </c>
      <c r="N11" s="16">
        <v>0</v>
      </c>
      <c r="O11" s="62">
        <f t="shared" si="1"/>
        <v>0</v>
      </c>
      <c r="P11" s="42">
        <f t="shared" si="2"/>
        <v>13</v>
      </c>
      <c r="Q11" s="43">
        <f t="shared" si="3"/>
        <v>11</v>
      </c>
      <c r="R11" s="7"/>
      <c r="S11" s="6">
        <v>8</v>
      </c>
      <c r="T11" s="17"/>
      <c r="U11" s="17"/>
      <c r="V11" s="18"/>
      <c r="W11" s="19">
        <v>3</v>
      </c>
      <c r="X11" s="17"/>
      <c r="Y11" s="20"/>
      <c r="Z11" s="20"/>
      <c r="AA11" s="21"/>
      <c r="AB11" s="8">
        <f t="shared" si="4"/>
        <v>1</v>
      </c>
      <c r="AC11" s="9">
        <f t="shared" si="5"/>
        <v>0.54166666666666663</v>
      </c>
      <c r="AD11" s="10">
        <f t="shared" si="6"/>
        <v>0.54166666666666663</v>
      </c>
      <c r="AE11" s="39">
        <f t="shared" si="7"/>
        <v>0.43611012491781725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115</v>
      </c>
      <c r="D12" s="55"/>
      <c r="E12" s="57" t="s">
        <v>239</v>
      </c>
      <c r="F12" s="12" t="s">
        <v>116</v>
      </c>
      <c r="G12" s="12">
        <v>4</v>
      </c>
      <c r="H12" s="13">
        <v>25</v>
      </c>
      <c r="I12" s="7">
        <v>10000</v>
      </c>
      <c r="J12" s="14">
        <v>11124</v>
      </c>
      <c r="K12" s="15">
        <f>L12</f>
        <v>11124</v>
      </c>
      <c r="L12" s="15">
        <f>2781*4</f>
        <v>11124</v>
      </c>
      <c r="M12" s="16">
        <f t="shared" si="0"/>
        <v>11124</v>
      </c>
      <c r="N12" s="16">
        <v>0</v>
      </c>
      <c r="O12" s="62">
        <f t="shared" si="1"/>
        <v>0</v>
      </c>
      <c r="P12" s="42">
        <f t="shared" si="2"/>
        <v>8</v>
      </c>
      <c r="Q12" s="43">
        <f t="shared" si="3"/>
        <v>16</v>
      </c>
      <c r="R12" s="7"/>
      <c r="S12" s="6"/>
      <c r="T12" s="17"/>
      <c r="U12" s="17"/>
      <c r="V12" s="18"/>
      <c r="W12" s="19">
        <v>16</v>
      </c>
      <c r="X12" s="17"/>
      <c r="Y12" s="20"/>
      <c r="Z12" s="20"/>
      <c r="AA12" s="21"/>
      <c r="AB12" s="8">
        <f t="shared" si="4"/>
        <v>1</v>
      </c>
      <c r="AC12" s="9">
        <f t="shared" si="5"/>
        <v>0.33333333333333331</v>
      </c>
      <c r="AD12" s="10">
        <f t="shared" si="6"/>
        <v>0.33333333333333331</v>
      </c>
      <c r="AE12" s="39">
        <f t="shared" si="7"/>
        <v>0.43611012491781725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114</v>
      </c>
      <c r="D13" s="55" t="s">
        <v>131</v>
      </c>
      <c r="E13" s="57" t="s">
        <v>240</v>
      </c>
      <c r="F13" s="12" t="s">
        <v>139</v>
      </c>
      <c r="G13" s="12">
        <v>1</v>
      </c>
      <c r="H13" s="13">
        <v>25</v>
      </c>
      <c r="I13" s="7">
        <v>1200</v>
      </c>
      <c r="J13" s="14">
        <v>1296</v>
      </c>
      <c r="K13" s="15">
        <f>L13</f>
        <v>1296</v>
      </c>
      <c r="L13" s="15">
        <f>1296</f>
        <v>1296</v>
      </c>
      <c r="M13" s="16">
        <f t="shared" si="0"/>
        <v>1296</v>
      </c>
      <c r="N13" s="16">
        <v>0</v>
      </c>
      <c r="O13" s="62">
        <f t="shared" si="1"/>
        <v>0</v>
      </c>
      <c r="P13" s="42">
        <f t="shared" si="2"/>
        <v>8</v>
      </c>
      <c r="Q13" s="43">
        <f t="shared" si="3"/>
        <v>16</v>
      </c>
      <c r="R13" s="7"/>
      <c r="S13" s="6"/>
      <c r="T13" s="17"/>
      <c r="U13" s="17"/>
      <c r="V13" s="18"/>
      <c r="W13" s="19">
        <v>16</v>
      </c>
      <c r="X13" s="17"/>
      <c r="Y13" s="20"/>
      <c r="Z13" s="20"/>
      <c r="AA13" s="21"/>
      <c r="AB13" s="8">
        <f t="shared" si="4"/>
        <v>1</v>
      </c>
      <c r="AC13" s="9">
        <f t="shared" si="5"/>
        <v>0.33333333333333331</v>
      </c>
      <c r="AD13" s="10">
        <f t="shared" si="6"/>
        <v>0.33333333333333331</v>
      </c>
      <c r="AE13" s="39">
        <f t="shared" si="7"/>
        <v>0.43611012491781725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0.43611012491781725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67600</v>
      </c>
      <c r="K15" s="15">
        <f>L15+32805+66430</f>
        <v>166834</v>
      </c>
      <c r="L15" s="15">
        <f>4921*7+4736*7</f>
        <v>67599</v>
      </c>
      <c r="M15" s="16">
        <f t="shared" si="0"/>
        <v>67599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0.99998520710059169</v>
      </c>
      <c r="AC15" s="9">
        <f t="shared" si="5"/>
        <v>1</v>
      </c>
      <c r="AD15" s="10">
        <f t="shared" si="6"/>
        <v>0.99998520710059169</v>
      </c>
      <c r="AE15" s="39">
        <f t="shared" si="7"/>
        <v>0.43611012491781725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190</v>
      </c>
      <c r="F16" s="33" t="s">
        <v>199</v>
      </c>
      <c r="G16" s="36">
        <v>1</v>
      </c>
      <c r="H16" s="38">
        <v>24</v>
      </c>
      <c r="I16" s="7">
        <v>3500</v>
      </c>
      <c r="J16" s="5">
        <v>664</v>
      </c>
      <c r="K16" s="15">
        <f>L16+3030+664</f>
        <v>3694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0.43611012491781725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7275</v>
      </c>
      <c r="K17" s="15">
        <f>L17+5530+6591+6555+7009+6234+3454+6385+6995+7383+4468+7061+7120+7112</f>
        <v>89172</v>
      </c>
      <c r="L17" s="15">
        <f>3748+3527</f>
        <v>7275</v>
      </c>
      <c r="M17" s="16">
        <f t="shared" si="0"/>
        <v>7275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0.43611012491781725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5827</v>
      </c>
      <c r="K18" s="15">
        <f>L18+3442+4857+6103+3605+5831+5901+4875+6279+5633+5015+5887+5920</f>
        <v>69175</v>
      </c>
      <c r="L18" s="15">
        <f>3106+2721</f>
        <v>5827</v>
      </c>
      <c r="M18" s="16">
        <f t="shared" si="0"/>
        <v>5827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0.43611012491781725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120</v>
      </c>
      <c r="E19" s="57" t="s">
        <v>205</v>
      </c>
      <c r="F19" s="12" t="s">
        <v>144</v>
      </c>
      <c r="G19" s="36">
        <v>2</v>
      </c>
      <c r="H19" s="13">
        <v>24</v>
      </c>
      <c r="I19" s="7">
        <v>40000</v>
      </c>
      <c r="J19" s="14">
        <v>11850</v>
      </c>
      <c r="K19" s="15">
        <f>L19+9520</f>
        <v>21370</v>
      </c>
      <c r="L19" s="15">
        <f>3084*2+2841*2</f>
        <v>11850</v>
      </c>
      <c r="M19" s="16">
        <f t="shared" si="0"/>
        <v>11850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0.43611012491781725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43600</v>
      </c>
      <c r="K20" s="15">
        <f>L20+39648+30712+45256+43600</f>
        <v>159216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0.43611012491781725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742400</v>
      </c>
      <c r="J21" s="22">
        <f t="shared" si="9"/>
        <v>164781</v>
      </c>
      <c r="K21" s="23">
        <f t="shared" si="9"/>
        <v>695090</v>
      </c>
      <c r="L21" s="24">
        <f t="shared" si="9"/>
        <v>116215</v>
      </c>
      <c r="M21" s="23">
        <f t="shared" si="9"/>
        <v>116215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157</v>
      </c>
      <c r="Q21" s="46">
        <f t="shared" si="10"/>
        <v>203</v>
      </c>
      <c r="R21" s="26">
        <f t="shared" si="10"/>
        <v>24</v>
      </c>
      <c r="S21" s="27">
        <f t="shared" si="10"/>
        <v>32</v>
      </c>
      <c r="T21" s="27">
        <f t="shared" si="10"/>
        <v>0</v>
      </c>
      <c r="U21" s="27">
        <f t="shared" si="10"/>
        <v>0</v>
      </c>
      <c r="V21" s="28">
        <f t="shared" si="10"/>
        <v>24</v>
      </c>
      <c r="W21" s="29">
        <f t="shared" si="10"/>
        <v>123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0.59999901380670606</v>
      </c>
      <c r="AC21" s="4">
        <f>SUM(AC6:AC20)/15</f>
        <v>0.43611111111111112</v>
      </c>
      <c r="AD21" s="4">
        <f>SUM(AD6:AD20)/15</f>
        <v>0.43611012491781725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241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243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171" t="s">
        <v>46</v>
      </c>
      <c r="D50" s="171" t="s">
        <v>47</v>
      </c>
      <c r="E50" s="171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171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114</v>
      </c>
      <c r="B51" s="400"/>
      <c r="C51" s="173" t="s">
        <v>130</v>
      </c>
      <c r="D51" s="173" t="s">
        <v>120</v>
      </c>
      <c r="E51" s="173" t="s">
        <v>237</v>
      </c>
      <c r="F51" s="401" t="s">
        <v>119</v>
      </c>
      <c r="G51" s="402"/>
      <c r="H51" s="402"/>
      <c r="I51" s="402"/>
      <c r="J51" s="402"/>
      <c r="K51" s="402"/>
      <c r="L51" s="402"/>
      <c r="M51" s="403"/>
      <c r="N51" s="172" t="s">
        <v>126</v>
      </c>
      <c r="O51" s="124" t="s">
        <v>123</v>
      </c>
      <c r="P51" s="404" t="s">
        <v>120</v>
      </c>
      <c r="Q51" s="405"/>
      <c r="R51" s="400" t="s">
        <v>244</v>
      </c>
      <c r="S51" s="400"/>
      <c r="T51" s="400"/>
      <c r="U51" s="400"/>
      <c r="V51" s="406" t="s">
        <v>245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114</v>
      </c>
      <c r="B52" s="400"/>
      <c r="C52" s="173" t="s">
        <v>228</v>
      </c>
      <c r="D52" s="173" t="s">
        <v>227</v>
      </c>
      <c r="E52" s="173" t="s">
        <v>226</v>
      </c>
      <c r="F52" s="401" t="s">
        <v>242</v>
      </c>
      <c r="G52" s="402"/>
      <c r="H52" s="402"/>
      <c r="I52" s="402"/>
      <c r="J52" s="402"/>
      <c r="K52" s="402"/>
      <c r="L52" s="402"/>
      <c r="M52" s="403"/>
      <c r="N52" s="172" t="s">
        <v>118</v>
      </c>
      <c r="O52" s="124" t="s">
        <v>230</v>
      </c>
      <c r="P52" s="404" t="s">
        <v>120</v>
      </c>
      <c r="Q52" s="405"/>
      <c r="R52" s="400" t="s">
        <v>246</v>
      </c>
      <c r="S52" s="400"/>
      <c r="T52" s="400"/>
      <c r="U52" s="400"/>
      <c r="V52" s="406" t="s">
        <v>119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115</v>
      </c>
      <c r="B53" s="400"/>
      <c r="C53" s="173" t="s">
        <v>230</v>
      </c>
      <c r="D53" s="173"/>
      <c r="E53" s="173" t="s">
        <v>239</v>
      </c>
      <c r="F53" s="401" t="s">
        <v>119</v>
      </c>
      <c r="G53" s="402"/>
      <c r="H53" s="402"/>
      <c r="I53" s="402"/>
      <c r="J53" s="402"/>
      <c r="K53" s="402"/>
      <c r="L53" s="402"/>
      <c r="M53" s="403"/>
      <c r="N53" s="172" t="s">
        <v>126</v>
      </c>
      <c r="O53" s="124" t="s">
        <v>125</v>
      </c>
      <c r="P53" s="404" t="s">
        <v>117</v>
      </c>
      <c r="Q53" s="405"/>
      <c r="R53" s="400" t="s">
        <v>247</v>
      </c>
      <c r="S53" s="400"/>
      <c r="T53" s="400"/>
      <c r="U53" s="400"/>
      <c r="V53" s="406" t="s">
        <v>245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114</v>
      </c>
      <c r="B54" s="400"/>
      <c r="C54" s="173" t="s">
        <v>125</v>
      </c>
      <c r="D54" s="173" t="s">
        <v>131</v>
      </c>
      <c r="E54" s="173" t="s">
        <v>240</v>
      </c>
      <c r="F54" s="401" t="s">
        <v>119</v>
      </c>
      <c r="G54" s="402"/>
      <c r="H54" s="402"/>
      <c r="I54" s="402"/>
      <c r="J54" s="402"/>
      <c r="K54" s="402"/>
      <c r="L54" s="402"/>
      <c r="M54" s="403"/>
      <c r="N54" s="172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173"/>
      <c r="D55" s="173"/>
      <c r="E55" s="173"/>
      <c r="F55" s="401"/>
      <c r="G55" s="402"/>
      <c r="H55" s="402"/>
      <c r="I55" s="402"/>
      <c r="J55" s="402"/>
      <c r="K55" s="402"/>
      <c r="L55" s="402"/>
      <c r="M55" s="403"/>
      <c r="N55" s="172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173"/>
      <c r="D56" s="173"/>
      <c r="E56" s="173"/>
      <c r="F56" s="401"/>
      <c r="G56" s="402"/>
      <c r="H56" s="402"/>
      <c r="I56" s="402"/>
      <c r="J56" s="402"/>
      <c r="K56" s="402"/>
      <c r="L56" s="402"/>
      <c r="M56" s="403"/>
      <c r="N56" s="172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173"/>
      <c r="D57" s="173"/>
      <c r="E57" s="173"/>
      <c r="F57" s="406"/>
      <c r="G57" s="406"/>
      <c r="H57" s="406"/>
      <c r="I57" s="406"/>
      <c r="J57" s="406"/>
      <c r="K57" s="406"/>
      <c r="L57" s="406"/>
      <c r="M57" s="407"/>
      <c r="N57" s="172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173"/>
      <c r="D58" s="173"/>
      <c r="E58" s="173"/>
      <c r="F58" s="406"/>
      <c r="G58" s="406"/>
      <c r="H58" s="406"/>
      <c r="I58" s="406"/>
      <c r="J58" s="406"/>
      <c r="K58" s="406"/>
      <c r="L58" s="406"/>
      <c r="M58" s="407"/>
      <c r="N58" s="172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173"/>
      <c r="D59" s="173"/>
      <c r="E59" s="173"/>
      <c r="F59" s="406"/>
      <c r="G59" s="406"/>
      <c r="H59" s="406"/>
      <c r="I59" s="406"/>
      <c r="J59" s="406"/>
      <c r="K59" s="406"/>
      <c r="L59" s="406"/>
      <c r="M59" s="407"/>
      <c r="N59" s="172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175"/>
      <c r="D60" s="175"/>
      <c r="E60" s="175"/>
      <c r="F60" s="410"/>
      <c r="G60" s="410"/>
      <c r="H60" s="410"/>
      <c r="I60" s="410"/>
      <c r="J60" s="410"/>
      <c r="K60" s="410"/>
      <c r="L60" s="410"/>
      <c r="M60" s="411"/>
      <c r="N60" s="174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248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176" t="s">
        <v>2</v>
      </c>
      <c r="D62" s="176" t="s">
        <v>37</v>
      </c>
      <c r="E62" s="176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176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126</v>
      </c>
      <c r="D63" s="179"/>
      <c r="E63" s="177" t="s">
        <v>120</v>
      </c>
      <c r="F63" s="423" t="s">
        <v>244</v>
      </c>
      <c r="G63" s="424"/>
      <c r="H63" s="424"/>
      <c r="I63" s="424"/>
      <c r="J63" s="424"/>
      <c r="K63" s="424" t="s">
        <v>122</v>
      </c>
      <c r="L63" s="424"/>
      <c r="M63" s="54" t="s">
        <v>170</v>
      </c>
      <c r="N63" s="424">
        <v>5</v>
      </c>
      <c r="O63" s="424"/>
      <c r="P63" s="425">
        <v>50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126</v>
      </c>
      <c r="D64" s="179"/>
      <c r="E64" s="177" t="s">
        <v>120</v>
      </c>
      <c r="F64" s="423" t="s">
        <v>147</v>
      </c>
      <c r="G64" s="424"/>
      <c r="H64" s="424"/>
      <c r="I64" s="424"/>
      <c r="J64" s="424"/>
      <c r="K64" s="424" t="s">
        <v>122</v>
      </c>
      <c r="L64" s="424"/>
      <c r="M64" s="54" t="s">
        <v>170</v>
      </c>
      <c r="N64" s="424">
        <v>5</v>
      </c>
      <c r="O64" s="424"/>
      <c r="P64" s="425">
        <v>50</v>
      </c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179"/>
      <c r="E65" s="177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179"/>
      <c r="E66" s="177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179"/>
      <c r="E67" s="177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179"/>
      <c r="E68" s="177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179"/>
      <c r="E69" s="177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179"/>
      <c r="E70" s="177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249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178" t="s">
        <v>2</v>
      </c>
      <c r="D72" s="178" t="s">
        <v>37</v>
      </c>
      <c r="E72" s="178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180" t="s">
        <v>114</v>
      </c>
      <c r="D73" s="180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179"/>
      <c r="D74" s="179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179"/>
      <c r="D75" s="179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179"/>
      <c r="D76" s="179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179"/>
      <c r="D77" s="179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179"/>
      <c r="D78" s="179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179"/>
      <c r="D79" s="179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179"/>
      <c r="D80" s="179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179"/>
      <c r="D81" s="179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250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52F1-0DC0-4C1E-BC1F-46F1E36EF01C}">
  <sheetPr>
    <pageSetUpPr fitToPage="1"/>
  </sheetPr>
  <dimension ref="A1:AF86"/>
  <sheetViews>
    <sheetView zoomScale="72" zoomScaleNormal="72" zoomScaleSheetLayoutView="70" workbookViewId="0">
      <selection activeCell="T10" sqref="T1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251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191" t="s">
        <v>17</v>
      </c>
      <c r="L5" s="191" t="s">
        <v>18</v>
      </c>
      <c r="M5" s="191" t="s">
        <v>19</v>
      </c>
      <c r="N5" s="19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0.4443419480767255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0.4443419480767255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6809</v>
      </c>
      <c r="K8" s="15">
        <f>L8+4226+6836+7688+6790+7670+5621+7015+7715+6622+7015+7123+7122+7421</f>
        <v>95673</v>
      </c>
      <c r="L8" s="15">
        <f>3771+3038</f>
        <v>6809</v>
      </c>
      <c r="M8" s="16">
        <f t="shared" si="0"/>
        <v>6809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0.4443419480767255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126</v>
      </c>
      <c r="D9" s="55" t="s">
        <v>252</v>
      </c>
      <c r="E9" s="57" t="s">
        <v>253</v>
      </c>
      <c r="F9" s="33" t="s">
        <v>144</v>
      </c>
      <c r="G9" s="36" t="s">
        <v>254</v>
      </c>
      <c r="H9" s="38">
        <v>25</v>
      </c>
      <c r="I9" s="7">
        <v>1000</v>
      </c>
      <c r="J9" s="5">
        <v>259</v>
      </c>
      <c r="K9" s="15">
        <f>L9</f>
        <v>259</v>
      </c>
      <c r="L9" s="15">
        <v>259</v>
      </c>
      <c r="M9" s="16">
        <f t="shared" si="0"/>
        <v>259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>
        <v>20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0.4443419480767255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3648</v>
      </c>
      <c r="K10" s="15">
        <f>L10</f>
        <v>3648</v>
      </c>
      <c r="L10" s="15">
        <f>3648</f>
        <v>3648</v>
      </c>
      <c r="M10" s="16">
        <f t="shared" si="0"/>
        <v>3648</v>
      </c>
      <c r="N10" s="16">
        <v>0</v>
      </c>
      <c r="O10" s="62">
        <f t="shared" si="1"/>
        <v>0</v>
      </c>
      <c r="P10" s="42">
        <f t="shared" si="2"/>
        <v>15</v>
      </c>
      <c r="Q10" s="43">
        <f t="shared" si="3"/>
        <v>9</v>
      </c>
      <c r="R10" s="7"/>
      <c r="S10" s="6"/>
      <c r="T10" s="17"/>
      <c r="U10" s="17"/>
      <c r="V10" s="18">
        <v>9</v>
      </c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0.625</v>
      </c>
      <c r="AD10" s="10">
        <f t="shared" si="6"/>
        <v>0.625</v>
      </c>
      <c r="AE10" s="39">
        <f t="shared" si="7"/>
        <v>0.4443419480767255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227</v>
      </c>
      <c r="E11" s="57" t="s">
        <v>226</v>
      </c>
      <c r="F11" s="12">
        <v>8301</v>
      </c>
      <c r="G11" s="12">
        <v>1</v>
      </c>
      <c r="H11" s="13">
        <v>25</v>
      </c>
      <c r="I11" s="7">
        <v>2200</v>
      </c>
      <c r="J11" s="14">
        <v>2410</v>
      </c>
      <c r="K11" s="15">
        <f>L11+2410</f>
        <v>2410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0.4443419480767255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246</v>
      </c>
      <c r="F12" s="12" t="s">
        <v>122</v>
      </c>
      <c r="G12" s="12">
        <v>1</v>
      </c>
      <c r="H12" s="13">
        <v>25</v>
      </c>
      <c r="I12" s="7">
        <v>20000</v>
      </c>
      <c r="J12" s="14">
        <v>1716</v>
      </c>
      <c r="K12" s="15">
        <f>L12</f>
        <v>1716</v>
      </c>
      <c r="L12" s="15">
        <f>1716</f>
        <v>1716</v>
      </c>
      <c r="M12" s="16">
        <f t="shared" si="0"/>
        <v>1716</v>
      </c>
      <c r="N12" s="16">
        <v>0</v>
      </c>
      <c r="O12" s="62">
        <f t="shared" si="1"/>
        <v>0</v>
      </c>
      <c r="P12" s="42">
        <f t="shared" si="2"/>
        <v>11</v>
      </c>
      <c r="Q12" s="43">
        <f t="shared" si="3"/>
        <v>13</v>
      </c>
      <c r="R12" s="7"/>
      <c r="S12" s="6">
        <v>7</v>
      </c>
      <c r="T12" s="17"/>
      <c r="U12" s="17"/>
      <c r="V12" s="18"/>
      <c r="W12" s="19"/>
      <c r="X12" s="17"/>
      <c r="Y12" s="20"/>
      <c r="Z12" s="20"/>
      <c r="AA12" s="21">
        <v>6</v>
      </c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9">
        <f t="shared" si="7"/>
        <v>0.4443419480767255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247</v>
      </c>
      <c r="F13" s="12" t="s">
        <v>144</v>
      </c>
      <c r="G13" s="12">
        <v>2</v>
      </c>
      <c r="H13" s="13">
        <v>25</v>
      </c>
      <c r="I13" s="7">
        <v>40000</v>
      </c>
      <c r="J13" s="14">
        <v>886</v>
      </c>
      <c r="K13" s="15">
        <f>L13</f>
        <v>886</v>
      </c>
      <c r="L13" s="15">
        <f>443*2</f>
        <v>886</v>
      </c>
      <c r="M13" s="16">
        <f t="shared" si="0"/>
        <v>886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>
        <v>20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9">
        <f t="shared" si="7"/>
        <v>0.4443419480767255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0.4443419480767255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62860</v>
      </c>
      <c r="K15" s="15">
        <f>L15+32805+66430+67599</f>
        <v>229694</v>
      </c>
      <c r="L15" s="15">
        <f>5084*7+3896*7</f>
        <v>62860</v>
      </c>
      <c r="M15" s="16">
        <f t="shared" si="0"/>
        <v>62860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1</v>
      </c>
      <c r="AD15" s="10">
        <f t="shared" si="6"/>
        <v>1</v>
      </c>
      <c r="AE15" s="39">
        <f t="shared" si="7"/>
        <v>0.4443419480767255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190</v>
      </c>
      <c r="F16" s="33" t="s">
        <v>199</v>
      </c>
      <c r="G16" s="36">
        <v>1</v>
      </c>
      <c r="H16" s="38">
        <v>24</v>
      </c>
      <c r="I16" s="7">
        <v>3500</v>
      </c>
      <c r="J16" s="5">
        <v>664</v>
      </c>
      <c r="K16" s="15">
        <f>L16+3030+664</f>
        <v>3694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0.4443419480767255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6700</v>
      </c>
      <c r="K17" s="15">
        <f>L17+5530+6591+6555+7009+6234+3454+6385+6995+7383+4468+7061+7120+7112+7275</f>
        <v>95870</v>
      </c>
      <c r="L17" s="15">
        <f>3025+3673</f>
        <v>6698</v>
      </c>
      <c r="M17" s="16">
        <f t="shared" si="0"/>
        <v>6698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0.99970149253731344</v>
      </c>
      <c r="AC17" s="9">
        <f t="shared" si="5"/>
        <v>1</v>
      </c>
      <c r="AD17" s="10">
        <f t="shared" si="6"/>
        <v>0.99970149253731344</v>
      </c>
      <c r="AE17" s="39">
        <f t="shared" si="7"/>
        <v>0.4443419480767255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5650</v>
      </c>
      <c r="K18" s="15">
        <f>L18+3442+4857+6103+3605+5831+5901+4875+6279+5633+5015+5887+5920+5827</f>
        <v>74818</v>
      </c>
      <c r="L18" s="15">
        <f>2510+3133</f>
        <v>5643</v>
      </c>
      <c r="M18" s="16">
        <f t="shared" si="0"/>
        <v>5643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0.99876106194690262</v>
      </c>
      <c r="AC18" s="9">
        <f t="shared" si="5"/>
        <v>1</v>
      </c>
      <c r="AD18" s="10">
        <f t="shared" si="6"/>
        <v>0.99876106194690262</v>
      </c>
      <c r="AE18" s="39">
        <f t="shared" si="7"/>
        <v>0.4443419480767255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120</v>
      </c>
      <c r="E19" s="57" t="s">
        <v>205</v>
      </c>
      <c r="F19" s="12" t="s">
        <v>144</v>
      </c>
      <c r="G19" s="36">
        <v>2</v>
      </c>
      <c r="H19" s="13">
        <v>24</v>
      </c>
      <c r="I19" s="7">
        <v>40000</v>
      </c>
      <c r="J19" s="14">
        <v>10066</v>
      </c>
      <c r="K19" s="15">
        <f>L19+9520+11850</f>
        <v>31436</v>
      </c>
      <c r="L19" s="15">
        <f>2111*2+2922*2</f>
        <v>10066</v>
      </c>
      <c r="M19" s="16">
        <f t="shared" si="0"/>
        <v>10066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0.4443419480767255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</f>
        <v>169692</v>
      </c>
      <c r="L20" s="15">
        <f>2619*4</f>
        <v>10476</v>
      </c>
      <c r="M20" s="16">
        <f t="shared" si="0"/>
        <v>10476</v>
      </c>
      <c r="N20" s="16">
        <v>0</v>
      </c>
      <c r="O20" s="62">
        <f t="shared" si="1"/>
        <v>0</v>
      </c>
      <c r="P20" s="42">
        <f t="shared" si="2"/>
        <v>6</v>
      </c>
      <c r="Q20" s="43">
        <f t="shared" si="3"/>
        <v>18</v>
      </c>
      <c r="R20" s="7"/>
      <c r="S20" s="6"/>
      <c r="T20" s="17"/>
      <c r="U20" s="17"/>
      <c r="V20" s="18">
        <v>18</v>
      </c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0.25</v>
      </c>
      <c r="AD20" s="10">
        <f t="shared" si="6"/>
        <v>0.25</v>
      </c>
      <c r="AE20" s="39">
        <f t="shared" si="7"/>
        <v>0.4443419480767255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791700</v>
      </c>
      <c r="J21" s="22">
        <f t="shared" si="9"/>
        <v>113766</v>
      </c>
      <c r="K21" s="23">
        <f t="shared" si="9"/>
        <v>714062</v>
      </c>
      <c r="L21" s="24">
        <f t="shared" si="9"/>
        <v>109061</v>
      </c>
      <c r="M21" s="23">
        <f t="shared" si="9"/>
        <v>109061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160</v>
      </c>
      <c r="Q21" s="46">
        <f t="shared" si="10"/>
        <v>200</v>
      </c>
      <c r="R21" s="26">
        <f t="shared" si="10"/>
        <v>24</v>
      </c>
      <c r="S21" s="27">
        <f t="shared" si="10"/>
        <v>47</v>
      </c>
      <c r="T21" s="27">
        <f t="shared" si="10"/>
        <v>0</v>
      </c>
      <c r="U21" s="27">
        <f t="shared" si="10"/>
        <v>0</v>
      </c>
      <c r="V21" s="28">
        <f t="shared" si="10"/>
        <v>27</v>
      </c>
      <c r="W21" s="29">
        <f t="shared" si="10"/>
        <v>96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6</v>
      </c>
      <c r="AB21" s="31">
        <f>SUM(AB6:AB20)/15</f>
        <v>0.66656417029894777</v>
      </c>
      <c r="AC21" s="4">
        <f>SUM(AC6:AC20)/15</f>
        <v>0.44444444444444442</v>
      </c>
      <c r="AD21" s="4">
        <f>SUM(AD6:AD20)/15</f>
        <v>0.4443419480767255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255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262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190" t="s">
        <v>46</v>
      </c>
      <c r="D50" s="190" t="s">
        <v>47</v>
      </c>
      <c r="E50" s="190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190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126</v>
      </c>
      <c r="B51" s="400"/>
      <c r="C51" s="187" t="s">
        <v>130</v>
      </c>
      <c r="D51" s="187" t="s">
        <v>252</v>
      </c>
      <c r="E51" s="187" t="s">
        <v>256</v>
      </c>
      <c r="F51" s="401" t="s">
        <v>257</v>
      </c>
      <c r="G51" s="402"/>
      <c r="H51" s="402"/>
      <c r="I51" s="402"/>
      <c r="J51" s="402"/>
      <c r="K51" s="402"/>
      <c r="L51" s="402"/>
      <c r="M51" s="403"/>
      <c r="N51" s="186" t="s">
        <v>126</v>
      </c>
      <c r="O51" s="124" t="s">
        <v>130</v>
      </c>
      <c r="P51" s="404" t="s">
        <v>252</v>
      </c>
      <c r="Q51" s="405"/>
      <c r="R51" s="400" t="s">
        <v>256</v>
      </c>
      <c r="S51" s="400"/>
      <c r="T51" s="400"/>
      <c r="U51" s="400"/>
      <c r="V51" s="406" t="s">
        <v>124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126</v>
      </c>
      <c r="B52" s="400"/>
      <c r="C52" s="187" t="s">
        <v>123</v>
      </c>
      <c r="D52" s="187" t="s">
        <v>120</v>
      </c>
      <c r="E52" s="187" t="s">
        <v>147</v>
      </c>
      <c r="F52" s="401" t="s">
        <v>245</v>
      </c>
      <c r="G52" s="402"/>
      <c r="H52" s="402"/>
      <c r="I52" s="402"/>
      <c r="J52" s="402"/>
      <c r="K52" s="402"/>
      <c r="L52" s="402"/>
      <c r="M52" s="403"/>
      <c r="N52" s="186" t="s">
        <v>118</v>
      </c>
      <c r="O52" s="124" t="s">
        <v>230</v>
      </c>
      <c r="P52" s="404" t="s">
        <v>120</v>
      </c>
      <c r="Q52" s="405"/>
      <c r="R52" s="400" t="s">
        <v>246</v>
      </c>
      <c r="S52" s="400"/>
      <c r="T52" s="400"/>
      <c r="U52" s="400"/>
      <c r="V52" s="406" t="s">
        <v>124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118</v>
      </c>
      <c r="B53" s="400"/>
      <c r="C53" s="187" t="s">
        <v>230</v>
      </c>
      <c r="D53" s="187" t="s">
        <v>120</v>
      </c>
      <c r="E53" s="187" t="s">
        <v>246</v>
      </c>
      <c r="F53" s="401" t="s">
        <v>258</v>
      </c>
      <c r="G53" s="402"/>
      <c r="H53" s="402"/>
      <c r="I53" s="402"/>
      <c r="J53" s="402"/>
      <c r="K53" s="402"/>
      <c r="L53" s="402"/>
      <c r="M53" s="403"/>
      <c r="N53" s="186" t="s">
        <v>126</v>
      </c>
      <c r="O53" s="124" t="s">
        <v>125</v>
      </c>
      <c r="P53" s="404" t="s">
        <v>117</v>
      </c>
      <c r="Q53" s="405"/>
      <c r="R53" s="400" t="s">
        <v>247</v>
      </c>
      <c r="S53" s="400"/>
      <c r="T53" s="400"/>
      <c r="U53" s="400"/>
      <c r="V53" s="406" t="s">
        <v>124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126</v>
      </c>
      <c r="B54" s="400"/>
      <c r="C54" s="187" t="s">
        <v>125</v>
      </c>
      <c r="D54" s="187" t="s">
        <v>117</v>
      </c>
      <c r="E54" s="187" t="s">
        <v>247</v>
      </c>
      <c r="F54" s="401" t="s">
        <v>259</v>
      </c>
      <c r="G54" s="402"/>
      <c r="H54" s="402"/>
      <c r="I54" s="402"/>
      <c r="J54" s="402"/>
      <c r="K54" s="402"/>
      <c r="L54" s="402"/>
      <c r="M54" s="403"/>
      <c r="N54" s="186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115</v>
      </c>
      <c r="B55" s="400"/>
      <c r="C55" s="187" t="s">
        <v>261</v>
      </c>
      <c r="D55" s="187"/>
      <c r="E55" s="187" t="s">
        <v>154</v>
      </c>
      <c r="F55" s="401" t="s">
        <v>260</v>
      </c>
      <c r="G55" s="402"/>
      <c r="H55" s="402"/>
      <c r="I55" s="402"/>
      <c r="J55" s="402"/>
      <c r="K55" s="402"/>
      <c r="L55" s="402"/>
      <c r="M55" s="403"/>
      <c r="N55" s="186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187"/>
      <c r="D56" s="187"/>
      <c r="E56" s="187"/>
      <c r="F56" s="401"/>
      <c r="G56" s="402"/>
      <c r="H56" s="402"/>
      <c r="I56" s="402"/>
      <c r="J56" s="402"/>
      <c r="K56" s="402"/>
      <c r="L56" s="402"/>
      <c r="M56" s="403"/>
      <c r="N56" s="186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187"/>
      <c r="D57" s="187"/>
      <c r="E57" s="187"/>
      <c r="F57" s="406"/>
      <c r="G57" s="406"/>
      <c r="H57" s="406"/>
      <c r="I57" s="406"/>
      <c r="J57" s="406"/>
      <c r="K57" s="406"/>
      <c r="L57" s="406"/>
      <c r="M57" s="407"/>
      <c r="N57" s="186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187"/>
      <c r="D58" s="187"/>
      <c r="E58" s="187"/>
      <c r="F58" s="406"/>
      <c r="G58" s="406"/>
      <c r="H58" s="406"/>
      <c r="I58" s="406"/>
      <c r="J58" s="406"/>
      <c r="K58" s="406"/>
      <c r="L58" s="406"/>
      <c r="M58" s="407"/>
      <c r="N58" s="186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187"/>
      <c r="D59" s="187"/>
      <c r="E59" s="187"/>
      <c r="F59" s="406"/>
      <c r="G59" s="406"/>
      <c r="H59" s="406"/>
      <c r="I59" s="406"/>
      <c r="J59" s="406"/>
      <c r="K59" s="406"/>
      <c r="L59" s="406"/>
      <c r="M59" s="407"/>
      <c r="N59" s="186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189"/>
      <c r="D60" s="189"/>
      <c r="E60" s="189"/>
      <c r="F60" s="410"/>
      <c r="G60" s="410"/>
      <c r="H60" s="410"/>
      <c r="I60" s="410"/>
      <c r="J60" s="410"/>
      <c r="K60" s="410"/>
      <c r="L60" s="410"/>
      <c r="M60" s="411"/>
      <c r="N60" s="188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263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185" t="s">
        <v>2</v>
      </c>
      <c r="D62" s="185" t="s">
        <v>37</v>
      </c>
      <c r="E62" s="185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185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126</v>
      </c>
      <c r="D63" s="181"/>
      <c r="E63" s="184" t="s">
        <v>211</v>
      </c>
      <c r="F63" s="423" t="s">
        <v>210</v>
      </c>
      <c r="G63" s="424"/>
      <c r="H63" s="424"/>
      <c r="I63" s="424"/>
      <c r="J63" s="424"/>
      <c r="K63" s="424" t="s">
        <v>212</v>
      </c>
      <c r="L63" s="424"/>
      <c r="M63" s="54" t="s">
        <v>175</v>
      </c>
      <c r="N63" s="424">
        <v>7</v>
      </c>
      <c r="O63" s="424"/>
      <c r="P63" s="425">
        <v>200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/>
      <c r="D64" s="181"/>
      <c r="E64" s="184"/>
      <c r="F64" s="423"/>
      <c r="G64" s="424"/>
      <c r="H64" s="424"/>
      <c r="I64" s="424"/>
      <c r="J64" s="424"/>
      <c r="K64" s="424"/>
      <c r="L64" s="424"/>
      <c r="M64" s="54"/>
      <c r="N64" s="424"/>
      <c r="O64" s="424"/>
      <c r="P64" s="425"/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181"/>
      <c r="E65" s="184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181"/>
      <c r="E66" s="184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181"/>
      <c r="E67" s="184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181"/>
      <c r="E68" s="184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181"/>
      <c r="E69" s="184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181"/>
      <c r="E70" s="184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264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183" t="s">
        <v>2</v>
      </c>
      <c r="D72" s="183" t="s">
        <v>37</v>
      </c>
      <c r="E72" s="183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182" t="s">
        <v>114</v>
      </c>
      <c r="D73" s="182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181"/>
      <c r="D74" s="181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181"/>
      <c r="D75" s="181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181"/>
      <c r="D76" s="181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181"/>
      <c r="D77" s="181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181"/>
      <c r="D78" s="181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181"/>
      <c r="D79" s="181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181"/>
      <c r="D80" s="181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181"/>
      <c r="D81" s="181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265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62D4-E3BB-48BE-AAFD-477770A008A1}">
  <sheetPr>
    <pageSetUpPr fitToPage="1"/>
  </sheetPr>
  <dimension ref="A1:AF86"/>
  <sheetViews>
    <sheetView zoomScale="72" zoomScaleNormal="72" zoomScaleSheetLayoutView="70" workbookViewId="0">
      <selection activeCell="F67" sqref="F67:J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266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192" t="s">
        <v>17</v>
      </c>
      <c r="L5" s="192" t="s">
        <v>18</v>
      </c>
      <c r="M5" s="192" t="s">
        <v>19</v>
      </c>
      <c r="N5" s="19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0.44444444444444442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0.44444444444444442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7012</v>
      </c>
      <c r="K8" s="15">
        <f>L8+4226+6836+7688+6790+7670+5621+7015+7715+6622+7015+7123+7122+7421+6809</f>
        <v>102685</v>
      </c>
      <c r="L8" s="15">
        <f>3450+3562</f>
        <v>7012</v>
      </c>
      <c r="M8" s="16">
        <f t="shared" si="0"/>
        <v>7012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0.44444444444444442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126</v>
      </c>
      <c r="D9" s="55" t="s">
        <v>252</v>
      </c>
      <c r="E9" s="57" t="s">
        <v>253</v>
      </c>
      <c r="F9" s="33" t="s">
        <v>144</v>
      </c>
      <c r="G9" s="36" t="s">
        <v>254</v>
      </c>
      <c r="H9" s="38">
        <v>25</v>
      </c>
      <c r="I9" s="7">
        <v>1000</v>
      </c>
      <c r="J9" s="5">
        <v>2869</v>
      </c>
      <c r="K9" s="15">
        <f>L9+259</f>
        <v>3128</v>
      </c>
      <c r="L9" s="15">
        <f>2300+569</f>
        <v>2869</v>
      </c>
      <c r="M9" s="16">
        <f t="shared" si="0"/>
        <v>2869</v>
      </c>
      <c r="N9" s="16">
        <v>0</v>
      </c>
      <c r="O9" s="62">
        <f t="shared" si="1"/>
        <v>0</v>
      </c>
      <c r="P9" s="42">
        <f t="shared" si="2"/>
        <v>14</v>
      </c>
      <c r="Q9" s="43">
        <f t="shared" si="3"/>
        <v>10</v>
      </c>
      <c r="R9" s="7"/>
      <c r="S9" s="6">
        <v>10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0.58333333333333337</v>
      </c>
      <c r="AD9" s="10">
        <f t="shared" si="6"/>
        <v>0.58333333333333337</v>
      </c>
      <c r="AE9" s="39">
        <f t="shared" si="7"/>
        <v>0.44444444444444442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6356</v>
      </c>
      <c r="K10" s="15">
        <f>L10+3648</f>
        <v>10004</v>
      </c>
      <c r="L10" s="15">
        <f>3126+3230</f>
        <v>6356</v>
      </c>
      <c r="M10" s="16">
        <f t="shared" si="0"/>
        <v>6356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0.44444444444444442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227</v>
      </c>
      <c r="E11" s="57" t="s">
        <v>226</v>
      </c>
      <c r="F11" s="12">
        <v>8301</v>
      </c>
      <c r="G11" s="12">
        <v>1</v>
      </c>
      <c r="H11" s="13">
        <v>25</v>
      </c>
      <c r="I11" s="7">
        <v>2200</v>
      </c>
      <c r="J11" s="14">
        <v>2410</v>
      </c>
      <c r="K11" s="15">
        <f>L11+2410</f>
        <v>2410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0.44444444444444442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246</v>
      </c>
      <c r="F12" s="12" t="s">
        <v>122</v>
      </c>
      <c r="G12" s="12">
        <v>1</v>
      </c>
      <c r="H12" s="13">
        <v>25</v>
      </c>
      <c r="I12" s="7">
        <v>20000</v>
      </c>
      <c r="J12" s="14">
        <v>4721</v>
      </c>
      <c r="K12" s="15">
        <f>L12+1716</f>
        <v>6437</v>
      </c>
      <c r="L12" s="15">
        <f>2788+1933</f>
        <v>4721</v>
      </c>
      <c r="M12" s="16">
        <f t="shared" si="0"/>
        <v>4721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>
        <v>2</v>
      </c>
      <c r="T12" s="17"/>
      <c r="U12" s="17"/>
      <c r="V12" s="18"/>
      <c r="W12" s="19"/>
      <c r="X12" s="17"/>
      <c r="Y12" s="20"/>
      <c r="Z12" s="20"/>
      <c r="AA12" s="21">
        <v>6</v>
      </c>
      <c r="AB12" s="8">
        <f t="shared" si="4"/>
        <v>1</v>
      </c>
      <c r="AC12" s="9">
        <f t="shared" si="5"/>
        <v>0.66666666666666663</v>
      </c>
      <c r="AD12" s="10">
        <f t="shared" si="6"/>
        <v>0.66666666666666663</v>
      </c>
      <c r="AE12" s="39">
        <f t="shared" si="7"/>
        <v>0.44444444444444442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247</v>
      </c>
      <c r="F13" s="12" t="s">
        <v>144</v>
      </c>
      <c r="G13" s="12">
        <v>2</v>
      </c>
      <c r="H13" s="13">
        <v>25</v>
      </c>
      <c r="I13" s="7">
        <v>40000</v>
      </c>
      <c r="J13" s="14">
        <v>886</v>
      </c>
      <c r="K13" s="15">
        <f>L13+886</f>
        <v>886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0.44444444444444442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0.44444444444444442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19229</v>
      </c>
      <c r="K15" s="15">
        <f>L15+32805+66430+67599+62860</f>
        <v>248923</v>
      </c>
      <c r="L15" s="15">
        <f>2747*7</f>
        <v>19229</v>
      </c>
      <c r="M15" s="16">
        <f t="shared" si="0"/>
        <v>19229</v>
      </c>
      <c r="N15" s="16">
        <v>0</v>
      </c>
      <c r="O15" s="62">
        <f t="shared" si="1"/>
        <v>0</v>
      </c>
      <c r="P15" s="42">
        <f t="shared" si="2"/>
        <v>10</v>
      </c>
      <c r="Q15" s="43">
        <f t="shared" si="3"/>
        <v>14</v>
      </c>
      <c r="R15" s="7"/>
      <c r="S15" s="6"/>
      <c r="T15" s="17"/>
      <c r="U15" s="17"/>
      <c r="V15" s="18"/>
      <c r="W15" s="19">
        <v>14</v>
      </c>
      <c r="X15" s="17"/>
      <c r="Y15" s="20"/>
      <c r="Z15" s="20"/>
      <c r="AA15" s="21"/>
      <c r="AB15" s="8">
        <f t="shared" si="4"/>
        <v>1</v>
      </c>
      <c r="AC15" s="9">
        <f t="shared" si="5"/>
        <v>0.41666666666666669</v>
      </c>
      <c r="AD15" s="10">
        <f t="shared" si="6"/>
        <v>0.41666666666666669</v>
      </c>
      <c r="AE15" s="39">
        <f t="shared" si="7"/>
        <v>0.44444444444444442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190</v>
      </c>
      <c r="F16" s="33" t="s">
        <v>199</v>
      </c>
      <c r="G16" s="36">
        <v>1</v>
      </c>
      <c r="H16" s="38">
        <v>24</v>
      </c>
      <c r="I16" s="7">
        <v>3500</v>
      </c>
      <c r="J16" s="5">
        <v>664</v>
      </c>
      <c r="K16" s="15">
        <f>L16+3030+664</f>
        <v>3694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0.44444444444444442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6957</v>
      </c>
      <c r="K17" s="15">
        <f>L17+5530+6591+6555+7009+6234+3454+6385+6995+7383+4468+7061+7120+7112+7275+6698</f>
        <v>102827</v>
      </c>
      <c r="L17" s="15">
        <f>3423+3534</f>
        <v>6957</v>
      </c>
      <c r="M17" s="16">
        <f t="shared" si="0"/>
        <v>6957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0.44444444444444442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5849</v>
      </c>
      <c r="K18" s="15">
        <f>L18+3442+4857+6103+3605+5831+5901+4875+6279+5633+5015+5887+5920+5827+5643</f>
        <v>80667</v>
      </c>
      <c r="L18" s="15">
        <f>2888+2961</f>
        <v>5849</v>
      </c>
      <c r="M18" s="16">
        <f t="shared" si="0"/>
        <v>5849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0.44444444444444442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120</v>
      </c>
      <c r="E19" s="57" t="s">
        <v>205</v>
      </c>
      <c r="F19" s="12" t="s">
        <v>144</v>
      </c>
      <c r="G19" s="36">
        <v>2</v>
      </c>
      <c r="H19" s="13">
        <v>24</v>
      </c>
      <c r="I19" s="7">
        <v>40000</v>
      </c>
      <c r="J19" s="14">
        <v>10964</v>
      </c>
      <c r="K19" s="15">
        <f>L19+9520+11850+10066</f>
        <v>42400</v>
      </c>
      <c r="L19" s="15">
        <f>2707*2+2775*2</f>
        <v>10964</v>
      </c>
      <c r="M19" s="16">
        <f t="shared" si="0"/>
        <v>10964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0.44444444444444442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0.44444444444444442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791700</v>
      </c>
      <c r="J21" s="22">
        <f t="shared" si="9"/>
        <v>80015</v>
      </c>
      <c r="K21" s="23">
        <f t="shared" si="9"/>
        <v>778019</v>
      </c>
      <c r="L21" s="24">
        <f t="shared" si="9"/>
        <v>63957</v>
      </c>
      <c r="M21" s="23">
        <f t="shared" si="9"/>
        <v>63957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160</v>
      </c>
      <c r="Q21" s="46">
        <f t="shared" si="10"/>
        <v>200</v>
      </c>
      <c r="R21" s="26">
        <f t="shared" si="10"/>
        <v>24</v>
      </c>
      <c r="S21" s="27">
        <f t="shared" si="10"/>
        <v>36</v>
      </c>
      <c r="T21" s="27">
        <f t="shared" si="10"/>
        <v>0</v>
      </c>
      <c r="U21" s="27">
        <f t="shared" si="10"/>
        <v>0</v>
      </c>
      <c r="V21" s="28">
        <f t="shared" si="10"/>
        <v>24</v>
      </c>
      <c r="W21" s="29">
        <f t="shared" si="10"/>
        <v>110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6</v>
      </c>
      <c r="AB21" s="31">
        <f>SUM(AB6:AB20)/15</f>
        <v>0.53333333333333333</v>
      </c>
      <c r="AC21" s="4">
        <f>SUM(AC6:AC20)/15</f>
        <v>0.44444444444444442</v>
      </c>
      <c r="AD21" s="4">
        <f>SUM(AD6:AD20)/15</f>
        <v>0.44444444444444442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267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268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193" t="s">
        <v>46</v>
      </c>
      <c r="D50" s="193" t="s">
        <v>47</v>
      </c>
      <c r="E50" s="193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193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126</v>
      </c>
      <c r="B51" s="400"/>
      <c r="C51" s="195" t="s">
        <v>130</v>
      </c>
      <c r="D51" s="195" t="s">
        <v>252</v>
      </c>
      <c r="E51" s="195" t="s">
        <v>256</v>
      </c>
      <c r="F51" s="401" t="s">
        <v>124</v>
      </c>
      <c r="G51" s="402"/>
      <c r="H51" s="402"/>
      <c r="I51" s="402"/>
      <c r="J51" s="402"/>
      <c r="K51" s="402"/>
      <c r="L51" s="402"/>
      <c r="M51" s="403"/>
      <c r="N51" s="194" t="s">
        <v>118</v>
      </c>
      <c r="O51" s="124" t="s">
        <v>130</v>
      </c>
      <c r="P51" s="404" t="s">
        <v>269</v>
      </c>
      <c r="Q51" s="405"/>
      <c r="R51" s="400" t="s">
        <v>270</v>
      </c>
      <c r="S51" s="400"/>
      <c r="T51" s="400"/>
      <c r="U51" s="400"/>
      <c r="V51" s="406" t="s">
        <v>119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118</v>
      </c>
      <c r="B52" s="400"/>
      <c r="C52" s="195" t="s">
        <v>230</v>
      </c>
      <c r="D52" s="195" t="s">
        <v>120</v>
      </c>
      <c r="E52" s="195" t="s">
        <v>246</v>
      </c>
      <c r="F52" s="401" t="s">
        <v>124</v>
      </c>
      <c r="G52" s="402"/>
      <c r="H52" s="402"/>
      <c r="I52" s="402"/>
      <c r="J52" s="402"/>
      <c r="K52" s="402"/>
      <c r="L52" s="402"/>
      <c r="M52" s="403"/>
      <c r="N52" s="194" t="s">
        <v>118</v>
      </c>
      <c r="O52" s="124" t="s">
        <v>230</v>
      </c>
      <c r="P52" s="404" t="s">
        <v>120</v>
      </c>
      <c r="Q52" s="405"/>
      <c r="R52" s="400" t="s">
        <v>246</v>
      </c>
      <c r="S52" s="400"/>
      <c r="T52" s="400"/>
      <c r="U52" s="400"/>
      <c r="V52" s="406" t="s">
        <v>124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/>
      <c r="B53" s="400"/>
      <c r="C53" s="195"/>
      <c r="D53" s="195"/>
      <c r="E53" s="195"/>
      <c r="F53" s="401"/>
      <c r="G53" s="402"/>
      <c r="H53" s="402"/>
      <c r="I53" s="402"/>
      <c r="J53" s="402"/>
      <c r="K53" s="402"/>
      <c r="L53" s="402"/>
      <c r="M53" s="403"/>
      <c r="N53" s="194" t="s">
        <v>126</v>
      </c>
      <c r="O53" s="124" t="s">
        <v>137</v>
      </c>
      <c r="P53" s="404" t="s">
        <v>117</v>
      </c>
      <c r="Q53" s="405"/>
      <c r="R53" s="400" t="s">
        <v>247</v>
      </c>
      <c r="S53" s="400"/>
      <c r="T53" s="400"/>
      <c r="U53" s="400"/>
      <c r="V53" s="406" t="s">
        <v>124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195"/>
      <c r="D54" s="195"/>
      <c r="E54" s="195"/>
      <c r="F54" s="401"/>
      <c r="G54" s="402"/>
      <c r="H54" s="402"/>
      <c r="I54" s="402"/>
      <c r="J54" s="402"/>
      <c r="K54" s="402"/>
      <c r="L54" s="402"/>
      <c r="M54" s="403"/>
      <c r="N54" s="194" t="s">
        <v>118</v>
      </c>
      <c r="O54" s="124" t="s">
        <v>125</v>
      </c>
      <c r="P54" s="404" t="s">
        <v>131</v>
      </c>
      <c r="Q54" s="405"/>
      <c r="R54" s="400" t="s">
        <v>271</v>
      </c>
      <c r="S54" s="400"/>
      <c r="T54" s="400"/>
      <c r="U54" s="400"/>
      <c r="V54" s="406" t="s">
        <v>119</v>
      </c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195"/>
      <c r="D55" s="195"/>
      <c r="E55" s="195"/>
      <c r="F55" s="401"/>
      <c r="G55" s="402"/>
      <c r="H55" s="402"/>
      <c r="I55" s="402"/>
      <c r="J55" s="402"/>
      <c r="K55" s="402"/>
      <c r="L55" s="402"/>
      <c r="M55" s="403"/>
      <c r="N55" s="194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195"/>
      <c r="D56" s="195"/>
      <c r="E56" s="195"/>
      <c r="F56" s="401"/>
      <c r="G56" s="402"/>
      <c r="H56" s="402"/>
      <c r="I56" s="402"/>
      <c r="J56" s="402"/>
      <c r="K56" s="402"/>
      <c r="L56" s="402"/>
      <c r="M56" s="403"/>
      <c r="N56" s="194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195"/>
      <c r="D57" s="195"/>
      <c r="E57" s="195"/>
      <c r="F57" s="406"/>
      <c r="G57" s="406"/>
      <c r="H57" s="406"/>
      <c r="I57" s="406"/>
      <c r="J57" s="406"/>
      <c r="K57" s="406"/>
      <c r="L57" s="406"/>
      <c r="M57" s="407"/>
      <c r="N57" s="194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195"/>
      <c r="D58" s="195"/>
      <c r="E58" s="195"/>
      <c r="F58" s="406"/>
      <c r="G58" s="406"/>
      <c r="H58" s="406"/>
      <c r="I58" s="406"/>
      <c r="J58" s="406"/>
      <c r="K58" s="406"/>
      <c r="L58" s="406"/>
      <c r="M58" s="407"/>
      <c r="N58" s="194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195"/>
      <c r="D59" s="195"/>
      <c r="E59" s="195"/>
      <c r="F59" s="406"/>
      <c r="G59" s="406"/>
      <c r="H59" s="406"/>
      <c r="I59" s="406"/>
      <c r="J59" s="406"/>
      <c r="K59" s="406"/>
      <c r="L59" s="406"/>
      <c r="M59" s="407"/>
      <c r="N59" s="194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197"/>
      <c r="D60" s="197"/>
      <c r="E60" s="197"/>
      <c r="F60" s="410"/>
      <c r="G60" s="410"/>
      <c r="H60" s="410"/>
      <c r="I60" s="410"/>
      <c r="J60" s="410"/>
      <c r="K60" s="410"/>
      <c r="L60" s="410"/>
      <c r="M60" s="411"/>
      <c r="N60" s="196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272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198" t="s">
        <v>2</v>
      </c>
      <c r="D62" s="198" t="s">
        <v>37</v>
      </c>
      <c r="E62" s="198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198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126</v>
      </c>
      <c r="D63" s="201"/>
      <c r="E63" s="199" t="s">
        <v>211</v>
      </c>
      <c r="F63" s="423" t="s">
        <v>210</v>
      </c>
      <c r="G63" s="424"/>
      <c r="H63" s="424"/>
      <c r="I63" s="424"/>
      <c r="J63" s="424"/>
      <c r="K63" s="424" t="s">
        <v>212</v>
      </c>
      <c r="L63" s="424"/>
      <c r="M63" s="54" t="s">
        <v>175</v>
      </c>
      <c r="N63" s="424">
        <v>11</v>
      </c>
      <c r="O63" s="424"/>
      <c r="P63" s="425">
        <v>200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/>
      <c r="D64" s="201"/>
      <c r="E64" s="199"/>
      <c r="F64" s="423"/>
      <c r="G64" s="424"/>
      <c r="H64" s="424"/>
      <c r="I64" s="424"/>
      <c r="J64" s="424"/>
      <c r="K64" s="424"/>
      <c r="L64" s="424"/>
      <c r="M64" s="54"/>
      <c r="N64" s="424"/>
      <c r="O64" s="424"/>
      <c r="P64" s="425"/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201"/>
      <c r="E65" s="199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201"/>
      <c r="E66" s="199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201"/>
      <c r="E67" s="199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201"/>
      <c r="E68" s="199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201"/>
      <c r="E69" s="199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201"/>
      <c r="E70" s="199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273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200" t="s">
        <v>2</v>
      </c>
      <c r="D72" s="200" t="s">
        <v>37</v>
      </c>
      <c r="E72" s="200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202" t="s">
        <v>114</v>
      </c>
      <c r="D73" s="202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201"/>
      <c r="D74" s="201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201"/>
      <c r="D75" s="201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201"/>
      <c r="D76" s="201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201"/>
      <c r="D77" s="201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201"/>
      <c r="D78" s="201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201"/>
      <c r="D79" s="201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201"/>
      <c r="D80" s="201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201"/>
      <c r="D81" s="201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274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1652-B44B-4F06-B48D-D04D807CE428}">
  <sheetPr>
    <pageSetUpPr fitToPage="1"/>
  </sheetPr>
  <dimension ref="A1:AF87"/>
  <sheetViews>
    <sheetView zoomScale="72" zoomScaleNormal="72" zoomScaleSheetLayoutView="70" workbookViewId="0">
      <selection activeCell="K74" sqref="K74:S7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275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13" t="s">
        <v>17</v>
      </c>
      <c r="L5" s="213" t="s">
        <v>18</v>
      </c>
      <c r="M5" s="213" t="s">
        <v>19</v>
      </c>
      <c r="N5" s="21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0.43609649122807015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0.43609649122807015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7150</v>
      </c>
      <c r="K8" s="15">
        <f>L8+4226+6836+7688+6790+7670+5621+7015+7715+6622+7015+7123+7122+7421+6809+7012</f>
        <v>109835</v>
      </c>
      <c r="L8" s="15">
        <f>3733+3417</f>
        <v>7150</v>
      </c>
      <c r="M8" s="16">
        <f t="shared" si="0"/>
        <v>7150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0.43609649122807015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269</v>
      </c>
      <c r="E9" s="57" t="s">
        <v>270</v>
      </c>
      <c r="F9" s="33" t="s">
        <v>276</v>
      </c>
      <c r="G9" s="36">
        <v>32</v>
      </c>
      <c r="H9" s="38">
        <v>25</v>
      </c>
      <c r="I9" s="7">
        <v>100000</v>
      </c>
      <c r="J9" s="5">
        <v>189856</v>
      </c>
      <c r="K9" s="15">
        <f>L9</f>
        <v>189856</v>
      </c>
      <c r="L9" s="15">
        <f>2475*32+3458*32</f>
        <v>189856</v>
      </c>
      <c r="M9" s="16">
        <f t="shared" si="0"/>
        <v>189856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9">
        <f t="shared" si="7"/>
        <v>0.43609649122807015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6488</v>
      </c>
      <c r="K10" s="15">
        <f>L10+3648+6356</f>
        <v>16492</v>
      </c>
      <c r="L10" s="15">
        <f>3387+3101</f>
        <v>6488</v>
      </c>
      <c r="M10" s="16">
        <f t="shared" si="0"/>
        <v>6488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0.43609649122807015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227</v>
      </c>
      <c r="E11" s="57" t="s">
        <v>226</v>
      </c>
      <c r="F11" s="12">
        <v>8301</v>
      </c>
      <c r="G11" s="12">
        <v>1</v>
      </c>
      <c r="H11" s="13">
        <v>25</v>
      </c>
      <c r="I11" s="7">
        <v>2200</v>
      </c>
      <c r="J11" s="14">
        <v>2410</v>
      </c>
      <c r="K11" s="15">
        <f>L11+2410</f>
        <v>2410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0.43609649122807015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246</v>
      </c>
      <c r="F12" s="12" t="s">
        <v>122</v>
      </c>
      <c r="G12" s="12">
        <v>1</v>
      </c>
      <c r="H12" s="13">
        <v>25</v>
      </c>
      <c r="I12" s="7">
        <v>20000</v>
      </c>
      <c r="J12" s="14">
        <v>2765</v>
      </c>
      <c r="K12" s="15">
        <f>L12+1716+4721</f>
        <v>9202</v>
      </c>
      <c r="L12" s="15">
        <v>2765</v>
      </c>
      <c r="M12" s="16">
        <f t="shared" si="0"/>
        <v>2765</v>
      </c>
      <c r="N12" s="16">
        <v>0</v>
      </c>
      <c r="O12" s="62">
        <f t="shared" si="1"/>
        <v>0</v>
      </c>
      <c r="P12" s="42">
        <f t="shared" si="2"/>
        <v>11</v>
      </c>
      <c r="Q12" s="43">
        <f t="shared" si="3"/>
        <v>13</v>
      </c>
      <c r="R12" s="7"/>
      <c r="S12" s="6">
        <v>13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9">
        <f t="shared" si="7"/>
        <v>0.43609649122807015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131</v>
      </c>
      <c r="E13" s="57" t="s">
        <v>271</v>
      </c>
      <c r="F13" s="12" t="s">
        <v>127</v>
      </c>
      <c r="G13" s="12">
        <v>1</v>
      </c>
      <c r="H13" s="13">
        <v>25</v>
      </c>
      <c r="I13" s="7">
        <v>20000</v>
      </c>
      <c r="J13" s="14">
        <v>4180</v>
      </c>
      <c r="K13" s="15">
        <f>L13</f>
        <v>4179</v>
      </c>
      <c r="L13" s="15">
        <f>1600+2579</f>
        <v>4179</v>
      </c>
      <c r="M13" s="16">
        <f t="shared" si="0"/>
        <v>4179</v>
      </c>
      <c r="N13" s="16">
        <v>0</v>
      </c>
      <c r="O13" s="62">
        <f t="shared" si="1"/>
        <v>0</v>
      </c>
      <c r="P13" s="42">
        <f t="shared" si="2"/>
        <v>22</v>
      </c>
      <c r="Q13" s="43">
        <f t="shared" si="3"/>
        <v>2</v>
      </c>
      <c r="R13" s="7"/>
      <c r="S13" s="6"/>
      <c r="T13" s="17">
        <v>2</v>
      </c>
      <c r="U13" s="17"/>
      <c r="V13" s="18"/>
      <c r="W13" s="19"/>
      <c r="X13" s="17"/>
      <c r="Y13" s="20"/>
      <c r="Z13" s="20"/>
      <c r="AA13" s="21"/>
      <c r="AB13" s="8">
        <f t="shared" si="4"/>
        <v>0.99976076555023918</v>
      </c>
      <c r="AC13" s="9">
        <f t="shared" si="5"/>
        <v>0.91666666666666663</v>
      </c>
      <c r="AD13" s="10">
        <f t="shared" si="6"/>
        <v>0.91644736842105257</v>
      </c>
      <c r="AE13" s="39">
        <f t="shared" si="7"/>
        <v>0.43609649122807015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0.43609649122807015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19229</v>
      </c>
      <c r="K15" s="15">
        <f>L15+32805+66430+67599+62860+19229</f>
        <v>248923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0.43609649122807015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190</v>
      </c>
      <c r="F16" s="33" t="s">
        <v>199</v>
      </c>
      <c r="G16" s="36">
        <v>1</v>
      </c>
      <c r="H16" s="38">
        <v>24</v>
      </c>
      <c r="I16" s="7">
        <v>3500</v>
      </c>
      <c r="J16" s="5">
        <v>664</v>
      </c>
      <c r="K16" s="15">
        <f>L16+3030+664</f>
        <v>3694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0.43609649122807015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7074</v>
      </c>
      <c r="K17" s="15">
        <f>L17+5530+6591+6555+7009+6234+3454+6385+6995+7383+4468+7061+7120+7112+7275+6698+6957</f>
        <v>109901</v>
      </c>
      <c r="L17" s="15">
        <f>3684+3390</f>
        <v>7074</v>
      </c>
      <c r="M17" s="16">
        <f t="shared" si="0"/>
        <v>7074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0.43609649122807015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5831</v>
      </c>
      <c r="K18" s="15">
        <f>L18+3442+4857+6103+3605+5831+5901+4875+6279+5633+5015+5887+5920+5827+5643+5849</f>
        <v>86498</v>
      </c>
      <c r="L18" s="15">
        <f>3015+2816</f>
        <v>5831</v>
      </c>
      <c r="M18" s="16">
        <f t="shared" si="0"/>
        <v>5831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0.43609649122807015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120</v>
      </c>
      <c r="E19" s="57" t="s">
        <v>205</v>
      </c>
      <c r="F19" s="12" t="s">
        <v>144</v>
      </c>
      <c r="G19" s="36">
        <v>2</v>
      </c>
      <c r="H19" s="13">
        <v>24</v>
      </c>
      <c r="I19" s="7">
        <v>40000</v>
      </c>
      <c r="J19" s="14">
        <v>2920</v>
      </c>
      <c r="K19" s="15">
        <f>L19+9520+11850+10066+10964</f>
        <v>45320</v>
      </c>
      <c r="L19" s="15">
        <f>1460*2</f>
        <v>2920</v>
      </c>
      <c r="M19" s="16">
        <f t="shared" ref="M19" si="9">L19-N19</f>
        <v>2920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5</v>
      </c>
      <c r="Q19" s="43">
        <f t="shared" ref="Q19" si="12">SUM(R19:AA19)</f>
        <v>19</v>
      </c>
      <c r="R19" s="7"/>
      <c r="S19" s="6"/>
      <c r="T19" s="17"/>
      <c r="U19" s="17"/>
      <c r="V19" s="18"/>
      <c r="W19" s="19">
        <v>19</v>
      </c>
      <c r="X19" s="17"/>
      <c r="Y19" s="20"/>
      <c r="Z19" s="20"/>
      <c r="AA19" s="21"/>
      <c r="AB19" s="8">
        <f t="shared" ref="AB19" si="13">IF(J19=0,"0",(L19/J19))</f>
        <v>1</v>
      </c>
      <c r="AC19" s="9">
        <f t="shared" ref="AC19" si="14">IF(P19=0,"0",(P19/24))</f>
        <v>0.20833333333333334</v>
      </c>
      <c r="AD19" s="10">
        <f t="shared" ref="AD19" si="15">AC19*AB19*(1-O19)</f>
        <v>0.20833333333333334</v>
      </c>
      <c r="AE19" s="39">
        <f t="shared" si="7"/>
        <v>0.43609649122807015</v>
      </c>
      <c r="AF19" s="93">
        <f t="shared" ref="AF19" si="16">A19</f>
        <v>14</v>
      </c>
    </row>
    <row r="20" spans="1:32" ht="27" customHeight="1">
      <c r="A20" s="109">
        <v>14</v>
      </c>
      <c r="B20" s="11" t="s">
        <v>57</v>
      </c>
      <c r="C20" s="11" t="s">
        <v>126</v>
      </c>
      <c r="D20" s="55" t="s">
        <v>117</v>
      </c>
      <c r="E20" s="57" t="s">
        <v>247</v>
      </c>
      <c r="F20" s="12" t="s">
        <v>144</v>
      </c>
      <c r="G20" s="36">
        <v>2</v>
      </c>
      <c r="H20" s="13">
        <v>24</v>
      </c>
      <c r="I20" s="7">
        <v>40000</v>
      </c>
      <c r="J20" s="14">
        <v>2920</v>
      </c>
      <c r="K20" s="15">
        <f>L20</f>
        <v>0</v>
      </c>
      <c r="L20" s="15">
        <f>0</f>
        <v>0</v>
      </c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0.43609649122807015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154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>
        <v>24</v>
      </c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0.43609649122807015</v>
      </c>
      <c r="AF21" s="93">
        <f t="shared" si="8"/>
        <v>15</v>
      </c>
    </row>
    <row r="22" spans="1:32" ht="31.5" customHeight="1" thickBot="1">
      <c r="A22" s="372" t="s">
        <v>34</v>
      </c>
      <c r="B22" s="373"/>
      <c r="C22" s="373"/>
      <c r="D22" s="373"/>
      <c r="E22" s="373"/>
      <c r="F22" s="373"/>
      <c r="G22" s="373"/>
      <c r="H22" s="374"/>
      <c r="I22" s="25">
        <f t="shared" ref="I22:N22" si="17">SUM(I6:I21)</f>
        <v>910700</v>
      </c>
      <c r="J22" s="22">
        <f t="shared" si="17"/>
        <v>263585</v>
      </c>
      <c r="K22" s="23">
        <f t="shared" si="17"/>
        <v>1000268</v>
      </c>
      <c r="L22" s="24">
        <f t="shared" si="17"/>
        <v>226263</v>
      </c>
      <c r="M22" s="23">
        <f t="shared" si="17"/>
        <v>226263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157</v>
      </c>
      <c r="Q22" s="46">
        <f t="shared" si="18"/>
        <v>227</v>
      </c>
      <c r="R22" s="26">
        <f t="shared" si="18"/>
        <v>24</v>
      </c>
      <c r="S22" s="27">
        <f t="shared" si="18"/>
        <v>37</v>
      </c>
      <c r="T22" s="27">
        <f t="shared" si="18"/>
        <v>3</v>
      </c>
      <c r="U22" s="27">
        <f t="shared" si="18"/>
        <v>0</v>
      </c>
      <c r="V22" s="28">
        <f t="shared" si="18"/>
        <v>24</v>
      </c>
      <c r="W22" s="29">
        <f t="shared" si="18"/>
        <v>139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0.53331738437001597</v>
      </c>
      <c r="AC22" s="4">
        <f>SUM(AC6:AC21)/15</f>
        <v>0.43611111111111112</v>
      </c>
      <c r="AD22" s="4">
        <f>SUM(AD6:AD21)/15</f>
        <v>0.43609649122807015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5" t="s">
        <v>45</v>
      </c>
      <c r="B49" s="375"/>
      <c r="C49" s="375"/>
      <c r="D49" s="375"/>
      <c r="E49" s="37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6" t="s">
        <v>277</v>
      </c>
      <c r="B50" s="377"/>
      <c r="C50" s="377"/>
      <c r="D50" s="377"/>
      <c r="E50" s="377"/>
      <c r="F50" s="377"/>
      <c r="G50" s="377"/>
      <c r="H50" s="377"/>
      <c r="I50" s="377"/>
      <c r="J50" s="377"/>
      <c r="K50" s="377"/>
      <c r="L50" s="377"/>
      <c r="M50" s="378"/>
      <c r="N50" s="379" t="s">
        <v>281</v>
      </c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0"/>
      <c r="AA50" s="380"/>
      <c r="AB50" s="380"/>
      <c r="AC50" s="380"/>
      <c r="AD50" s="381"/>
    </row>
    <row r="51" spans="1:32" ht="27" customHeight="1">
      <c r="A51" s="382" t="s">
        <v>2</v>
      </c>
      <c r="B51" s="383"/>
      <c r="C51" s="212" t="s">
        <v>46</v>
      </c>
      <c r="D51" s="212" t="s">
        <v>47</v>
      </c>
      <c r="E51" s="212" t="s">
        <v>108</v>
      </c>
      <c r="F51" s="383" t="s">
        <v>107</v>
      </c>
      <c r="G51" s="383"/>
      <c r="H51" s="383"/>
      <c r="I51" s="383"/>
      <c r="J51" s="383"/>
      <c r="K51" s="383"/>
      <c r="L51" s="383"/>
      <c r="M51" s="384"/>
      <c r="N51" s="73" t="s">
        <v>112</v>
      </c>
      <c r="O51" s="212" t="s">
        <v>46</v>
      </c>
      <c r="P51" s="385" t="s">
        <v>47</v>
      </c>
      <c r="Q51" s="386"/>
      <c r="R51" s="385" t="s">
        <v>38</v>
      </c>
      <c r="S51" s="387"/>
      <c r="T51" s="387"/>
      <c r="U51" s="386"/>
      <c r="V51" s="385" t="s">
        <v>48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99" t="s">
        <v>118</v>
      </c>
      <c r="B52" s="400"/>
      <c r="C52" s="209" t="s">
        <v>130</v>
      </c>
      <c r="D52" s="209" t="s">
        <v>269</v>
      </c>
      <c r="E52" s="209" t="s">
        <v>270</v>
      </c>
      <c r="F52" s="401" t="s">
        <v>119</v>
      </c>
      <c r="G52" s="402"/>
      <c r="H52" s="402"/>
      <c r="I52" s="402"/>
      <c r="J52" s="402"/>
      <c r="K52" s="402"/>
      <c r="L52" s="402"/>
      <c r="M52" s="403"/>
      <c r="N52" s="208" t="s">
        <v>118</v>
      </c>
      <c r="O52" s="124" t="s">
        <v>230</v>
      </c>
      <c r="P52" s="404" t="s">
        <v>120</v>
      </c>
      <c r="Q52" s="405"/>
      <c r="R52" s="400" t="s">
        <v>246</v>
      </c>
      <c r="S52" s="400"/>
      <c r="T52" s="400"/>
      <c r="U52" s="400"/>
      <c r="V52" s="406" t="s">
        <v>124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118</v>
      </c>
      <c r="B53" s="400"/>
      <c r="C53" s="209" t="s">
        <v>230</v>
      </c>
      <c r="D53" s="209" t="s">
        <v>120</v>
      </c>
      <c r="E53" s="209" t="s">
        <v>246</v>
      </c>
      <c r="F53" s="401" t="s">
        <v>278</v>
      </c>
      <c r="G53" s="402"/>
      <c r="H53" s="402"/>
      <c r="I53" s="402"/>
      <c r="J53" s="402"/>
      <c r="K53" s="402"/>
      <c r="L53" s="402"/>
      <c r="M53" s="403"/>
      <c r="N53" s="208" t="s">
        <v>126</v>
      </c>
      <c r="O53" s="124" t="s">
        <v>137</v>
      </c>
      <c r="P53" s="404" t="s">
        <v>117</v>
      </c>
      <c r="Q53" s="405"/>
      <c r="R53" s="400" t="s">
        <v>247</v>
      </c>
      <c r="S53" s="400"/>
      <c r="T53" s="400"/>
      <c r="U53" s="400"/>
      <c r="V53" s="406" t="s">
        <v>124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118</v>
      </c>
      <c r="B54" s="400"/>
      <c r="C54" s="209" t="s">
        <v>125</v>
      </c>
      <c r="D54" s="209" t="s">
        <v>131</v>
      </c>
      <c r="E54" s="209" t="s">
        <v>271</v>
      </c>
      <c r="F54" s="401" t="s">
        <v>279</v>
      </c>
      <c r="G54" s="402"/>
      <c r="H54" s="402"/>
      <c r="I54" s="402"/>
      <c r="J54" s="402"/>
      <c r="K54" s="402"/>
      <c r="L54" s="402"/>
      <c r="M54" s="403"/>
      <c r="N54" s="208" t="s">
        <v>118</v>
      </c>
      <c r="O54" s="124" t="s">
        <v>125</v>
      </c>
      <c r="P54" s="404" t="s">
        <v>131</v>
      </c>
      <c r="Q54" s="405"/>
      <c r="R54" s="400" t="s">
        <v>271</v>
      </c>
      <c r="S54" s="400"/>
      <c r="T54" s="400"/>
      <c r="U54" s="400"/>
      <c r="V54" s="406" t="s">
        <v>119</v>
      </c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126</v>
      </c>
      <c r="B55" s="400"/>
      <c r="C55" s="209" t="s">
        <v>137</v>
      </c>
      <c r="D55" s="209" t="s">
        <v>117</v>
      </c>
      <c r="E55" s="209" t="s">
        <v>247</v>
      </c>
      <c r="F55" s="401" t="s">
        <v>280</v>
      </c>
      <c r="G55" s="402"/>
      <c r="H55" s="402"/>
      <c r="I55" s="402"/>
      <c r="J55" s="402"/>
      <c r="K55" s="402"/>
      <c r="L55" s="402"/>
      <c r="M55" s="403"/>
      <c r="N55" s="208" t="s">
        <v>126</v>
      </c>
      <c r="O55" s="124" t="s">
        <v>184</v>
      </c>
      <c r="P55" s="404" t="s">
        <v>117</v>
      </c>
      <c r="Q55" s="405"/>
      <c r="R55" s="400" t="s">
        <v>282</v>
      </c>
      <c r="S55" s="400"/>
      <c r="T55" s="400"/>
      <c r="U55" s="400"/>
      <c r="V55" s="406" t="s">
        <v>146</v>
      </c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209"/>
      <c r="D56" s="209"/>
      <c r="E56" s="209"/>
      <c r="F56" s="401"/>
      <c r="G56" s="402"/>
      <c r="H56" s="402"/>
      <c r="I56" s="402"/>
      <c r="J56" s="402"/>
      <c r="K56" s="402"/>
      <c r="L56" s="402"/>
      <c r="M56" s="403"/>
      <c r="N56" s="208" t="s">
        <v>126</v>
      </c>
      <c r="O56" s="124" t="s">
        <v>191</v>
      </c>
      <c r="P56" s="400" t="s">
        <v>283</v>
      </c>
      <c r="Q56" s="400"/>
      <c r="R56" s="400" t="s">
        <v>210</v>
      </c>
      <c r="S56" s="400"/>
      <c r="T56" s="400"/>
      <c r="U56" s="400"/>
      <c r="V56" s="406" t="s">
        <v>245</v>
      </c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209"/>
      <c r="D57" s="209"/>
      <c r="E57" s="209"/>
      <c r="F57" s="401"/>
      <c r="G57" s="402"/>
      <c r="H57" s="402"/>
      <c r="I57" s="402"/>
      <c r="J57" s="402"/>
      <c r="K57" s="402"/>
      <c r="L57" s="402"/>
      <c r="M57" s="403"/>
      <c r="N57" s="208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209"/>
      <c r="D58" s="209"/>
      <c r="E58" s="209"/>
      <c r="F58" s="406"/>
      <c r="G58" s="406"/>
      <c r="H58" s="406"/>
      <c r="I58" s="406"/>
      <c r="J58" s="406"/>
      <c r="K58" s="406"/>
      <c r="L58" s="406"/>
      <c r="M58" s="407"/>
      <c r="N58" s="208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209"/>
      <c r="D59" s="209"/>
      <c r="E59" s="209"/>
      <c r="F59" s="406"/>
      <c r="G59" s="406"/>
      <c r="H59" s="406"/>
      <c r="I59" s="406"/>
      <c r="J59" s="406"/>
      <c r="K59" s="406"/>
      <c r="L59" s="406"/>
      <c r="M59" s="407"/>
      <c r="N59" s="208"/>
      <c r="O59" s="124"/>
      <c r="P59" s="404"/>
      <c r="Q59" s="405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</row>
    <row r="60" spans="1:32" ht="27" customHeight="1">
      <c r="A60" s="399"/>
      <c r="B60" s="400"/>
      <c r="C60" s="209"/>
      <c r="D60" s="209"/>
      <c r="E60" s="209"/>
      <c r="F60" s="406"/>
      <c r="G60" s="406"/>
      <c r="H60" s="406"/>
      <c r="I60" s="406"/>
      <c r="J60" s="406"/>
      <c r="K60" s="406"/>
      <c r="L60" s="406"/>
      <c r="M60" s="407"/>
      <c r="N60" s="208"/>
      <c r="O60" s="124"/>
      <c r="P60" s="400"/>
      <c r="Q60" s="400"/>
      <c r="R60" s="400"/>
      <c r="S60" s="400"/>
      <c r="T60" s="400"/>
      <c r="U60" s="400"/>
      <c r="V60" s="406"/>
      <c r="W60" s="406"/>
      <c r="X60" s="406"/>
      <c r="Y60" s="406"/>
      <c r="Z60" s="406"/>
      <c r="AA60" s="406"/>
      <c r="AB60" s="406"/>
      <c r="AC60" s="406"/>
      <c r="AD60" s="407"/>
      <c r="AF60" s="93">
        <f>8*3000</f>
        <v>24000</v>
      </c>
    </row>
    <row r="61" spans="1:32" ht="27" customHeight="1" thickBot="1">
      <c r="A61" s="408"/>
      <c r="B61" s="409"/>
      <c r="C61" s="211"/>
      <c r="D61" s="211"/>
      <c r="E61" s="211"/>
      <c r="F61" s="410"/>
      <c r="G61" s="410"/>
      <c r="H61" s="410"/>
      <c r="I61" s="410"/>
      <c r="J61" s="410"/>
      <c r="K61" s="410"/>
      <c r="L61" s="410"/>
      <c r="M61" s="411"/>
      <c r="N61" s="210"/>
      <c r="O61" s="120"/>
      <c r="P61" s="409"/>
      <c r="Q61" s="409"/>
      <c r="R61" s="409"/>
      <c r="S61" s="409"/>
      <c r="T61" s="409"/>
      <c r="U61" s="409"/>
      <c r="V61" s="412"/>
      <c r="W61" s="412"/>
      <c r="X61" s="412"/>
      <c r="Y61" s="412"/>
      <c r="Z61" s="412"/>
      <c r="AA61" s="412"/>
      <c r="AB61" s="412"/>
      <c r="AC61" s="412"/>
      <c r="AD61" s="413"/>
      <c r="AF61" s="93">
        <f>16*3000</f>
        <v>48000</v>
      </c>
    </row>
    <row r="62" spans="1:32" ht="27.75" thickBot="1">
      <c r="A62" s="414" t="s">
        <v>284</v>
      </c>
      <c r="B62" s="414"/>
      <c r="C62" s="414"/>
      <c r="D62" s="414"/>
      <c r="E62" s="41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15" t="s">
        <v>113</v>
      </c>
      <c r="B63" s="416"/>
      <c r="C63" s="207" t="s">
        <v>2</v>
      </c>
      <c r="D63" s="207" t="s">
        <v>37</v>
      </c>
      <c r="E63" s="207" t="s">
        <v>3</v>
      </c>
      <c r="F63" s="416" t="s">
        <v>110</v>
      </c>
      <c r="G63" s="416"/>
      <c r="H63" s="416"/>
      <c r="I63" s="416"/>
      <c r="J63" s="416"/>
      <c r="K63" s="416" t="s">
        <v>39</v>
      </c>
      <c r="L63" s="416"/>
      <c r="M63" s="207" t="s">
        <v>40</v>
      </c>
      <c r="N63" s="416" t="s">
        <v>41</v>
      </c>
      <c r="O63" s="416"/>
      <c r="P63" s="417" t="s">
        <v>42</v>
      </c>
      <c r="Q63" s="418"/>
      <c r="R63" s="417" t="s">
        <v>43</v>
      </c>
      <c r="S63" s="419"/>
      <c r="T63" s="419"/>
      <c r="U63" s="419"/>
      <c r="V63" s="419"/>
      <c r="W63" s="419"/>
      <c r="X63" s="419"/>
      <c r="Y63" s="419"/>
      <c r="Z63" s="419"/>
      <c r="AA63" s="418"/>
      <c r="AB63" s="416" t="s">
        <v>44</v>
      </c>
      <c r="AC63" s="416"/>
      <c r="AD63" s="420"/>
      <c r="AF63" s="93">
        <f>SUM(AF60:AF62)</f>
        <v>96000</v>
      </c>
    </row>
    <row r="64" spans="1:32" ht="25.5" customHeight="1">
      <c r="A64" s="421">
        <v>1</v>
      </c>
      <c r="B64" s="422"/>
      <c r="C64" s="123" t="s">
        <v>114</v>
      </c>
      <c r="D64" s="203"/>
      <c r="E64" s="206" t="s">
        <v>117</v>
      </c>
      <c r="F64" s="423" t="s">
        <v>285</v>
      </c>
      <c r="G64" s="424"/>
      <c r="H64" s="424"/>
      <c r="I64" s="424"/>
      <c r="J64" s="424"/>
      <c r="K64" s="424" t="s">
        <v>138</v>
      </c>
      <c r="L64" s="424"/>
      <c r="M64" s="54" t="s">
        <v>286</v>
      </c>
      <c r="N64" s="424">
        <v>8</v>
      </c>
      <c r="O64" s="424"/>
      <c r="P64" s="425">
        <v>50</v>
      </c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2</v>
      </c>
      <c r="B65" s="422"/>
      <c r="C65" s="123" t="s">
        <v>118</v>
      </c>
      <c r="D65" s="203"/>
      <c r="E65" s="206" t="s">
        <v>134</v>
      </c>
      <c r="F65" s="423" t="s">
        <v>140</v>
      </c>
      <c r="G65" s="424"/>
      <c r="H65" s="424"/>
      <c r="I65" s="424"/>
      <c r="J65" s="424"/>
      <c r="K65" s="424" t="s">
        <v>136</v>
      </c>
      <c r="L65" s="424"/>
      <c r="M65" s="54" t="s">
        <v>170</v>
      </c>
      <c r="N65" s="424">
        <v>9</v>
      </c>
      <c r="O65" s="424"/>
      <c r="P65" s="425"/>
      <c r="Q65" s="425"/>
      <c r="R65" s="406" t="s">
        <v>287</v>
      </c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3</v>
      </c>
      <c r="B66" s="422"/>
      <c r="C66" s="123" t="s">
        <v>118</v>
      </c>
      <c r="D66" s="203"/>
      <c r="E66" s="206" t="s">
        <v>134</v>
      </c>
      <c r="F66" s="423" t="s">
        <v>288</v>
      </c>
      <c r="G66" s="424"/>
      <c r="H66" s="424"/>
      <c r="I66" s="424"/>
      <c r="J66" s="424"/>
      <c r="K66" s="424" t="s">
        <v>136</v>
      </c>
      <c r="L66" s="424"/>
      <c r="M66" s="54" t="s">
        <v>170</v>
      </c>
      <c r="N66" s="424">
        <v>9</v>
      </c>
      <c r="O66" s="424"/>
      <c r="P66" s="425">
        <v>50</v>
      </c>
      <c r="Q66" s="425"/>
      <c r="R66" s="406" t="s">
        <v>289</v>
      </c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4</v>
      </c>
      <c r="B67" s="422"/>
      <c r="C67" s="123" t="s">
        <v>114</v>
      </c>
      <c r="D67" s="203"/>
      <c r="E67" s="206" t="s">
        <v>291</v>
      </c>
      <c r="F67" s="423" t="s">
        <v>290</v>
      </c>
      <c r="G67" s="424"/>
      <c r="H67" s="424"/>
      <c r="I67" s="424"/>
      <c r="J67" s="424"/>
      <c r="K67" s="424">
        <v>8301</v>
      </c>
      <c r="L67" s="424"/>
      <c r="M67" s="54" t="s">
        <v>286</v>
      </c>
      <c r="N67" s="424">
        <v>10</v>
      </c>
      <c r="O67" s="424"/>
      <c r="P67" s="425">
        <v>50</v>
      </c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5</v>
      </c>
      <c r="B68" s="422"/>
      <c r="C68" s="123"/>
      <c r="D68" s="203"/>
      <c r="E68" s="206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6</v>
      </c>
      <c r="B69" s="422"/>
      <c r="C69" s="123"/>
      <c r="D69" s="203"/>
      <c r="E69" s="206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7</v>
      </c>
      <c r="B70" s="422"/>
      <c r="C70" s="123"/>
      <c r="D70" s="203"/>
      <c r="E70" s="206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5.5" customHeight="1">
      <c r="A71" s="421">
        <v>8</v>
      </c>
      <c r="B71" s="422"/>
      <c r="C71" s="123"/>
      <c r="D71" s="203"/>
      <c r="E71" s="206"/>
      <c r="F71" s="423"/>
      <c r="G71" s="424"/>
      <c r="H71" s="424"/>
      <c r="I71" s="424"/>
      <c r="J71" s="424"/>
      <c r="K71" s="424"/>
      <c r="L71" s="424"/>
      <c r="M71" s="54"/>
      <c r="N71" s="424"/>
      <c r="O71" s="424"/>
      <c r="P71" s="425"/>
      <c r="Q71" s="425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24"/>
      <c r="AC71" s="424"/>
      <c r="AD71" s="426"/>
      <c r="AF71" s="53"/>
    </row>
    <row r="72" spans="1:32" ht="26.25" customHeight="1" thickBot="1">
      <c r="A72" s="427" t="s">
        <v>292</v>
      </c>
      <c r="B72" s="427"/>
      <c r="C72" s="427"/>
      <c r="D72" s="427"/>
      <c r="E72" s="427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8" t="s">
        <v>113</v>
      </c>
      <c r="B73" s="429"/>
      <c r="C73" s="205" t="s">
        <v>2</v>
      </c>
      <c r="D73" s="205" t="s">
        <v>37</v>
      </c>
      <c r="E73" s="205" t="s">
        <v>3</v>
      </c>
      <c r="F73" s="429" t="s">
        <v>38</v>
      </c>
      <c r="G73" s="429"/>
      <c r="H73" s="429"/>
      <c r="I73" s="429"/>
      <c r="J73" s="429"/>
      <c r="K73" s="430" t="s">
        <v>58</v>
      </c>
      <c r="L73" s="431"/>
      <c r="M73" s="431"/>
      <c r="N73" s="431"/>
      <c r="O73" s="431"/>
      <c r="P73" s="431"/>
      <c r="Q73" s="431"/>
      <c r="R73" s="431"/>
      <c r="S73" s="432"/>
      <c r="T73" s="429" t="s">
        <v>49</v>
      </c>
      <c r="U73" s="429"/>
      <c r="V73" s="430" t="s">
        <v>50</v>
      </c>
      <c r="W73" s="432"/>
      <c r="X73" s="431" t="s">
        <v>51</v>
      </c>
      <c r="Y73" s="431"/>
      <c r="Z73" s="431"/>
      <c r="AA73" s="431"/>
      <c r="AB73" s="431"/>
      <c r="AC73" s="431"/>
      <c r="AD73" s="433"/>
      <c r="AF73" s="53"/>
    </row>
    <row r="74" spans="1:32" ht="33.75" customHeight="1">
      <c r="A74" s="442">
        <v>1</v>
      </c>
      <c r="B74" s="443"/>
      <c r="C74" s="204" t="s">
        <v>114</v>
      </c>
      <c r="D74" s="204"/>
      <c r="E74" s="71" t="s">
        <v>133</v>
      </c>
      <c r="F74" s="444" t="s">
        <v>132</v>
      </c>
      <c r="G74" s="445"/>
      <c r="H74" s="445"/>
      <c r="I74" s="445"/>
      <c r="J74" s="446"/>
      <c r="K74" s="447" t="s">
        <v>135</v>
      </c>
      <c r="L74" s="448"/>
      <c r="M74" s="448"/>
      <c r="N74" s="448"/>
      <c r="O74" s="448"/>
      <c r="P74" s="448"/>
      <c r="Q74" s="448"/>
      <c r="R74" s="448"/>
      <c r="S74" s="449"/>
      <c r="T74" s="450">
        <v>43384</v>
      </c>
      <c r="U74" s="451"/>
      <c r="V74" s="452"/>
      <c r="W74" s="452"/>
      <c r="X74" s="453"/>
      <c r="Y74" s="453"/>
      <c r="Z74" s="453"/>
      <c r="AA74" s="453"/>
      <c r="AB74" s="453"/>
      <c r="AC74" s="453"/>
      <c r="AD74" s="454"/>
      <c r="AF74" s="53"/>
    </row>
    <row r="75" spans="1:32" ht="30" customHeight="1">
      <c r="A75" s="434">
        <f>A74+1</f>
        <v>2</v>
      </c>
      <c r="B75" s="435"/>
      <c r="C75" s="203"/>
      <c r="D75" s="203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ref="A76:A82" si="19">A75+1</f>
        <v>3</v>
      </c>
      <c r="B76" s="435"/>
      <c r="C76" s="203"/>
      <c r="D76" s="203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9"/>
        <v>4</v>
      </c>
      <c r="B77" s="435"/>
      <c r="C77" s="203"/>
      <c r="D77" s="203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9"/>
        <v>5</v>
      </c>
      <c r="B78" s="435"/>
      <c r="C78" s="203"/>
      <c r="D78" s="203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9"/>
        <v>6</v>
      </c>
      <c r="B79" s="435"/>
      <c r="C79" s="203"/>
      <c r="D79" s="203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9"/>
        <v>7</v>
      </c>
      <c r="B80" s="435"/>
      <c r="C80" s="203"/>
      <c r="D80" s="203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9"/>
        <v>8</v>
      </c>
      <c r="B81" s="435"/>
      <c r="C81" s="203"/>
      <c r="D81" s="203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0" customHeight="1">
      <c r="A82" s="434">
        <f t="shared" si="19"/>
        <v>9</v>
      </c>
      <c r="B82" s="435"/>
      <c r="C82" s="203"/>
      <c r="D82" s="203"/>
      <c r="E82" s="35"/>
      <c r="F82" s="435"/>
      <c r="G82" s="435"/>
      <c r="H82" s="435"/>
      <c r="I82" s="435"/>
      <c r="J82" s="435"/>
      <c r="K82" s="436"/>
      <c r="L82" s="437"/>
      <c r="M82" s="437"/>
      <c r="N82" s="437"/>
      <c r="O82" s="437"/>
      <c r="P82" s="437"/>
      <c r="Q82" s="437"/>
      <c r="R82" s="437"/>
      <c r="S82" s="438"/>
      <c r="T82" s="439"/>
      <c r="U82" s="439"/>
      <c r="V82" s="439"/>
      <c r="W82" s="439"/>
      <c r="X82" s="440"/>
      <c r="Y82" s="440"/>
      <c r="Z82" s="440"/>
      <c r="AA82" s="440"/>
      <c r="AB82" s="440"/>
      <c r="AC82" s="440"/>
      <c r="AD82" s="441"/>
      <c r="AF82" s="53"/>
    </row>
    <row r="83" spans="1:32" ht="36" thickBot="1">
      <c r="A83" s="427" t="s">
        <v>293</v>
      </c>
      <c r="B83" s="427"/>
      <c r="C83" s="427"/>
      <c r="D83" s="427"/>
      <c r="E83" s="427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8" t="s">
        <v>113</v>
      </c>
      <c r="B84" s="429"/>
      <c r="C84" s="455" t="s">
        <v>52</v>
      </c>
      <c r="D84" s="455"/>
      <c r="E84" s="455" t="s">
        <v>53</v>
      </c>
      <c r="F84" s="455"/>
      <c r="G84" s="455"/>
      <c r="H84" s="455"/>
      <c r="I84" s="455"/>
      <c r="J84" s="455"/>
      <c r="K84" s="455" t="s">
        <v>54</v>
      </c>
      <c r="L84" s="455"/>
      <c r="M84" s="455"/>
      <c r="N84" s="455"/>
      <c r="O84" s="455"/>
      <c r="P84" s="455"/>
      <c r="Q84" s="455"/>
      <c r="R84" s="455"/>
      <c r="S84" s="455"/>
      <c r="T84" s="455" t="s">
        <v>55</v>
      </c>
      <c r="U84" s="455"/>
      <c r="V84" s="455" t="s">
        <v>56</v>
      </c>
      <c r="W84" s="455"/>
      <c r="X84" s="455"/>
      <c r="Y84" s="455" t="s">
        <v>51</v>
      </c>
      <c r="Z84" s="455"/>
      <c r="AA84" s="455"/>
      <c r="AB84" s="455"/>
      <c r="AC84" s="455"/>
      <c r="AD84" s="456"/>
      <c r="AF84" s="53"/>
    </row>
    <row r="85" spans="1:32" ht="30.75" customHeight="1">
      <c r="A85" s="442">
        <v>1</v>
      </c>
      <c r="B85" s="443"/>
      <c r="C85" s="457"/>
      <c r="D85" s="457"/>
      <c r="E85" s="457"/>
      <c r="F85" s="457"/>
      <c r="G85" s="457"/>
      <c r="H85" s="457"/>
      <c r="I85" s="457"/>
      <c r="J85" s="457"/>
      <c r="K85" s="457"/>
      <c r="L85" s="457"/>
      <c r="M85" s="457"/>
      <c r="N85" s="457"/>
      <c r="O85" s="457"/>
      <c r="P85" s="457"/>
      <c r="Q85" s="457"/>
      <c r="R85" s="457"/>
      <c r="S85" s="457"/>
      <c r="T85" s="457"/>
      <c r="U85" s="457"/>
      <c r="V85" s="458"/>
      <c r="W85" s="458"/>
      <c r="X85" s="458"/>
      <c r="Y85" s="459"/>
      <c r="Z85" s="459"/>
      <c r="AA85" s="459"/>
      <c r="AB85" s="459"/>
      <c r="AC85" s="459"/>
      <c r="AD85" s="460"/>
      <c r="AF85" s="53"/>
    </row>
    <row r="86" spans="1:32" ht="30.75" customHeight="1">
      <c r="A86" s="434">
        <v>2</v>
      </c>
      <c r="B86" s="435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9"/>
      <c r="U86" s="469"/>
      <c r="V86" s="470"/>
      <c r="W86" s="470"/>
      <c r="X86" s="470"/>
      <c r="Y86" s="461"/>
      <c r="Z86" s="461"/>
      <c r="AA86" s="461"/>
      <c r="AB86" s="461"/>
      <c r="AC86" s="461"/>
      <c r="AD86" s="462"/>
      <c r="AF86" s="53"/>
    </row>
    <row r="87" spans="1:32" ht="30.75" customHeight="1" thickBot="1">
      <c r="A87" s="463">
        <v>3</v>
      </c>
      <c r="B87" s="464"/>
      <c r="C87" s="465"/>
      <c r="D87" s="465"/>
      <c r="E87" s="465"/>
      <c r="F87" s="465"/>
      <c r="G87" s="465"/>
      <c r="H87" s="465"/>
      <c r="I87" s="465"/>
      <c r="J87" s="465"/>
      <c r="K87" s="465"/>
      <c r="L87" s="465"/>
      <c r="M87" s="465"/>
      <c r="N87" s="465"/>
      <c r="O87" s="465"/>
      <c r="P87" s="465"/>
      <c r="Q87" s="465"/>
      <c r="R87" s="465"/>
      <c r="S87" s="465"/>
      <c r="T87" s="465"/>
      <c r="U87" s="465"/>
      <c r="V87" s="465"/>
      <c r="W87" s="465"/>
      <c r="X87" s="465"/>
      <c r="Y87" s="466"/>
      <c r="Z87" s="466"/>
      <c r="AA87" s="466"/>
      <c r="AB87" s="466"/>
      <c r="AC87" s="466"/>
      <c r="AD87" s="467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3EDB-03C3-41FB-AD6F-CE0CFFDEF4D8}">
  <sheetPr>
    <pageSetUpPr fitToPage="1"/>
  </sheetPr>
  <dimension ref="A1:AF86"/>
  <sheetViews>
    <sheetView zoomScale="72" zoomScaleNormal="72" zoomScaleSheetLayoutView="70" workbookViewId="0">
      <selection activeCell="T12" sqref="T1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294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14" t="s">
        <v>17</v>
      </c>
      <c r="L5" s="214" t="s">
        <v>18</v>
      </c>
      <c r="M5" s="214" t="s">
        <v>19</v>
      </c>
      <c r="N5" s="21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0.39722222222222225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0.39722222222222225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7008</v>
      </c>
      <c r="K8" s="15">
        <f>L8+4226+6836+7688+6790+7670+5621+7015+7715+6622+7015+7123+7122+7421+6809+7012+7150</f>
        <v>116843</v>
      </c>
      <c r="L8" s="15">
        <f>3741+3267</f>
        <v>7008</v>
      </c>
      <c r="M8" s="16">
        <f t="shared" si="0"/>
        <v>7008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0.39722222222222225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118</v>
      </c>
      <c r="D9" s="55" t="s">
        <v>269</v>
      </c>
      <c r="E9" s="57" t="s">
        <v>270</v>
      </c>
      <c r="F9" s="33" t="s">
        <v>276</v>
      </c>
      <c r="G9" s="36">
        <v>32</v>
      </c>
      <c r="H9" s="38">
        <v>25</v>
      </c>
      <c r="I9" s="7">
        <v>100000</v>
      </c>
      <c r="J9" s="5">
        <v>139232</v>
      </c>
      <c r="K9" s="15">
        <f>L9+189856</f>
        <v>329088</v>
      </c>
      <c r="L9" s="15">
        <f>1291*32+3060*32</f>
        <v>139232</v>
      </c>
      <c r="M9" s="16">
        <f t="shared" si="0"/>
        <v>139232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1</v>
      </c>
      <c r="AD9" s="10">
        <f t="shared" si="6"/>
        <v>1</v>
      </c>
      <c r="AE9" s="39">
        <f t="shared" si="7"/>
        <v>0.39722222222222225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6387</v>
      </c>
      <c r="K10" s="15">
        <f>L10+3648+6356+6488</f>
        <v>22879</v>
      </c>
      <c r="L10" s="15">
        <f>3403+2984</f>
        <v>6387</v>
      </c>
      <c r="M10" s="16">
        <f t="shared" si="0"/>
        <v>6387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0.39722222222222225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227</v>
      </c>
      <c r="E11" s="57" t="s">
        <v>226</v>
      </c>
      <c r="F11" s="12">
        <v>8301</v>
      </c>
      <c r="G11" s="12">
        <v>1</v>
      </c>
      <c r="H11" s="13">
        <v>25</v>
      </c>
      <c r="I11" s="7">
        <v>2200</v>
      </c>
      <c r="J11" s="14">
        <v>2410</v>
      </c>
      <c r="K11" s="15">
        <f>L11+2410</f>
        <v>2410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0.39722222222222225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118</v>
      </c>
      <c r="D12" s="55" t="s">
        <v>120</v>
      </c>
      <c r="E12" s="57" t="s">
        <v>246</v>
      </c>
      <c r="F12" s="12" t="s">
        <v>122</v>
      </c>
      <c r="G12" s="12">
        <v>1</v>
      </c>
      <c r="H12" s="13">
        <v>25</v>
      </c>
      <c r="I12" s="7">
        <v>20000</v>
      </c>
      <c r="J12" s="14">
        <v>4857</v>
      </c>
      <c r="K12" s="15">
        <f>L12+1716+4721+2765</f>
        <v>14059</v>
      </c>
      <c r="L12" s="15">
        <f>3024+1833</f>
        <v>4857</v>
      </c>
      <c r="M12" s="16">
        <f t="shared" si="0"/>
        <v>4857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>
        <v>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9">
        <f t="shared" si="7"/>
        <v>0.39722222222222225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131</v>
      </c>
      <c r="E13" s="57" t="s">
        <v>271</v>
      </c>
      <c r="F13" s="12" t="s">
        <v>127</v>
      </c>
      <c r="G13" s="12">
        <v>1</v>
      </c>
      <c r="H13" s="13">
        <v>25</v>
      </c>
      <c r="I13" s="7">
        <v>20000</v>
      </c>
      <c r="J13" s="14">
        <v>2505</v>
      </c>
      <c r="K13" s="15">
        <f>L13+4179</f>
        <v>6684</v>
      </c>
      <c r="L13" s="15">
        <v>2505</v>
      </c>
      <c r="M13" s="16">
        <f t="shared" si="0"/>
        <v>2505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>
        <v>12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9">
        <f t="shared" si="7"/>
        <v>0.39722222222222225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118</v>
      </c>
      <c r="D14" s="55" t="s">
        <v>134</v>
      </c>
      <c r="E14" s="57" t="s">
        <v>140</v>
      </c>
      <c r="F14" s="33" t="s">
        <v>136</v>
      </c>
      <c r="G14" s="36">
        <v>1</v>
      </c>
      <c r="H14" s="38">
        <v>25</v>
      </c>
      <c r="I14" s="7">
        <v>5000</v>
      </c>
      <c r="J14" s="5">
        <v>1622</v>
      </c>
      <c r="K14" s="15">
        <f>L14+618+2026+1622</f>
        <v>4266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0.39722222222222225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19229</v>
      </c>
      <c r="K15" s="15">
        <f>L15+32805+66430+67599+62860+19229</f>
        <v>248923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0.39722222222222225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283</v>
      </c>
      <c r="E16" s="57" t="s">
        <v>210</v>
      </c>
      <c r="F16" s="33" t="s">
        <v>212</v>
      </c>
      <c r="G16" s="36">
        <v>4</v>
      </c>
      <c r="H16" s="38">
        <v>24</v>
      </c>
      <c r="I16" s="7">
        <v>30000</v>
      </c>
      <c r="J16" s="5">
        <v>600</v>
      </c>
      <c r="K16" s="15">
        <f>L16</f>
        <v>600</v>
      </c>
      <c r="L16" s="15">
        <f>150*4</f>
        <v>600</v>
      </c>
      <c r="M16" s="16">
        <f t="shared" si="0"/>
        <v>600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/>
      <c r="S16" s="6">
        <v>20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9">
        <f t="shared" si="7"/>
        <v>0.39722222222222225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6704</v>
      </c>
      <c r="K17" s="15">
        <f>L17+5530+6591+6555+7009+6234+3454+6385+6995+7383+4468+7061+7120+7112+7275+6698+6957+7074</f>
        <v>116605</v>
      </c>
      <c r="L17" s="15">
        <f>3149+3555</f>
        <v>6704</v>
      </c>
      <c r="M17" s="16">
        <f t="shared" si="0"/>
        <v>6704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0.39722222222222225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2164</v>
      </c>
      <c r="K18" s="15">
        <f>L18+3442+4857+6103+3605+5831+5901+4875+6279+5633+5015+5887+5920+5827+5643+5849+5831</f>
        <v>88662</v>
      </c>
      <c r="L18" s="15">
        <f>1320+844</f>
        <v>2164</v>
      </c>
      <c r="M18" s="16">
        <f t="shared" si="0"/>
        <v>2164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>
        <v>14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9">
        <f t="shared" si="7"/>
        <v>0.39722222222222225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247</v>
      </c>
      <c r="F19" s="12" t="s">
        <v>144</v>
      </c>
      <c r="G19" s="36">
        <v>2</v>
      </c>
      <c r="H19" s="13">
        <v>24</v>
      </c>
      <c r="I19" s="7">
        <v>40000</v>
      </c>
      <c r="J19" s="14">
        <v>2920</v>
      </c>
      <c r="K19" s="15">
        <f>L19</f>
        <v>0</v>
      </c>
      <c r="L19" s="15">
        <f>0</f>
        <v>0</v>
      </c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0.39722222222222225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0.39722222222222225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897200</v>
      </c>
      <c r="J21" s="22">
        <f t="shared" si="9"/>
        <v>206114</v>
      </c>
      <c r="K21" s="23">
        <f t="shared" si="9"/>
        <v>1120711</v>
      </c>
      <c r="L21" s="24">
        <f t="shared" si="9"/>
        <v>169457</v>
      </c>
      <c r="M21" s="23">
        <f t="shared" si="9"/>
        <v>169457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143</v>
      </c>
      <c r="Q21" s="46">
        <f t="shared" si="10"/>
        <v>217</v>
      </c>
      <c r="R21" s="26">
        <f t="shared" si="10"/>
        <v>24</v>
      </c>
      <c r="S21" s="27">
        <f t="shared" si="10"/>
        <v>73</v>
      </c>
      <c r="T21" s="27">
        <f t="shared" si="10"/>
        <v>0</v>
      </c>
      <c r="U21" s="27">
        <f t="shared" si="10"/>
        <v>0</v>
      </c>
      <c r="V21" s="28">
        <f t="shared" si="10"/>
        <v>24</v>
      </c>
      <c r="W21" s="29">
        <f t="shared" si="10"/>
        <v>96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0.53333333333333333</v>
      </c>
      <c r="AC21" s="4">
        <f>SUM(AC6:AC20)/15</f>
        <v>0.39722222222222225</v>
      </c>
      <c r="AD21" s="4">
        <f>SUM(AD6:AD20)/15</f>
        <v>0.39722222222222225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295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298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215" t="s">
        <v>46</v>
      </c>
      <c r="D50" s="215" t="s">
        <v>47</v>
      </c>
      <c r="E50" s="215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215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118</v>
      </c>
      <c r="B51" s="400"/>
      <c r="C51" s="217" t="s">
        <v>230</v>
      </c>
      <c r="D51" s="217" t="s">
        <v>120</v>
      </c>
      <c r="E51" s="217" t="s">
        <v>246</v>
      </c>
      <c r="F51" s="401" t="s">
        <v>124</v>
      </c>
      <c r="G51" s="402"/>
      <c r="H51" s="402"/>
      <c r="I51" s="402"/>
      <c r="J51" s="402"/>
      <c r="K51" s="402"/>
      <c r="L51" s="402"/>
      <c r="M51" s="403"/>
      <c r="N51" s="216" t="s">
        <v>126</v>
      </c>
      <c r="O51" s="124" t="s">
        <v>137</v>
      </c>
      <c r="P51" s="404" t="s">
        <v>117</v>
      </c>
      <c r="Q51" s="405"/>
      <c r="R51" s="400" t="s">
        <v>247</v>
      </c>
      <c r="S51" s="400"/>
      <c r="T51" s="400"/>
      <c r="U51" s="400"/>
      <c r="V51" s="406" t="s">
        <v>124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118</v>
      </c>
      <c r="B52" s="400"/>
      <c r="C52" s="217" t="s">
        <v>125</v>
      </c>
      <c r="D52" s="217" t="s">
        <v>131</v>
      </c>
      <c r="E52" s="217" t="s">
        <v>271</v>
      </c>
      <c r="F52" s="401" t="s">
        <v>296</v>
      </c>
      <c r="G52" s="402"/>
      <c r="H52" s="402"/>
      <c r="I52" s="402"/>
      <c r="J52" s="402"/>
      <c r="K52" s="402"/>
      <c r="L52" s="402"/>
      <c r="M52" s="403"/>
      <c r="N52" s="216" t="s">
        <v>126</v>
      </c>
      <c r="O52" s="124" t="s">
        <v>184</v>
      </c>
      <c r="P52" s="404" t="s">
        <v>117</v>
      </c>
      <c r="Q52" s="405"/>
      <c r="R52" s="400" t="s">
        <v>282</v>
      </c>
      <c r="S52" s="400"/>
      <c r="T52" s="400"/>
      <c r="U52" s="400"/>
      <c r="V52" s="406" t="s">
        <v>124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126</v>
      </c>
      <c r="B53" s="400"/>
      <c r="C53" s="217" t="s">
        <v>191</v>
      </c>
      <c r="D53" s="217" t="s">
        <v>283</v>
      </c>
      <c r="E53" s="217" t="s">
        <v>210</v>
      </c>
      <c r="F53" s="401" t="s">
        <v>257</v>
      </c>
      <c r="G53" s="402"/>
      <c r="H53" s="402"/>
      <c r="I53" s="402"/>
      <c r="J53" s="402"/>
      <c r="K53" s="402"/>
      <c r="L53" s="402"/>
      <c r="M53" s="403"/>
      <c r="N53" s="216" t="s">
        <v>126</v>
      </c>
      <c r="O53" s="124" t="s">
        <v>191</v>
      </c>
      <c r="P53" s="400" t="s">
        <v>283</v>
      </c>
      <c r="Q53" s="400"/>
      <c r="R53" s="400" t="s">
        <v>210</v>
      </c>
      <c r="S53" s="400"/>
      <c r="T53" s="400"/>
      <c r="U53" s="400"/>
      <c r="V53" s="406" t="s">
        <v>124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126</v>
      </c>
      <c r="B54" s="400"/>
      <c r="C54" s="217" t="s">
        <v>184</v>
      </c>
      <c r="D54" s="217" t="s">
        <v>117</v>
      </c>
      <c r="E54" s="217" t="s">
        <v>142</v>
      </c>
      <c r="F54" s="401" t="s">
        <v>297</v>
      </c>
      <c r="G54" s="402"/>
      <c r="H54" s="402"/>
      <c r="I54" s="402"/>
      <c r="J54" s="402"/>
      <c r="K54" s="402"/>
      <c r="L54" s="402"/>
      <c r="M54" s="403"/>
      <c r="N54" s="216" t="s">
        <v>204</v>
      </c>
      <c r="O54" s="124" t="s">
        <v>228</v>
      </c>
      <c r="P54" s="404" t="s">
        <v>134</v>
      </c>
      <c r="Q54" s="405"/>
      <c r="R54" s="400" t="s">
        <v>299</v>
      </c>
      <c r="S54" s="400"/>
      <c r="T54" s="400"/>
      <c r="U54" s="400"/>
      <c r="V54" s="406" t="s">
        <v>119</v>
      </c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217"/>
      <c r="D55" s="217"/>
      <c r="E55" s="217"/>
      <c r="F55" s="401"/>
      <c r="G55" s="402"/>
      <c r="H55" s="402"/>
      <c r="I55" s="402"/>
      <c r="J55" s="402"/>
      <c r="K55" s="402"/>
      <c r="L55" s="402"/>
      <c r="M55" s="403"/>
      <c r="N55" s="216" t="s">
        <v>114</v>
      </c>
      <c r="O55" s="124" t="s">
        <v>130</v>
      </c>
      <c r="P55" s="400" t="s">
        <v>131</v>
      </c>
      <c r="Q55" s="400"/>
      <c r="R55" s="400" t="s">
        <v>240</v>
      </c>
      <c r="S55" s="400"/>
      <c r="T55" s="400"/>
      <c r="U55" s="400"/>
      <c r="V55" s="406" t="s">
        <v>119</v>
      </c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217"/>
      <c r="D56" s="217"/>
      <c r="E56" s="217"/>
      <c r="F56" s="401"/>
      <c r="G56" s="402"/>
      <c r="H56" s="402"/>
      <c r="I56" s="402"/>
      <c r="J56" s="402"/>
      <c r="K56" s="402"/>
      <c r="L56" s="402"/>
      <c r="M56" s="403"/>
      <c r="N56" s="216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217"/>
      <c r="D57" s="217"/>
      <c r="E57" s="217"/>
      <c r="F57" s="406"/>
      <c r="G57" s="406"/>
      <c r="H57" s="406"/>
      <c r="I57" s="406"/>
      <c r="J57" s="406"/>
      <c r="K57" s="406"/>
      <c r="L57" s="406"/>
      <c r="M57" s="407"/>
      <c r="N57" s="216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217"/>
      <c r="D58" s="217"/>
      <c r="E58" s="217"/>
      <c r="F58" s="406"/>
      <c r="G58" s="406"/>
      <c r="H58" s="406"/>
      <c r="I58" s="406"/>
      <c r="J58" s="406"/>
      <c r="K58" s="406"/>
      <c r="L58" s="406"/>
      <c r="M58" s="407"/>
      <c r="N58" s="216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217"/>
      <c r="D59" s="217"/>
      <c r="E59" s="217"/>
      <c r="F59" s="406"/>
      <c r="G59" s="406"/>
      <c r="H59" s="406"/>
      <c r="I59" s="406"/>
      <c r="J59" s="406"/>
      <c r="K59" s="406"/>
      <c r="L59" s="406"/>
      <c r="M59" s="407"/>
      <c r="N59" s="216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219"/>
      <c r="D60" s="219"/>
      <c r="E60" s="219"/>
      <c r="F60" s="410"/>
      <c r="G60" s="410"/>
      <c r="H60" s="410"/>
      <c r="I60" s="410"/>
      <c r="J60" s="410"/>
      <c r="K60" s="410"/>
      <c r="L60" s="410"/>
      <c r="M60" s="411"/>
      <c r="N60" s="218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300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220" t="s">
        <v>2</v>
      </c>
      <c r="D62" s="220" t="s">
        <v>37</v>
      </c>
      <c r="E62" s="220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220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114</v>
      </c>
      <c r="D63" s="223"/>
      <c r="E63" s="221" t="s">
        <v>120</v>
      </c>
      <c r="F63" s="423" t="s">
        <v>301</v>
      </c>
      <c r="G63" s="424"/>
      <c r="H63" s="424"/>
      <c r="I63" s="424"/>
      <c r="J63" s="424"/>
      <c r="K63" s="424" t="s">
        <v>302</v>
      </c>
      <c r="L63" s="424"/>
      <c r="M63" s="54" t="s">
        <v>286</v>
      </c>
      <c r="N63" s="424">
        <v>13</v>
      </c>
      <c r="O63" s="424"/>
      <c r="P63" s="425" t="s">
        <v>303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/>
      <c r="D64" s="223"/>
      <c r="E64" s="221"/>
      <c r="F64" s="423"/>
      <c r="G64" s="424"/>
      <c r="H64" s="424"/>
      <c r="I64" s="424"/>
      <c r="J64" s="424"/>
      <c r="K64" s="424"/>
      <c r="L64" s="424"/>
      <c r="M64" s="54"/>
      <c r="N64" s="424"/>
      <c r="O64" s="424"/>
      <c r="P64" s="425"/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223"/>
      <c r="E65" s="221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223"/>
      <c r="E66" s="221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223"/>
      <c r="E67" s="221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223"/>
      <c r="E68" s="221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223"/>
      <c r="E69" s="221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223"/>
      <c r="E70" s="221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304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222" t="s">
        <v>2</v>
      </c>
      <c r="D72" s="222" t="s">
        <v>37</v>
      </c>
      <c r="E72" s="222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224" t="s">
        <v>114</v>
      </c>
      <c r="D73" s="224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223"/>
      <c r="D74" s="223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223"/>
      <c r="D75" s="223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223"/>
      <c r="D76" s="223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223"/>
      <c r="D77" s="223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223"/>
      <c r="D78" s="223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223"/>
      <c r="D79" s="223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223"/>
      <c r="D80" s="223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223"/>
      <c r="D81" s="223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305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19F-89D9-4864-81AC-3D7D81F97846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306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35" t="s">
        <v>17</v>
      </c>
      <c r="L5" s="235" t="s">
        <v>18</v>
      </c>
      <c r="M5" s="235" t="s">
        <v>19</v>
      </c>
      <c r="N5" s="2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0.46388888888888891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0.46388888888888891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7231</v>
      </c>
      <c r="K8" s="15">
        <f>L8+4226+6836+7688+6790+7670+5621+7015+7715+6622+7015+7123+7122+7421+6809+7012+7150+7008</f>
        <v>124074</v>
      </c>
      <c r="L8" s="15">
        <f>3601+3630</f>
        <v>7231</v>
      </c>
      <c r="M8" s="16">
        <f t="shared" si="0"/>
        <v>7231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0.46388888888888891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114</v>
      </c>
      <c r="D9" s="55" t="s">
        <v>131</v>
      </c>
      <c r="E9" s="57" t="s">
        <v>240</v>
      </c>
      <c r="F9" s="33" t="s">
        <v>139</v>
      </c>
      <c r="G9" s="36">
        <v>1</v>
      </c>
      <c r="H9" s="38">
        <v>25</v>
      </c>
      <c r="I9" s="7">
        <v>500</v>
      </c>
      <c r="J9" s="5">
        <v>335</v>
      </c>
      <c r="K9" s="15">
        <f>L9</f>
        <v>335</v>
      </c>
      <c r="L9" s="15">
        <v>335</v>
      </c>
      <c r="M9" s="16">
        <f t="shared" si="0"/>
        <v>335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1</v>
      </c>
      <c r="AC9" s="9">
        <f t="shared" si="5"/>
        <v>0.16666666666666666</v>
      </c>
      <c r="AD9" s="10">
        <f t="shared" si="6"/>
        <v>0.16666666666666666</v>
      </c>
      <c r="AE9" s="39">
        <f t="shared" si="7"/>
        <v>0.46388888888888891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37" t="s">
        <v>114</v>
      </c>
      <c r="D10" s="55" t="s">
        <v>173</v>
      </c>
      <c r="E10" s="57" t="s">
        <v>307</v>
      </c>
      <c r="F10" s="33" t="s">
        <v>218</v>
      </c>
      <c r="G10" s="36">
        <v>1</v>
      </c>
      <c r="H10" s="38">
        <v>25</v>
      </c>
      <c r="I10" s="7">
        <v>500</v>
      </c>
      <c r="J10" s="5">
        <v>1166</v>
      </c>
      <c r="K10" s="15">
        <f>L10</f>
        <v>1166</v>
      </c>
      <c r="L10" s="15">
        <v>1166</v>
      </c>
      <c r="M10" s="16">
        <f t="shared" ref="M10" si="9">L10-N10</f>
        <v>1166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7</v>
      </c>
      <c r="Q10" s="43">
        <f t="shared" ref="Q10" si="12">SUM(R10:AA10)</f>
        <v>17</v>
      </c>
      <c r="R10" s="7"/>
      <c r="S10" s="6"/>
      <c r="T10" s="17"/>
      <c r="U10" s="17"/>
      <c r="V10" s="18"/>
      <c r="W10" s="19">
        <v>17</v>
      </c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0.29166666666666669</v>
      </c>
      <c r="AD10" s="10">
        <f t="shared" ref="AD10" si="15">AC10*AB10*(1-O10)</f>
        <v>0.29166666666666669</v>
      </c>
      <c r="AE10" s="39">
        <f t="shared" si="7"/>
        <v>0.46388888888888891</v>
      </c>
      <c r="AF10" s="93">
        <f t="shared" ref="AF10" si="16">A10</f>
        <v>4</v>
      </c>
    </row>
    <row r="11" spans="1:32" ht="27" customHeight="1">
      <c r="A11" s="109">
        <v>5</v>
      </c>
      <c r="B11" s="11" t="s">
        <v>57</v>
      </c>
      <c r="C11" s="11" t="s">
        <v>126</v>
      </c>
      <c r="D11" s="55" t="s">
        <v>120</v>
      </c>
      <c r="E11" s="57" t="s">
        <v>147</v>
      </c>
      <c r="F11" s="12" t="s">
        <v>122</v>
      </c>
      <c r="G11" s="12">
        <v>1</v>
      </c>
      <c r="H11" s="13">
        <v>25</v>
      </c>
      <c r="I11" s="7">
        <v>70000</v>
      </c>
      <c r="J11" s="14">
        <v>7137</v>
      </c>
      <c r="K11" s="15">
        <f>L11+3648+6356+6488+6387</f>
        <v>30016</v>
      </c>
      <c r="L11" s="15">
        <f>3645+3492</f>
        <v>7137</v>
      </c>
      <c r="M11" s="16">
        <f t="shared" si="0"/>
        <v>7137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0.46388888888888891</v>
      </c>
      <c r="AF11" s="93">
        <f t="shared" si="8"/>
        <v>5</v>
      </c>
    </row>
    <row r="12" spans="1:32" ht="27" customHeight="1">
      <c r="A12" s="109">
        <v>6</v>
      </c>
      <c r="B12" s="11" t="s">
        <v>57</v>
      </c>
      <c r="C12" s="11" t="s">
        <v>204</v>
      </c>
      <c r="D12" s="55" t="s">
        <v>134</v>
      </c>
      <c r="E12" s="57" t="s">
        <v>299</v>
      </c>
      <c r="F12" s="12" t="s">
        <v>149</v>
      </c>
      <c r="G12" s="12">
        <v>1</v>
      </c>
      <c r="H12" s="13">
        <v>25</v>
      </c>
      <c r="I12" s="7">
        <v>1000</v>
      </c>
      <c r="J12" s="14">
        <v>2410</v>
      </c>
      <c r="K12" s="15">
        <f>L12</f>
        <v>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22</v>
      </c>
      <c r="T12" s="17">
        <v>2</v>
      </c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0.46388888888888891</v>
      </c>
      <c r="AF12" s="93">
        <f t="shared" si="8"/>
        <v>6</v>
      </c>
    </row>
    <row r="13" spans="1:32" ht="27" customHeight="1">
      <c r="A13" s="109">
        <v>7</v>
      </c>
      <c r="B13" s="11" t="s">
        <v>57</v>
      </c>
      <c r="C13" s="11" t="s">
        <v>126</v>
      </c>
      <c r="D13" s="55" t="s">
        <v>283</v>
      </c>
      <c r="E13" s="57" t="s">
        <v>210</v>
      </c>
      <c r="F13" s="33" t="s">
        <v>212</v>
      </c>
      <c r="G13" s="36">
        <v>4</v>
      </c>
      <c r="H13" s="38">
        <v>24</v>
      </c>
      <c r="I13" s="7">
        <v>21000</v>
      </c>
      <c r="J13" s="14">
        <v>27656</v>
      </c>
      <c r="K13" s="15">
        <f>L13</f>
        <v>27656</v>
      </c>
      <c r="L13" s="15">
        <f>5334*4+1580*4</f>
        <v>27656</v>
      </c>
      <c r="M13" s="16">
        <f t="shared" si="0"/>
        <v>27656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9">
        <f t="shared" si="7"/>
        <v>0.46388888888888891</v>
      </c>
      <c r="AF13" s="93">
        <f t="shared" si="8"/>
        <v>7</v>
      </c>
    </row>
    <row r="14" spans="1:32" ht="27" customHeight="1">
      <c r="A14" s="109">
        <v>8</v>
      </c>
      <c r="B14" s="11" t="s">
        <v>57</v>
      </c>
      <c r="C14" s="11" t="s">
        <v>118</v>
      </c>
      <c r="D14" s="55" t="s">
        <v>131</v>
      </c>
      <c r="E14" s="57" t="s">
        <v>271</v>
      </c>
      <c r="F14" s="12" t="s">
        <v>127</v>
      </c>
      <c r="G14" s="12">
        <v>1</v>
      </c>
      <c r="H14" s="13">
        <v>25</v>
      </c>
      <c r="I14" s="7">
        <v>20000</v>
      </c>
      <c r="J14" s="14">
        <v>6064</v>
      </c>
      <c r="K14" s="15">
        <f>L14+4179+2505</f>
        <v>12748</v>
      </c>
      <c r="L14" s="15">
        <f>3077+2987</f>
        <v>6064</v>
      </c>
      <c r="M14" s="16">
        <f t="shared" si="0"/>
        <v>6064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1</v>
      </c>
      <c r="AD14" s="10">
        <f t="shared" si="6"/>
        <v>1</v>
      </c>
      <c r="AE14" s="39">
        <f t="shared" si="7"/>
        <v>0.46388888888888891</v>
      </c>
      <c r="AF14" s="93">
        <f t="shared" si="8"/>
        <v>8</v>
      </c>
    </row>
    <row r="15" spans="1:32" ht="27" customHeight="1">
      <c r="A15" s="125">
        <v>9</v>
      </c>
      <c r="B15" s="11" t="s">
        <v>57</v>
      </c>
      <c r="C15" s="37" t="s">
        <v>118</v>
      </c>
      <c r="D15" s="55" t="s">
        <v>134</v>
      </c>
      <c r="E15" s="57" t="s">
        <v>140</v>
      </c>
      <c r="F15" s="33" t="s">
        <v>136</v>
      </c>
      <c r="G15" s="36">
        <v>1</v>
      </c>
      <c r="H15" s="38">
        <v>25</v>
      </c>
      <c r="I15" s="7">
        <v>5000</v>
      </c>
      <c r="J15" s="5">
        <v>1622</v>
      </c>
      <c r="K15" s="15">
        <f>L15+618+2026+1622</f>
        <v>4266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0.46388888888888891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188</v>
      </c>
      <c r="D16" s="55" t="s">
        <v>197</v>
      </c>
      <c r="E16" s="57" t="s">
        <v>187</v>
      </c>
      <c r="F16" s="12" t="s">
        <v>198</v>
      </c>
      <c r="G16" s="12">
        <v>1</v>
      </c>
      <c r="H16" s="13">
        <v>24</v>
      </c>
      <c r="I16" s="34">
        <v>100000</v>
      </c>
      <c r="J16" s="14">
        <v>19229</v>
      </c>
      <c r="K16" s="15">
        <f>L16+32805+66430+67599+62860+19229</f>
        <v>248923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0.46388888888888891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126</v>
      </c>
      <c r="D17" s="55" t="s">
        <v>283</v>
      </c>
      <c r="E17" s="57" t="s">
        <v>210</v>
      </c>
      <c r="F17" s="33" t="s">
        <v>212</v>
      </c>
      <c r="G17" s="36">
        <v>4</v>
      </c>
      <c r="H17" s="38">
        <v>24</v>
      </c>
      <c r="I17" s="7">
        <v>30000</v>
      </c>
      <c r="J17" s="5">
        <v>600</v>
      </c>
      <c r="K17" s="15">
        <f>L17+600</f>
        <v>600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0.46388888888888891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126</v>
      </c>
      <c r="D18" s="55" t="s">
        <v>128</v>
      </c>
      <c r="E18" s="57" t="s">
        <v>148</v>
      </c>
      <c r="F18" s="12" t="s">
        <v>149</v>
      </c>
      <c r="G18" s="12">
        <v>1</v>
      </c>
      <c r="H18" s="13">
        <v>24</v>
      </c>
      <c r="I18" s="34">
        <v>70000</v>
      </c>
      <c r="J18" s="14">
        <v>6858</v>
      </c>
      <c r="K18" s="15">
        <f>L18+5530+6591+6555+7009+6234+3454+6385+6995+7383+4468+7061+7120+7112+7275+6698+6957+7074+6704</f>
        <v>123463</v>
      </c>
      <c r="L18" s="15">
        <f>3434+3424</f>
        <v>6858</v>
      </c>
      <c r="M18" s="16">
        <f t="shared" si="0"/>
        <v>6858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0.46388888888888891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126</v>
      </c>
      <c r="D19" s="55" t="s">
        <v>117</v>
      </c>
      <c r="E19" s="57" t="s">
        <v>142</v>
      </c>
      <c r="F19" s="12" t="s">
        <v>122</v>
      </c>
      <c r="G19" s="36">
        <v>1</v>
      </c>
      <c r="H19" s="38">
        <v>24</v>
      </c>
      <c r="I19" s="7">
        <v>70000</v>
      </c>
      <c r="J19" s="5">
        <v>3657</v>
      </c>
      <c r="K19" s="15">
        <f>L19+3442+4857+6103+3605+5831+5901+4875+6279+5633+5015+5887+5920+5827+5643+5849+5831+2164</f>
        <v>92319</v>
      </c>
      <c r="L19" s="15">
        <f>1755+1902</f>
        <v>3657</v>
      </c>
      <c r="M19" s="16">
        <f t="shared" si="0"/>
        <v>3657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9">
        <f t="shared" si="7"/>
        <v>0.46388888888888891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126</v>
      </c>
      <c r="D20" s="55" t="s">
        <v>117</v>
      </c>
      <c r="E20" s="57" t="s">
        <v>247</v>
      </c>
      <c r="F20" s="12" t="s">
        <v>144</v>
      </c>
      <c r="G20" s="36">
        <v>2</v>
      </c>
      <c r="H20" s="13">
        <v>24</v>
      </c>
      <c r="I20" s="7">
        <v>40000</v>
      </c>
      <c r="J20" s="14">
        <v>7060</v>
      </c>
      <c r="K20" s="15">
        <f>L20</f>
        <v>7060</v>
      </c>
      <c r="L20" s="15">
        <f>2508*2+1022*2</f>
        <v>7060</v>
      </c>
      <c r="M20" s="16">
        <f t="shared" si="0"/>
        <v>7060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>
        <v>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9">
        <f t="shared" si="7"/>
        <v>0.46388888888888891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154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>
        <v>24</v>
      </c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0.46388888888888891</v>
      </c>
      <c r="AF21" s="93">
        <f t="shared" si="8"/>
        <v>15</v>
      </c>
    </row>
    <row r="22" spans="1:32" ht="31.5" customHeight="1" thickBot="1">
      <c r="A22" s="372" t="s">
        <v>34</v>
      </c>
      <c r="B22" s="373"/>
      <c r="C22" s="373"/>
      <c r="D22" s="373"/>
      <c r="E22" s="373"/>
      <c r="F22" s="373"/>
      <c r="G22" s="373"/>
      <c r="H22" s="374"/>
      <c r="I22" s="25">
        <f t="shared" ref="I22:N22" si="17">SUM(I6:I21)</f>
        <v>798000</v>
      </c>
      <c r="J22" s="22">
        <f t="shared" si="17"/>
        <v>101501</v>
      </c>
      <c r="K22" s="23">
        <f t="shared" si="17"/>
        <v>842318</v>
      </c>
      <c r="L22" s="24">
        <f t="shared" si="17"/>
        <v>67164</v>
      </c>
      <c r="M22" s="23">
        <f t="shared" si="17"/>
        <v>67164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167</v>
      </c>
      <c r="Q22" s="46">
        <f t="shared" si="18"/>
        <v>217</v>
      </c>
      <c r="R22" s="26">
        <f t="shared" si="18"/>
        <v>24</v>
      </c>
      <c r="S22" s="27">
        <f t="shared" si="18"/>
        <v>34</v>
      </c>
      <c r="T22" s="27">
        <f t="shared" si="18"/>
        <v>2</v>
      </c>
      <c r="U22" s="27">
        <f t="shared" si="18"/>
        <v>0</v>
      </c>
      <c r="V22" s="28">
        <f t="shared" si="18"/>
        <v>24</v>
      </c>
      <c r="W22" s="29">
        <f t="shared" si="18"/>
        <v>133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</v>
      </c>
      <c r="AC22" s="4">
        <f>SUM(AC6:AC21)/15</f>
        <v>0.46388888888888891</v>
      </c>
      <c r="AD22" s="4">
        <f>SUM(AD6:AD21)/15</f>
        <v>0.46388888888888891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5" t="s">
        <v>45</v>
      </c>
      <c r="B49" s="375"/>
      <c r="C49" s="375"/>
      <c r="D49" s="375"/>
      <c r="E49" s="37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6" t="s">
        <v>308</v>
      </c>
      <c r="B50" s="377"/>
      <c r="C50" s="377"/>
      <c r="D50" s="377"/>
      <c r="E50" s="377"/>
      <c r="F50" s="377"/>
      <c r="G50" s="377"/>
      <c r="H50" s="377"/>
      <c r="I50" s="377"/>
      <c r="J50" s="377"/>
      <c r="K50" s="377"/>
      <c r="L50" s="377"/>
      <c r="M50" s="378"/>
      <c r="N50" s="379" t="s">
        <v>313</v>
      </c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0"/>
      <c r="AA50" s="380"/>
      <c r="AB50" s="380"/>
      <c r="AC50" s="380"/>
      <c r="AD50" s="381"/>
    </row>
    <row r="51" spans="1:32" ht="27" customHeight="1">
      <c r="A51" s="382" t="s">
        <v>2</v>
      </c>
      <c r="B51" s="383"/>
      <c r="C51" s="234" t="s">
        <v>46</v>
      </c>
      <c r="D51" s="234" t="s">
        <v>47</v>
      </c>
      <c r="E51" s="234" t="s">
        <v>108</v>
      </c>
      <c r="F51" s="383" t="s">
        <v>107</v>
      </c>
      <c r="G51" s="383"/>
      <c r="H51" s="383"/>
      <c r="I51" s="383"/>
      <c r="J51" s="383"/>
      <c r="K51" s="383"/>
      <c r="L51" s="383"/>
      <c r="M51" s="384"/>
      <c r="N51" s="73" t="s">
        <v>112</v>
      </c>
      <c r="O51" s="234" t="s">
        <v>46</v>
      </c>
      <c r="P51" s="385" t="s">
        <v>47</v>
      </c>
      <c r="Q51" s="386"/>
      <c r="R51" s="385" t="s">
        <v>38</v>
      </c>
      <c r="S51" s="387"/>
      <c r="T51" s="387"/>
      <c r="U51" s="386"/>
      <c r="V51" s="385" t="s">
        <v>48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99" t="s">
        <v>126</v>
      </c>
      <c r="B52" s="400"/>
      <c r="C52" s="231" t="s">
        <v>230</v>
      </c>
      <c r="D52" s="231" t="s">
        <v>283</v>
      </c>
      <c r="E52" s="231" t="s">
        <v>210</v>
      </c>
      <c r="F52" s="401" t="s">
        <v>309</v>
      </c>
      <c r="G52" s="402"/>
      <c r="H52" s="402"/>
      <c r="I52" s="402"/>
      <c r="J52" s="402"/>
      <c r="K52" s="402"/>
      <c r="L52" s="402"/>
      <c r="M52" s="403"/>
      <c r="N52" s="230" t="s">
        <v>126</v>
      </c>
      <c r="O52" s="124" t="s">
        <v>184</v>
      </c>
      <c r="P52" s="404" t="s">
        <v>117</v>
      </c>
      <c r="Q52" s="405"/>
      <c r="R52" s="400" t="s">
        <v>282</v>
      </c>
      <c r="S52" s="400"/>
      <c r="T52" s="400"/>
      <c r="U52" s="400"/>
      <c r="V52" s="406" t="s">
        <v>124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114</v>
      </c>
      <c r="B53" s="400"/>
      <c r="C53" s="231" t="s">
        <v>130</v>
      </c>
      <c r="D53" s="231" t="s">
        <v>131</v>
      </c>
      <c r="E53" s="231" t="s">
        <v>240</v>
      </c>
      <c r="F53" s="401" t="s">
        <v>119</v>
      </c>
      <c r="G53" s="402"/>
      <c r="H53" s="402"/>
      <c r="I53" s="402"/>
      <c r="J53" s="402"/>
      <c r="K53" s="402"/>
      <c r="L53" s="402"/>
      <c r="M53" s="403"/>
      <c r="N53" s="230" t="s">
        <v>204</v>
      </c>
      <c r="O53" s="124" t="s">
        <v>228</v>
      </c>
      <c r="P53" s="404" t="s">
        <v>134</v>
      </c>
      <c r="Q53" s="405"/>
      <c r="R53" s="400" t="s">
        <v>299</v>
      </c>
      <c r="S53" s="400"/>
      <c r="T53" s="400"/>
      <c r="U53" s="400"/>
      <c r="V53" s="406" t="s">
        <v>124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114</v>
      </c>
      <c r="B54" s="400"/>
      <c r="C54" s="231" t="s">
        <v>130</v>
      </c>
      <c r="D54" s="231" t="s">
        <v>173</v>
      </c>
      <c r="E54" s="231" t="s">
        <v>310</v>
      </c>
      <c r="F54" s="401" t="s">
        <v>119</v>
      </c>
      <c r="G54" s="402"/>
      <c r="H54" s="402"/>
      <c r="I54" s="402"/>
      <c r="J54" s="402"/>
      <c r="K54" s="402"/>
      <c r="L54" s="402"/>
      <c r="M54" s="403"/>
      <c r="N54" s="230" t="s">
        <v>114</v>
      </c>
      <c r="O54" s="124" t="s">
        <v>130</v>
      </c>
      <c r="P54" s="400" t="s">
        <v>117</v>
      </c>
      <c r="Q54" s="400"/>
      <c r="R54" s="400" t="s">
        <v>315</v>
      </c>
      <c r="S54" s="400"/>
      <c r="T54" s="400"/>
      <c r="U54" s="400"/>
      <c r="V54" s="406" t="s">
        <v>119</v>
      </c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126</v>
      </c>
      <c r="B55" s="400"/>
      <c r="C55" s="231" t="s">
        <v>184</v>
      </c>
      <c r="D55" s="231" t="s">
        <v>117</v>
      </c>
      <c r="E55" s="231" t="s">
        <v>311</v>
      </c>
      <c r="F55" s="401" t="s">
        <v>312</v>
      </c>
      <c r="G55" s="402"/>
      <c r="H55" s="402"/>
      <c r="I55" s="402"/>
      <c r="J55" s="402"/>
      <c r="K55" s="402"/>
      <c r="L55" s="402"/>
      <c r="M55" s="403"/>
      <c r="N55" s="230" t="s">
        <v>204</v>
      </c>
      <c r="O55" s="124" t="s">
        <v>316</v>
      </c>
      <c r="P55" s="404" t="s">
        <v>117</v>
      </c>
      <c r="Q55" s="405"/>
      <c r="R55" s="400" t="s">
        <v>317</v>
      </c>
      <c r="S55" s="400"/>
      <c r="T55" s="400"/>
      <c r="U55" s="400"/>
      <c r="V55" s="406" t="s">
        <v>119</v>
      </c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 t="s">
        <v>126</v>
      </c>
      <c r="B56" s="400"/>
      <c r="C56" s="231" t="s">
        <v>137</v>
      </c>
      <c r="D56" s="231" t="s">
        <v>117</v>
      </c>
      <c r="E56" s="231" t="s">
        <v>247</v>
      </c>
      <c r="F56" s="401" t="s">
        <v>124</v>
      </c>
      <c r="G56" s="402"/>
      <c r="H56" s="402"/>
      <c r="I56" s="402"/>
      <c r="J56" s="402"/>
      <c r="K56" s="402"/>
      <c r="L56" s="402"/>
      <c r="M56" s="403"/>
      <c r="N56" s="230"/>
      <c r="O56" s="124"/>
      <c r="P56" s="400"/>
      <c r="Q56" s="400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 t="s">
        <v>204</v>
      </c>
      <c r="B57" s="400"/>
      <c r="C57" s="231" t="s">
        <v>228</v>
      </c>
      <c r="D57" s="231" t="s">
        <v>134</v>
      </c>
      <c r="E57" s="231" t="s">
        <v>299</v>
      </c>
      <c r="F57" s="401" t="s">
        <v>314</v>
      </c>
      <c r="G57" s="402"/>
      <c r="H57" s="402"/>
      <c r="I57" s="402"/>
      <c r="J57" s="402"/>
      <c r="K57" s="402"/>
      <c r="L57" s="402"/>
      <c r="M57" s="403"/>
      <c r="N57" s="230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231"/>
      <c r="D58" s="231"/>
      <c r="E58" s="231"/>
      <c r="F58" s="406"/>
      <c r="G58" s="406"/>
      <c r="H58" s="406"/>
      <c r="I58" s="406"/>
      <c r="J58" s="406"/>
      <c r="K58" s="406"/>
      <c r="L58" s="406"/>
      <c r="M58" s="407"/>
      <c r="N58" s="230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231"/>
      <c r="D59" s="231"/>
      <c r="E59" s="231"/>
      <c r="F59" s="406"/>
      <c r="G59" s="406"/>
      <c r="H59" s="406"/>
      <c r="I59" s="406"/>
      <c r="J59" s="406"/>
      <c r="K59" s="406"/>
      <c r="L59" s="406"/>
      <c r="M59" s="407"/>
      <c r="N59" s="230"/>
      <c r="O59" s="124"/>
      <c r="P59" s="404"/>
      <c r="Q59" s="405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</row>
    <row r="60" spans="1:32" ht="27" customHeight="1">
      <c r="A60" s="399"/>
      <c r="B60" s="400"/>
      <c r="C60" s="231"/>
      <c r="D60" s="231"/>
      <c r="E60" s="231"/>
      <c r="F60" s="406"/>
      <c r="G60" s="406"/>
      <c r="H60" s="406"/>
      <c r="I60" s="406"/>
      <c r="J60" s="406"/>
      <c r="K60" s="406"/>
      <c r="L60" s="406"/>
      <c r="M60" s="407"/>
      <c r="N60" s="230"/>
      <c r="O60" s="124"/>
      <c r="P60" s="400"/>
      <c r="Q60" s="400"/>
      <c r="R60" s="400"/>
      <c r="S60" s="400"/>
      <c r="T60" s="400"/>
      <c r="U60" s="400"/>
      <c r="V60" s="406"/>
      <c r="W60" s="406"/>
      <c r="X60" s="406"/>
      <c r="Y60" s="406"/>
      <c r="Z60" s="406"/>
      <c r="AA60" s="406"/>
      <c r="AB60" s="406"/>
      <c r="AC60" s="406"/>
      <c r="AD60" s="407"/>
      <c r="AF60" s="93">
        <f>8*3000</f>
        <v>24000</v>
      </c>
    </row>
    <row r="61" spans="1:32" ht="27" customHeight="1" thickBot="1">
      <c r="A61" s="408"/>
      <c r="B61" s="409"/>
      <c r="C61" s="233"/>
      <c r="D61" s="233"/>
      <c r="E61" s="233"/>
      <c r="F61" s="410"/>
      <c r="G61" s="410"/>
      <c r="H61" s="410"/>
      <c r="I61" s="410"/>
      <c r="J61" s="410"/>
      <c r="K61" s="410"/>
      <c r="L61" s="410"/>
      <c r="M61" s="411"/>
      <c r="N61" s="232"/>
      <c r="O61" s="120"/>
      <c r="P61" s="409"/>
      <c r="Q61" s="409"/>
      <c r="R61" s="409"/>
      <c r="S61" s="409"/>
      <c r="T61" s="409"/>
      <c r="U61" s="409"/>
      <c r="V61" s="412"/>
      <c r="W61" s="412"/>
      <c r="X61" s="412"/>
      <c r="Y61" s="412"/>
      <c r="Z61" s="412"/>
      <c r="AA61" s="412"/>
      <c r="AB61" s="412"/>
      <c r="AC61" s="412"/>
      <c r="AD61" s="413"/>
      <c r="AF61" s="93">
        <f>16*3000</f>
        <v>48000</v>
      </c>
    </row>
    <row r="62" spans="1:32" ht="27.75" thickBot="1">
      <c r="A62" s="414" t="s">
        <v>318</v>
      </c>
      <c r="B62" s="414"/>
      <c r="C62" s="414"/>
      <c r="D62" s="414"/>
      <c r="E62" s="41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15" t="s">
        <v>113</v>
      </c>
      <c r="B63" s="416"/>
      <c r="C63" s="229" t="s">
        <v>2</v>
      </c>
      <c r="D63" s="229" t="s">
        <v>37</v>
      </c>
      <c r="E63" s="229" t="s">
        <v>3</v>
      </c>
      <c r="F63" s="416" t="s">
        <v>110</v>
      </c>
      <c r="G63" s="416"/>
      <c r="H63" s="416"/>
      <c r="I63" s="416"/>
      <c r="J63" s="416"/>
      <c r="K63" s="416" t="s">
        <v>39</v>
      </c>
      <c r="L63" s="416"/>
      <c r="M63" s="229" t="s">
        <v>40</v>
      </c>
      <c r="N63" s="416" t="s">
        <v>41</v>
      </c>
      <c r="O63" s="416"/>
      <c r="P63" s="417" t="s">
        <v>42</v>
      </c>
      <c r="Q63" s="418"/>
      <c r="R63" s="417" t="s">
        <v>43</v>
      </c>
      <c r="S63" s="419"/>
      <c r="T63" s="419"/>
      <c r="U63" s="419"/>
      <c r="V63" s="419"/>
      <c r="W63" s="419"/>
      <c r="X63" s="419"/>
      <c r="Y63" s="419"/>
      <c r="Z63" s="419"/>
      <c r="AA63" s="418"/>
      <c r="AB63" s="416" t="s">
        <v>44</v>
      </c>
      <c r="AC63" s="416"/>
      <c r="AD63" s="420"/>
      <c r="AF63" s="93">
        <f>SUM(AF60:AF62)</f>
        <v>96000</v>
      </c>
    </row>
    <row r="64" spans="1:32" ht="25.5" customHeight="1">
      <c r="A64" s="421">
        <v>1</v>
      </c>
      <c r="B64" s="422"/>
      <c r="C64" s="123" t="s">
        <v>114</v>
      </c>
      <c r="D64" s="225"/>
      <c r="E64" s="228" t="s">
        <v>117</v>
      </c>
      <c r="F64" s="423" t="s">
        <v>319</v>
      </c>
      <c r="G64" s="424"/>
      <c r="H64" s="424"/>
      <c r="I64" s="424"/>
      <c r="J64" s="424"/>
      <c r="K64" s="424" t="s">
        <v>320</v>
      </c>
      <c r="L64" s="424"/>
      <c r="M64" s="54" t="s">
        <v>175</v>
      </c>
      <c r="N64" s="424">
        <v>9</v>
      </c>
      <c r="O64" s="424"/>
      <c r="P64" s="425">
        <v>5</v>
      </c>
      <c r="Q64" s="425"/>
      <c r="R64" s="406" t="s">
        <v>321</v>
      </c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2</v>
      </c>
      <c r="B65" s="422"/>
      <c r="C65" s="123"/>
      <c r="D65" s="225"/>
      <c r="E65" s="228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3</v>
      </c>
      <c r="B66" s="422"/>
      <c r="C66" s="123"/>
      <c r="D66" s="225"/>
      <c r="E66" s="228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4</v>
      </c>
      <c r="B67" s="422"/>
      <c r="C67" s="123"/>
      <c r="D67" s="225"/>
      <c r="E67" s="228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5</v>
      </c>
      <c r="B68" s="422"/>
      <c r="C68" s="123"/>
      <c r="D68" s="225"/>
      <c r="E68" s="228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6</v>
      </c>
      <c r="B69" s="422"/>
      <c r="C69" s="123"/>
      <c r="D69" s="225"/>
      <c r="E69" s="228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7</v>
      </c>
      <c r="B70" s="422"/>
      <c r="C70" s="123"/>
      <c r="D70" s="225"/>
      <c r="E70" s="228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5.5" customHeight="1">
      <c r="A71" s="421">
        <v>8</v>
      </c>
      <c r="B71" s="422"/>
      <c r="C71" s="123"/>
      <c r="D71" s="225"/>
      <c r="E71" s="228"/>
      <c r="F71" s="423"/>
      <c r="G71" s="424"/>
      <c r="H71" s="424"/>
      <c r="I71" s="424"/>
      <c r="J71" s="424"/>
      <c r="K71" s="424"/>
      <c r="L71" s="424"/>
      <c r="M71" s="54"/>
      <c r="N71" s="424"/>
      <c r="O71" s="424"/>
      <c r="P71" s="425"/>
      <c r="Q71" s="425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24"/>
      <c r="AC71" s="424"/>
      <c r="AD71" s="426"/>
      <c r="AF71" s="53"/>
    </row>
    <row r="72" spans="1:32" ht="26.25" customHeight="1" thickBot="1">
      <c r="A72" s="427" t="s">
        <v>322</v>
      </c>
      <c r="B72" s="427"/>
      <c r="C72" s="427"/>
      <c r="D72" s="427"/>
      <c r="E72" s="427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8" t="s">
        <v>113</v>
      </c>
      <c r="B73" s="429"/>
      <c r="C73" s="227" t="s">
        <v>2</v>
      </c>
      <c r="D73" s="227" t="s">
        <v>37</v>
      </c>
      <c r="E73" s="227" t="s">
        <v>3</v>
      </c>
      <c r="F73" s="429" t="s">
        <v>38</v>
      </c>
      <c r="G73" s="429"/>
      <c r="H73" s="429"/>
      <c r="I73" s="429"/>
      <c r="J73" s="429"/>
      <c r="K73" s="430" t="s">
        <v>58</v>
      </c>
      <c r="L73" s="431"/>
      <c r="M73" s="431"/>
      <c r="N73" s="431"/>
      <c r="O73" s="431"/>
      <c r="P73" s="431"/>
      <c r="Q73" s="431"/>
      <c r="R73" s="431"/>
      <c r="S73" s="432"/>
      <c r="T73" s="429" t="s">
        <v>49</v>
      </c>
      <c r="U73" s="429"/>
      <c r="V73" s="430" t="s">
        <v>50</v>
      </c>
      <c r="W73" s="432"/>
      <c r="X73" s="431" t="s">
        <v>51</v>
      </c>
      <c r="Y73" s="431"/>
      <c r="Z73" s="431"/>
      <c r="AA73" s="431"/>
      <c r="AB73" s="431"/>
      <c r="AC73" s="431"/>
      <c r="AD73" s="433"/>
      <c r="AF73" s="53"/>
    </row>
    <row r="74" spans="1:32" ht="33.75" customHeight="1">
      <c r="A74" s="442">
        <v>1</v>
      </c>
      <c r="B74" s="443"/>
      <c r="C74" s="226" t="s">
        <v>114</v>
      </c>
      <c r="D74" s="226"/>
      <c r="E74" s="71" t="s">
        <v>133</v>
      </c>
      <c r="F74" s="444" t="s">
        <v>132</v>
      </c>
      <c r="G74" s="445"/>
      <c r="H74" s="445"/>
      <c r="I74" s="445"/>
      <c r="J74" s="446"/>
      <c r="K74" s="447" t="s">
        <v>135</v>
      </c>
      <c r="L74" s="448"/>
      <c r="M74" s="448"/>
      <c r="N74" s="448"/>
      <c r="O74" s="448"/>
      <c r="P74" s="448"/>
      <c r="Q74" s="448"/>
      <c r="R74" s="448"/>
      <c r="S74" s="449"/>
      <c r="T74" s="450">
        <v>43384</v>
      </c>
      <c r="U74" s="451"/>
      <c r="V74" s="452"/>
      <c r="W74" s="452"/>
      <c r="X74" s="453"/>
      <c r="Y74" s="453"/>
      <c r="Z74" s="453"/>
      <c r="AA74" s="453"/>
      <c r="AB74" s="453"/>
      <c r="AC74" s="453"/>
      <c r="AD74" s="454"/>
      <c r="AF74" s="53"/>
    </row>
    <row r="75" spans="1:32" ht="30" customHeight="1">
      <c r="A75" s="434">
        <f>A74+1</f>
        <v>2</v>
      </c>
      <c r="B75" s="435"/>
      <c r="C75" s="225"/>
      <c r="D75" s="225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ref="A76:A82" si="19">A75+1</f>
        <v>3</v>
      </c>
      <c r="B76" s="435"/>
      <c r="C76" s="225"/>
      <c r="D76" s="225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9"/>
        <v>4</v>
      </c>
      <c r="B77" s="435"/>
      <c r="C77" s="225"/>
      <c r="D77" s="225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9"/>
        <v>5</v>
      </c>
      <c r="B78" s="435"/>
      <c r="C78" s="225"/>
      <c r="D78" s="225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9"/>
        <v>6</v>
      </c>
      <c r="B79" s="435"/>
      <c r="C79" s="225"/>
      <c r="D79" s="225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9"/>
        <v>7</v>
      </c>
      <c r="B80" s="435"/>
      <c r="C80" s="225"/>
      <c r="D80" s="225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9"/>
        <v>8</v>
      </c>
      <c r="B81" s="435"/>
      <c r="C81" s="225"/>
      <c r="D81" s="225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0" customHeight="1">
      <c r="A82" s="434">
        <f t="shared" si="19"/>
        <v>9</v>
      </c>
      <c r="B82" s="435"/>
      <c r="C82" s="225"/>
      <c r="D82" s="225"/>
      <c r="E82" s="35"/>
      <c r="F82" s="435"/>
      <c r="G82" s="435"/>
      <c r="H82" s="435"/>
      <c r="I82" s="435"/>
      <c r="J82" s="435"/>
      <c r="K82" s="436"/>
      <c r="L82" s="437"/>
      <c r="M82" s="437"/>
      <c r="N82" s="437"/>
      <c r="O82" s="437"/>
      <c r="P82" s="437"/>
      <c r="Q82" s="437"/>
      <c r="R82" s="437"/>
      <c r="S82" s="438"/>
      <c r="T82" s="439"/>
      <c r="U82" s="439"/>
      <c r="V82" s="439"/>
      <c r="W82" s="439"/>
      <c r="X82" s="440"/>
      <c r="Y82" s="440"/>
      <c r="Z82" s="440"/>
      <c r="AA82" s="440"/>
      <c r="AB82" s="440"/>
      <c r="AC82" s="440"/>
      <c r="AD82" s="441"/>
      <c r="AF82" s="53"/>
    </row>
    <row r="83" spans="1:32" ht="36" thickBot="1">
      <c r="A83" s="427" t="s">
        <v>323</v>
      </c>
      <c r="B83" s="427"/>
      <c r="C83" s="427"/>
      <c r="D83" s="427"/>
      <c r="E83" s="427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8" t="s">
        <v>113</v>
      </c>
      <c r="B84" s="429"/>
      <c r="C84" s="455" t="s">
        <v>52</v>
      </c>
      <c r="D84" s="455"/>
      <c r="E84" s="455" t="s">
        <v>53</v>
      </c>
      <c r="F84" s="455"/>
      <c r="G84" s="455"/>
      <c r="H84" s="455"/>
      <c r="I84" s="455"/>
      <c r="J84" s="455"/>
      <c r="K84" s="455" t="s">
        <v>54</v>
      </c>
      <c r="L84" s="455"/>
      <c r="M84" s="455"/>
      <c r="N84" s="455"/>
      <c r="O84" s="455"/>
      <c r="P84" s="455"/>
      <c r="Q84" s="455"/>
      <c r="R84" s="455"/>
      <c r="S84" s="455"/>
      <c r="T84" s="455" t="s">
        <v>55</v>
      </c>
      <c r="U84" s="455"/>
      <c r="V84" s="455" t="s">
        <v>56</v>
      </c>
      <c r="W84" s="455"/>
      <c r="X84" s="455"/>
      <c r="Y84" s="455" t="s">
        <v>51</v>
      </c>
      <c r="Z84" s="455"/>
      <c r="AA84" s="455"/>
      <c r="AB84" s="455"/>
      <c r="AC84" s="455"/>
      <c r="AD84" s="456"/>
      <c r="AF84" s="53"/>
    </row>
    <row r="85" spans="1:32" ht="30.75" customHeight="1">
      <c r="A85" s="442">
        <v>1</v>
      </c>
      <c r="B85" s="443"/>
      <c r="C85" s="457"/>
      <c r="D85" s="457"/>
      <c r="E85" s="457"/>
      <c r="F85" s="457"/>
      <c r="G85" s="457"/>
      <c r="H85" s="457"/>
      <c r="I85" s="457"/>
      <c r="J85" s="457"/>
      <c r="K85" s="457"/>
      <c r="L85" s="457"/>
      <c r="M85" s="457"/>
      <c r="N85" s="457"/>
      <c r="O85" s="457"/>
      <c r="P85" s="457"/>
      <c r="Q85" s="457"/>
      <c r="R85" s="457"/>
      <c r="S85" s="457"/>
      <c r="T85" s="457"/>
      <c r="U85" s="457"/>
      <c r="V85" s="458"/>
      <c r="W85" s="458"/>
      <c r="X85" s="458"/>
      <c r="Y85" s="459"/>
      <c r="Z85" s="459"/>
      <c r="AA85" s="459"/>
      <c r="AB85" s="459"/>
      <c r="AC85" s="459"/>
      <c r="AD85" s="460"/>
      <c r="AF85" s="53"/>
    </row>
    <row r="86" spans="1:32" ht="30.75" customHeight="1">
      <c r="A86" s="434">
        <v>2</v>
      </c>
      <c r="B86" s="435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9"/>
      <c r="U86" s="469"/>
      <c r="V86" s="470"/>
      <c r="W86" s="470"/>
      <c r="X86" s="470"/>
      <c r="Y86" s="461"/>
      <c r="Z86" s="461"/>
      <c r="AA86" s="461"/>
      <c r="AB86" s="461"/>
      <c r="AC86" s="461"/>
      <c r="AD86" s="462"/>
      <c r="AF86" s="53"/>
    </row>
    <row r="87" spans="1:32" ht="30.75" customHeight="1" thickBot="1">
      <c r="A87" s="463">
        <v>3</v>
      </c>
      <c r="B87" s="464"/>
      <c r="C87" s="465"/>
      <c r="D87" s="465"/>
      <c r="E87" s="465"/>
      <c r="F87" s="465"/>
      <c r="G87" s="465"/>
      <c r="H87" s="465"/>
      <c r="I87" s="465"/>
      <c r="J87" s="465"/>
      <c r="K87" s="465"/>
      <c r="L87" s="465"/>
      <c r="M87" s="465"/>
      <c r="N87" s="465"/>
      <c r="O87" s="465"/>
      <c r="P87" s="465"/>
      <c r="Q87" s="465"/>
      <c r="R87" s="465"/>
      <c r="S87" s="465"/>
      <c r="T87" s="465"/>
      <c r="U87" s="465"/>
      <c r="V87" s="465"/>
      <c r="W87" s="465"/>
      <c r="X87" s="465"/>
      <c r="Y87" s="466"/>
      <c r="Z87" s="466"/>
      <c r="AA87" s="466"/>
      <c r="AB87" s="466"/>
      <c r="AC87" s="466"/>
      <c r="AD87" s="467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EF3E-F6C3-4045-9BDB-B901653FAE30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324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35" t="s">
        <v>17</v>
      </c>
      <c r="L5" s="235" t="s">
        <v>18</v>
      </c>
      <c r="M5" s="235" t="s">
        <v>19</v>
      </c>
      <c r="N5" s="2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0.21111111111111111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0.21111111111111111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2308</v>
      </c>
      <c r="K8" s="15">
        <f>L8+4226+6836+7688+6790+7670+5621+7015+7715+6622+7015+7123+7122+7421+6809+7012+7150+7008+7231</f>
        <v>126382</v>
      </c>
      <c r="L8" s="15">
        <v>2308</v>
      </c>
      <c r="M8" s="16">
        <f t="shared" si="0"/>
        <v>2308</v>
      </c>
      <c r="N8" s="16">
        <v>0</v>
      </c>
      <c r="O8" s="62">
        <f t="shared" si="1"/>
        <v>0</v>
      </c>
      <c r="P8" s="42">
        <f t="shared" si="2"/>
        <v>10</v>
      </c>
      <c r="Q8" s="43">
        <f t="shared" si="3"/>
        <v>14</v>
      </c>
      <c r="R8" s="7"/>
      <c r="S8" s="6"/>
      <c r="T8" s="17"/>
      <c r="U8" s="17"/>
      <c r="V8" s="18">
        <v>14</v>
      </c>
      <c r="W8" s="19"/>
      <c r="X8" s="17"/>
      <c r="Y8" s="20"/>
      <c r="Z8" s="20"/>
      <c r="AA8" s="21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9">
        <f t="shared" si="7"/>
        <v>0.21111111111111111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114</v>
      </c>
      <c r="D9" s="55" t="s">
        <v>117</v>
      </c>
      <c r="E9" s="57" t="s">
        <v>315</v>
      </c>
      <c r="F9" s="33" t="s">
        <v>199</v>
      </c>
      <c r="G9" s="36">
        <v>1</v>
      </c>
      <c r="H9" s="38">
        <v>25</v>
      </c>
      <c r="I9" s="7">
        <v>500</v>
      </c>
      <c r="J9" s="5">
        <v>335</v>
      </c>
      <c r="K9" s="15">
        <f>L9</f>
        <v>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0.21111111111111111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3143</v>
      </c>
      <c r="K10" s="15">
        <f>L10+3648+6356+6488+6387+7137</f>
        <v>33159</v>
      </c>
      <c r="L10" s="15">
        <f>3143</f>
        <v>3143</v>
      </c>
      <c r="M10" s="16">
        <f t="shared" si="0"/>
        <v>3143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/>
      <c r="T10" s="17"/>
      <c r="U10" s="17"/>
      <c r="V10" s="18">
        <v>14</v>
      </c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9">
        <f t="shared" si="7"/>
        <v>0.21111111111111111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204</v>
      </c>
      <c r="D11" s="55" t="s">
        <v>134</v>
      </c>
      <c r="E11" s="57" t="s">
        <v>299</v>
      </c>
      <c r="F11" s="12" t="s">
        <v>149</v>
      </c>
      <c r="G11" s="12">
        <v>1</v>
      </c>
      <c r="H11" s="13">
        <v>25</v>
      </c>
      <c r="I11" s="7">
        <v>1000</v>
      </c>
      <c r="J11" s="14">
        <v>2410</v>
      </c>
      <c r="K11" s="15">
        <f>L11</f>
        <v>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0.21111111111111111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283</v>
      </c>
      <c r="E12" s="57" t="s">
        <v>210</v>
      </c>
      <c r="F12" s="33" t="s">
        <v>212</v>
      </c>
      <c r="G12" s="36">
        <v>4</v>
      </c>
      <c r="H12" s="38">
        <v>24</v>
      </c>
      <c r="I12" s="7">
        <v>21000</v>
      </c>
      <c r="J12" s="14">
        <v>14784</v>
      </c>
      <c r="K12" s="15">
        <f>L12+27656</f>
        <v>42440</v>
      </c>
      <c r="L12" s="15">
        <f>3696*4</f>
        <v>14784</v>
      </c>
      <c r="M12" s="16">
        <f t="shared" si="0"/>
        <v>14784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/>
      <c r="T12" s="17"/>
      <c r="U12" s="17"/>
      <c r="V12" s="18"/>
      <c r="W12" s="19">
        <v>14</v>
      </c>
      <c r="X12" s="17"/>
      <c r="Y12" s="20"/>
      <c r="Z12" s="20"/>
      <c r="AA12" s="21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9">
        <f t="shared" si="7"/>
        <v>0.21111111111111111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131</v>
      </c>
      <c r="E13" s="57" t="s">
        <v>271</v>
      </c>
      <c r="F13" s="12" t="s">
        <v>127</v>
      </c>
      <c r="G13" s="12">
        <v>1</v>
      </c>
      <c r="H13" s="13">
        <v>25</v>
      </c>
      <c r="I13" s="7">
        <v>20000</v>
      </c>
      <c r="J13" s="14">
        <v>2650</v>
      </c>
      <c r="K13" s="15">
        <f>L13+4179+2505+6064</f>
        <v>15398</v>
      </c>
      <c r="L13" s="15">
        <v>2650</v>
      </c>
      <c r="M13" s="16">
        <f t="shared" si="0"/>
        <v>2650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/>
      <c r="W13" s="19">
        <v>14</v>
      </c>
      <c r="X13" s="17"/>
      <c r="Y13" s="20"/>
      <c r="Z13" s="20"/>
      <c r="AA13" s="21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9">
        <f t="shared" si="7"/>
        <v>0.21111111111111111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204</v>
      </c>
      <c r="D14" s="55" t="s">
        <v>117</v>
      </c>
      <c r="E14" s="57" t="s">
        <v>317</v>
      </c>
      <c r="F14" s="33" t="s">
        <v>325</v>
      </c>
      <c r="G14" s="36">
        <v>1</v>
      </c>
      <c r="H14" s="38">
        <v>25</v>
      </c>
      <c r="I14" s="7">
        <v>500</v>
      </c>
      <c r="J14" s="5">
        <v>204</v>
      </c>
      <c r="K14" s="15">
        <f>L14</f>
        <v>204</v>
      </c>
      <c r="L14" s="15">
        <v>204</v>
      </c>
      <c r="M14" s="16">
        <f t="shared" si="0"/>
        <v>204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>
        <v>5</v>
      </c>
      <c r="U14" s="17"/>
      <c r="V14" s="18">
        <v>14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9">
        <f t="shared" si="7"/>
        <v>0.21111111111111111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19229</v>
      </c>
      <c r="K15" s="15">
        <f>L15+32805+66430+67599+62860+19229</f>
        <v>248923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0.21111111111111111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114</v>
      </c>
      <c r="D16" s="55" t="s">
        <v>120</v>
      </c>
      <c r="E16" s="57" t="s">
        <v>326</v>
      </c>
      <c r="F16" s="33" t="s">
        <v>199</v>
      </c>
      <c r="G16" s="36">
        <v>1</v>
      </c>
      <c r="H16" s="38">
        <v>24</v>
      </c>
      <c r="I16" s="7">
        <v>500</v>
      </c>
      <c r="J16" s="5">
        <v>1292</v>
      </c>
      <c r="K16" s="15">
        <f>L16</f>
        <v>1292</v>
      </c>
      <c r="L16" s="15">
        <v>1292</v>
      </c>
      <c r="M16" s="16">
        <f t="shared" si="0"/>
        <v>1292</v>
      </c>
      <c r="N16" s="16">
        <v>0</v>
      </c>
      <c r="O16" s="62">
        <f t="shared" si="1"/>
        <v>0</v>
      </c>
      <c r="P16" s="42">
        <f t="shared" si="2"/>
        <v>8</v>
      </c>
      <c r="Q16" s="43">
        <f t="shared" si="3"/>
        <v>16</v>
      </c>
      <c r="R16" s="7"/>
      <c r="S16" s="6"/>
      <c r="T16" s="17"/>
      <c r="U16" s="17"/>
      <c r="V16" s="18"/>
      <c r="W16" s="19">
        <v>16</v>
      </c>
      <c r="X16" s="17"/>
      <c r="Y16" s="20"/>
      <c r="Z16" s="20"/>
      <c r="AA16" s="21"/>
      <c r="AB16" s="8">
        <f t="shared" si="4"/>
        <v>1</v>
      </c>
      <c r="AC16" s="9">
        <f t="shared" si="5"/>
        <v>0.33333333333333331</v>
      </c>
      <c r="AD16" s="10">
        <f t="shared" si="6"/>
        <v>0.33333333333333331</v>
      </c>
      <c r="AE16" s="39">
        <f t="shared" si="7"/>
        <v>0.21111111111111111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2960</v>
      </c>
      <c r="K17" s="15">
        <f>L17+5530+6591+6555+7009+6234+3454+6385+6995+7383+4468+7061+7120+7112+7275+6698+6957+7074+6704+6858</f>
        <v>126423</v>
      </c>
      <c r="L17" s="15">
        <v>2960</v>
      </c>
      <c r="M17" s="16">
        <f t="shared" si="0"/>
        <v>2960</v>
      </c>
      <c r="N17" s="16">
        <v>0</v>
      </c>
      <c r="O17" s="62">
        <f t="shared" si="1"/>
        <v>0</v>
      </c>
      <c r="P17" s="42">
        <f t="shared" si="2"/>
        <v>10</v>
      </c>
      <c r="Q17" s="43">
        <f t="shared" si="3"/>
        <v>14</v>
      </c>
      <c r="R17" s="7"/>
      <c r="S17" s="6"/>
      <c r="T17" s="17"/>
      <c r="U17" s="17"/>
      <c r="V17" s="18">
        <v>14</v>
      </c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9">
        <f t="shared" si="7"/>
        <v>0.21111111111111111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1002</v>
      </c>
      <c r="K18" s="15">
        <f>L18+3442+4857+6103+3605+5831+5901+4875+6279+5633+5015+5887+5920+5827+5643+5849+5831+2164+3657</f>
        <v>93321</v>
      </c>
      <c r="L18" s="15">
        <v>1002</v>
      </c>
      <c r="M18" s="16">
        <f t="shared" si="0"/>
        <v>1002</v>
      </c>
      <c r="N18" s="16">
        <v>0</v>
      </c>
      <c r="O18" s="62">
        <f t="shared" si="1"/>
        <v>0</v>
      </c>
      <c r="P18" s="42">
        <f t="shared" si="2"/>
        <v>7</v>
      </c>
      <c r="Q18" s="43">
        <f t="shared" si="3"/>
        <v>17</v>
      </c>
      <c r="R18" s="7"/>
      <c r="S18" s="6">
        <v>17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0.29166666666666669</v>
      </c>
      <c r="AD18" s="10">
        <f t="shared" si="6"/>
        <v>0.29166666666666669</v>
      </c>
      <c r="AE18" s="39">
        <f t="shared" si="7"/>
        <v>0.21111111111111111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247</v>
      </c>
      <c r="F19" s="12" t="s">
        <v>144</v>
      </c>
      <c r="G19" s="36">
        <v>2</v>
      </c>
      <c r="H19" s="13">
        <v>24</v>
      </c>
      <c r="I19" s="7">
        <v>40000</v>
      </c>
      <c r="J19" s="14">
        <v>1442</v>
      </c>
      <c r="K19" s="15">
        <f>L19+7060</f>
        <v>8502</v>
      </c>
      <c r="L19" s="15">
        <f>721*2</f>
        <v>1442</v>
      </c>
      <c r="M19" s="16">
        <f t="shared" si="0"/>
        <v>1442</v>
      </c>
      <c r="N19" s="16">
        <v>0</v>
      </c>
      <c r="O19" s="62">
        <f t="shared" si="1"/>
        <v>0</v>
      </c>
      <c r="P19" s="42">
        <f t="shared" si="2"/>
        <v>6</v>
      </c>
      <c r="Q19" s="43">
        <f t="shared" si="3"/>
        <v>18</v>
      </c>
      <c r="R19" s="7"/>
      <c r="S19" s="6">
        <v>4</v>
      </c>
      <c r="T19" s="17"/>
      <c r="U19" s="17"/>
      <c r="V19" s="18">
        <v>14</v>
      </c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9">
        <f t="shared" si="7"/>
        <v>0.21111111111111111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0.21111111111111111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763500</v>
      </c>
      <c r="J21" s="22">
        <f t="shared" si="9"/>
        <v>62235</v>
      </c>
      <c r="K21" s="23">
        <f t="shared" si="9"/>
        <v>865736</v>
      </c>
      <c r="L21" s="24">
        <f t="shared" si="9"/>
        <v>29785</v>
      </c>
      <c r="M21" s="23">
        <f t="shared" si="9"/>
        <v>29785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76</v>
      </c>
      <c r="Q21" s="46">
        <f t="shared" si="10"/>
        <v>284</v>
      </c>
      <c r="R21" s="26">
        <f t="shared" si="10"/>
        <v>24</v>
      </c>
      <c r="S21" s="27">
        <f t="shared" si="10"/>
        <v>69</v>
      </c>
      <c r="T21" s="27">
        <f t="shared" si="10"/>
        <v>5</v>
      </c>
      <c r="U21" s="27">
        <f t="shared" si="10"/>
        <v>0</v>
      </c>
      <c r="V21" s="28">
        <f t="shared" si="10"/>
        <v>94</v>
      </c>
      <c r="W21" s="29">
        <f t="shared" si="10"/>
        <v>92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</v>
      </c>
      <c r="AC21" s="4">
        <f>SUM(AC6:AC20)/15</f>
        <v>0.21111111111111111</v>
      </c>
      <c r="AD21" s="4">
        <f>SUM(AD6:AD20)/15</f>
        <v>0.21111111111111111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327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330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234" t="s">
        <v>46</v>
      </c>
      <c r="D50" s="234" t="s">
        <v>47</v>
      </c>
      <c r="E50" s="234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234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114</v>
      </c>
      <c r="B51" s="400"/>
      <c r="C51" s="231" t="s">
        <v>130</v>
      </c>
      <c r="D51" s="231" t="s">
        <v>117</v>
      </c>
      <c r="E51" s="231" t="s">
        <v>315</v>
      </c>
      <c r="F51" s="401" t="s">
        <v>314</v>
      </c>
      <c r="G51" s="402"/>
      <c r="H51" s="402"/>
      <c r="I51" s="402"/>
      <c r="J51" s="402"/>
      <c r="K51" s="402"/>
      <c r="L51" s="402"/>
      <c r="M51" s="403"/>
      <c r="N51" s="230" t="s">
        <v>126</v>
      </c>
      <c r="O51" s="124" t="s">
        <v>130</v>
      </c>
      <c r="P51" s="404" t="s">
        <v>131</v>
      </c>
      <c r="Q51" s="405"/>
      <c r="R51" s="400" t="s">
        <v>331</v>
      </c>
      <c r="S51" s="400"/>
      <c r="T51" s="400"/>
      <c r="U51" s="400"/>
      <c r="V51" s="406" t="s">
        <v>146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126</v>
      </c>
      <c r="B52" s="400"/>
      <c r="C52" s="231" t="s">
        <v>184</v>
      </c>
      <c r="D52" s="231" t="s">
        <v>117</v>
      </c>
      <c r="E52" s="231" t="s">
        <v>311</v>
      </c>
      <c r="F52" s="401" t="s">
        <v>328</v>
      </c>
      <c r="G52" s="402"/>
      <c r="H52" s="402"/>
      <c r="I52" s="402"/>
      <c r="J52" s="402"/>
      <c r="K52" s="402"/>
      <c r="L52" s="402"/>
      <c r="M52" s="403"/>
      <c r="N52" s="230" t="s">
        <v>204</v>
      </c>
      <c r="O52" s="124" t="s">
        <v>228</v>
      </c>
      <c r="P52" s="404" t="s">
        <v>134</v>
      </c>
      <c r="Q52" s="405"/>
      <c r="R52" s="400" t="s">
        <v>299</v>
      </c>
      <c r="S52" s="400"/>
      <c r="T52" s="400"/>
      <c r="U52" s="400"/>
      <c r="V52" s="406" t="s">
        <v>124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126</v>
      </c>
      <c r="B53" s="400"/>
      <c r="C53" s="231" t="s">
        <v>137</v>
      </c>
      <c r="D53" s="231" t="s">
        <v>117</v>
      </c>
      <c r="E53" s="231" t="s">
        <v>247</v>
      </c>
      <c r="F53" s="401" t="s">
        <v>329</v>
      </c>
      <c r="G53" s="402"/>
      <c r="H53" s="402"/>
      <c r="I53" s="402"/>
      <c r="J53" s="402"/>
      <c r="K53" s="402"/>
      <c r="L53" s="402"/>
      <c r="M53" s="403"/>
      <c r="N53" s="230" t="s">
        <v>114</v>
      </c>
      <c r="O53" s="124" t="s">
        <v>130</v>
      </c>
      <c r="P53" s="400" t="s">
        <v>117</v>
      </c>
      <c r="Q53" s="400"/>
      <c r="R53" s="400" t="s">
        <v>315</v>
      </c>
      <c r="S53" s="400"/>
      <c r="T53" s="400"/>
      <c r="U53" s="400"/>
      <c r="V53" s="406" t="s">
        <v>124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114</v>
      </c>
      <c r="B54" s="400"/>
      <c r="C54" s="231" t="s">
        <v>191</v>
      </c>
      <c r="D54" s="231" t="s">
        <v>120</v>
      </c>
      <c r="E54" s="231" t="s">
        <v>326</v>
      </c>
      <c r="F54" s="401" t="s">
        <v>119</v>
      </c>
      <c r="G54" s="402"/>
      <c r="H54" s="402"/>
      <c r="I54" s="402"/>
      <c r="J54" s="402"/>
      <c r="K54" s="402"/>
      <c r="L54" s="402"/>
      <c r="M54" s="403"/>
      <c r="N54" s="230" t="s">
        <v>126</v>
      </c>
      <c r="O54" s="124" t="s">
        <v>184</v>
      </c>
      <c r="P54" s="404" t="s">
        <v>117</v>
      </c>
      <c r="Q54" s="405"/>
      <c r="R54" s="400" t="s">
        <v>282</v>
      </c>
      <c r="S54" s="400"/>
      <c r="T54" s="400"/>
      <c r="U54" s="400"/>
      <c r="V54" s="406" t="s">
        <v>124</v>
      </c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204</v>
      </c>
      <c r="B55" s="400"/>
      <c r="C55" s="231" t="s">
        <v>316</v>
      </c>
      <c r="D55" s="231" t="s">
        <v>117</v>
      </c>
      <c r="E55" s="231" t="s">
        <v>317</v>
      </c>
      <c r="F55" s="401" t="s">
        <v>119</v>
      </c>
      <c r="G55" s="402"/>
      <c r="H55" s="402"/>
      <c r="I55" s="402"/>
      <c r="J55" s="402"/>
      <c r="K55" s="402"/>
      <c r="L55" s="402"/>
      <c r="M55" s="403"/>
      <c r="N55" s="230" t="s">
        <v>126</v>
      </c>
      <c r="O55" s="124" t="s">
        <v>191</v>
      </c>
      <c r="P55" s="400" t="s">
        <v>120</v>
      </c>
      <c r="Q55" s="400"/>
      <c r="R55" s="400" t="s">
        <v>332</v>
      </c>
      <c r="S55" s="400"/>
      <c r="T55" s="400"/>
      <c r="U55" s="400"/>
      <c r="V55" s="406" t="s">
        <v>119</v>
      </c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231"/>
      <c r="D56" s="231"/>
      <c r="E56" s="231"/>
      <c r="F56" s="401"/>
      <c r="G56" s="402"/>
      <c r="H56" s="402"/>
      <c r="I56" s="402"/>
      <c r="J56" s="402"/>
      <c r="K56" s="402"/>
      <c r="L56" s="402"/>
      <c r="M56" s="403"/>
      <c r="N56" s="230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231"/>
      <c r="D57" s="231"/>
      <c r="E57" s="231"/>
      <c r="F57" s="406"/>
      <c r="G57" s="406"/>
      <c r="H57" s="406"/>
      <c r="I57" s="406"/>
      <c r="J57" s="406"/>
      <c r="K57" s="406"/>
      <c r="L57" s="406"/>
      <c r="M57" s="407"/>
      <c r="N57" s="230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231"/>
      <c r="D58" s="231"/>
      <c r="E58" s="231"/>
      <c r="F58" s="406"/>
      <c r="G58" s="406"/>
      <c r="H58" s="406"/>
      <c r="I58" s="406"/>
      <c r="J58" s="406"/>
      <c r="K58" s="406"/>
      <c r="L58" s="406"/>
      <c r="M58" s="407"/>
      <c r="N58" s="230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231"/>
      <c r="D59" s="231"/>
      <c r="E59" s="231"/>
      <c r="F59" s="406"/>
      <c r="G59" s="406"/>
      <c r="H59" s="406"/>
      <c r="I59" s="406"/>
      <c r="J59" s="406"/>
      <c r="K59" s="406"/>
      <c r="L59" s="406"/>
      <c r="M59" s="407"/>
      <c r="N59" s="230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233"/>
      <c r="D60" s="233"/>
      <c r="E60" s="233"/>
      <c r="F60" s="410"/>
      <c r="G60" s="410"/>
      <c r="H60" s="410"/>
      <c r="I60" s="410"/>
      <c r="J60" s="410"/>
      <c r="K60" s="410"/>
      <c r="L60" s="410"/>
      <c r="M60" s="411"/>
      <c r="N60" s="232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333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229" t="s">
        <v>2</v>
      </c>
      <c r="D62" s="229" t="s">
        <v>37</v>
      </c>
      <c r="E62" s="229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229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/>
      <c r="D63" s="225"/>
      <c r="E63" s="228"/>
      <c r="F63" s="423"/>
      <c r="G63" s="424"/>
      <c r="H63" s="424"/>
      <c r="I63" s="424"/>
      <c r="J63" s="424"/>
      <c r="K63" s="424"/>
      <c r="L63" s="424"/>
      <c r="M63" s="54"/>
      <c r="N63" s="424"/>
      <c r="O63" s="424"/>
      <c r="P63" s="425"/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/>
      <c r="D64" s="225"/>
      <c r="E64" s="228"/>
      <c r="F64" s="423"/>
      <c r="G64" s="424"/>
      <c r="H64" s="424"/>
      <c r="I64" s="424"/>
      <c r="J64" s="424"/>
      <c r="K64" s="424"/>
      <c r="L64" s="424"/>
      <c r="M64" s="54"/>
      <c r="N64" s="424"/>
      <c r="O64" s="424"/>
      <c r="P64" s="425"/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225"/>
      <c r="E65" s="228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225"/>
      <c r="E66" s="228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225"/>
      <c r="E67" s="228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225"/>
      <c r="E68" s="228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225"/>
      <c r="E69" s="228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225"/>
      <c r="E70" s="228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334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227" t="s">
        <v>2</v>
      </c>
      <c r="D72" s="227" t="s">
        <v>37</v>
      </c>
      <c r="E72" s="227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226" t="s">
        <v>114</v>
      </c>
      <c r="D73" s="226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225"/>
      <c r="D74" s="225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225"/>
      <c r="D75" s="225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225"/>
      <c r="D76" s="225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225"/>
      <c r="D77" s="225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225"/>
      <c r="D78" s="225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225"/>
      <c r="D79" s="225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225"/>
      <c r="D80" s="225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225"/>
      <c r="D81" s="225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335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FCAF-7A42-471C-B6BD-D20A138A3616}">
  <sheetPr>
    <pageSetUpPr fitToPage="1"/>
  </sheetPr>
  <dimension ref="A1:AF86"/>
  <sheetViews>
    <sheetView zoomScale="72" zoomScaleNormal="72" zoomScaleSheetLayoutView="70" workbookViewId="0">
      <selection activeCell="J16" sqref="J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336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36" t="s">
        <v>17</v>
      </c>
      <c r="L5" s="236" t="s">
        <v>18</v>
      </c>
      <c r="M5" s="236" t="s">
        <v>19</v>
      </c>
      <c r="N5" s="23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0.3972222222222222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0.3972222222222222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2308</v>
      </c>
      <c r="K8" s="15">
        <f>L8+4226+6836+7688+6790+7670+5621+7015+7715+6622+7015+7123+7122+7421+6809+7012+7150+7008+7231+2308</f>
        <v>126382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0.3972222222222222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37" t="s">
        <v>114</v>
      </c>
      <c r="D9" s="55" t="s">
        <v>117</v>
      </c>
      <c r="E9" s="57" t="s">
        <v>315</v>
      </c>
      <c r="F9" s="33" t="s">
        <v>199</v>
      </c>
      <c r="G9" s="36">
        <v>1</v>
      </c>
      <c r="H9" s="38">
        <v>25</v>
      </c>
      <c r="I9" s="7">
        <v>500</v>
      </c>
      <c r="J9" s="5">
        <v>1100</v>
      </c>
      <c r="K9" s="15">
        <f>L9</f>
        <v>1100</v>
      </c>
      <c r="L9" s="15">
        <f>1100</f>
        <v>1100</v>
      </c>
      <c r="M9" s="16">
        <f t="shared" si="0"/>
        <v>1100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/>
      <c r="W9" s="19">
        <v>16</v>
      </c>
      <c r="X9" s="17"/>
      <c r="Y9" s="20"/>
      <c r="Z9" s="20"/>
      <c r="AA9" s="21"/>
      <c r="AB9" s="8">
        <f t="shared" si="4"/>
        <v>1</v>
      </c>
      <c r="AC9" s="9">
        <f t="shared" si="5"/>
        <v>0.33333333333333331</v>
      </c>
      <c r="AD9" s="10">
        <f t="shared" si="6"/>
        <v>0.33333333333333331</v>
      </c>
      <c r="AE9" s="39">
        <f t="shared" si="7"/>
        <v>0.3972222222222222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6382</v>
      </c>
      <c r="K10" s="15">
        <f>L10+3648+6356+6488+6387+7137+3143</f>
        <v>39541</v>
      </c>
      <c r="L10" s="15">
        <f>3307+3075</f>
        <v>6382</v>
      </c>
      <c r="M10" s="16">
        <f t="shared" si="0"/>
        <v>6382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0.3972222222222222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204</v>
      </c>
      <c r="D11" s="55" t="s">
        <v>134</v>
      </c>
      <c r="E11" s="57" t="s">
        <v>299</v>
      </c>
      <c r="F11" s="12" t="s">
        <v>149</v>
      </c>
      <c r="G11" s="12">
        <v>1</v>
      </c>
      <c r="H11" s="13">
        <v>25</v>
      </c>
      <c r="I11" s="7">
        <v>1000</v>
      </c>
      <c r="J11" s="14">
        <v>2410</v>
      </c>
      <c r="K11" s="15">
        <f>L11</f>
        <v>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0.3972222222222222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338</v>
      </c>
      <c r="E12" s="57" t="s">
        <v>337</v>
      </c>
      <c r="F12" s="33" t="s">
        <v>116</v>
      </c>
      <c r="G12" s="36">
        <v>1</v>
      </c>
      <c r="H12" s="38">
        <v>24</v>
      </c>
      <c r="I12" s="7">
        <v>5200</v>
      </c>
      <c r="J12" s="14">
        <v>3939</v>
      </c>
      <c r="K12" s="15">
        <f>L12</f>
        <v>3939</v>
      </c>
      <c r="L12" s="15">
        <f>1950+1989</f>
        <v>3939</v>
      </c>
      <c r="M12" s="16">
        <f t="shared" si="0"/>
        <v>3939</v>
      </c>
      <c r="N12" s="16">
        <v>0</v>
      </c>
      <c r="O12" s="62">
        <f t="shared" si="1"/>
        <v>0</v>
      </c>
      <c r="P12" s="42">
        <f t="shared" si="2"/>
        <v>17</v>
      </c>
      <c r="Q12" s="43">
        <f t="shared" si="3"/>
        <v>7</v>
      </c>
      <c r="R12" s="7"/>
      <c r="S12" s="6">
        <v>4</v>
      </c>
      <c r="T12" s="17">
        <v>3</v>
      </c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0.70833333333333337</v>
      </c>
      <c r="AD12" s="10">
        <f t="shared" si="6"/>
        <v>0.70833333333333337</v>
      </c>
      <c r="AE12" s="39">
        <f t="shared" si="7"/>
        <v>0.3972222222222222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131</v>
      </c>
      <c r="E13" s="57" t="s">
        <v>271</v>
      </c>
      <c r="F13" s="12" t="s">
        <v>127</v>
      </c>
      <c r="G13" s="12">
        <v>1</v>
      </c>
      <c r="H13" s="13">
        <v>25</v>
      </c>
      <c r="I13" s="7">
        <v>20000</v>
      </c>
      <c r="J13" s="14">
        <v>2650</v>
      </c>
      <c r="K13" s="15">
        <f>L13+4179+2505+6064+2650</f>
        <v>15398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0.3972222222222222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204</v>
      </c>
      <c r="D14" s="55" t="s">
        <v>117</v>
      </c>
      <c r="E14" s="57" t="s">
        <v>317</v>
      </c>
      <c r="F14" s="33" t="s">
        <v>325</v>
      </c>
      <c r="G14" s="36">
        <v>1</v>
      </c>
      <c r="H14" s="38">
        <v>25</v>
      </c>
      <c r="I14" s="7">
        <v>500</v>
      </c>
      <c r="J14" s="5">
        <v>308</v>
      </c>
      <c r="K14" s="15">
        <f>L14+204</f>
        <v>512</v>
      </c>
      <c r="L14" s="15">
        <v>308</v>
      </c>
      <c r="M14" s="16">
        <f t="shared" si="0"/>
        <v>308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/>
      <c r="U14" s="17"/>
      <c r="V14" s="18"/>
      <c r="W14" s="19">
        <v>19</v>
      </c>
      <c r="X14" s="17"/>
      <c r="Y14" s="20"/>
      <c r="Z14" s="20"/>
      <c r="AA14" s="21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9">
        <f t="shared" si="7"/>
        <v>0.3972222222222222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19229</v>
      </c>
      <c r="K15" s="15">
        <f>L15+32805+66430+67599+62860+19229</f>
        <v>248923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0.3972222222222222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120</v>
      </c>
      <c r="E16" s="57" t="s">
        <v>339</v>
      </c>
      <c r="F16" s="33" t="s">
        <v>199</v>
      </c>
      <c r="G16" s="36">
        <v>1</v>
      </c>
      <c r="H16" s="38">
        <v>24</v>
      </c>
      <c r="I16" s="7">
        <v>35000</v>
      </c>
      <c r="J16" s="5">
        <v>4512</v>
      </c>
      <c r="K16" s="15">
        <f>L16</f>
        <v>4512</v>
      </c>
      <c r="L16" s="15">
        <f>2008+2504</f>
        <v>4512</v>
      </c>
      <c r="M16" s="16">
        <f t="shared" si="0"/>
        <v>4512</v>
      </c>
      <c r="N16" s="16">
        <v>0</v>
      </c>
      <c r="O16" s="62">
        <f t="shared" si="1"/>
        <v>0</v>
      </c>
      <c r="P16" s="42">
        <f t="shared" si="2"/>
        <v>22</v>
      </c>
      <c r="Q16" s="43">
        <f t="shared" si="3"/>
        <v>2</v>
      </c>
      <c r="R16" s="7"/>
      <c r="S16" s="6"/>
      <c r="T16" s="17">
        <v>2</v>
      </c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0.91666666666666663</v>
      </c>
      <c r="AD16" s="10">
        <f t="shared" si="6"/>
        <v>0.91666666666666663</v>
      </c>
      <c r="AE16" s="39">
        <f t="shared" si="7"/>
        <v>0.3972222222222222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6544</v>
      </c>
      <c r="K17" s="15">
        <f>L17+5530+6591+6555+7009+6234+3454+6385+6995+7383+4468+7061+7120+7112+7275+6698+6957+7074+6704+6858+2960</f>
        <v>132967</v>
      </c>
      <c r="L17" s="15">
        <f>2987+3557</f>
        <v>6544</v>
      </c>
      <c r="M17" s="16">
        <f t="shared" si="0"/>
        <v>6544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0.3972222222222222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4031</v>
      </c>
      <c r="K18" s="15">
        <f>L18+3442+4857+6103+3605+5831+5901+4875+6279+5633+5015+5887+5920+5827+5643+5849+5831+2164+3657+1002</f>
        <v>97352</v>
      </c>
      <c r="L18" s="15">
        <f>3263+768</f>
        <v>4031</v>
      </c>
      <c r="M18" s="16">
        <f t="shared" si="0"/>
        <v>4031</v>
      </c>
      <c r="N18" s="16">
        <v>0</v>
      </c>
      <c r="O18" s="62">
        <f t="shared" si="1"/>
        <v>0</v>
      </c>
      <c r="P18" s="42">
        <f t="shared" si="2"/>
        <v>19</v>
      </c>
      <c r="Q18" s="43">
        <f t="shared" si="3"/>
        <v>5</v>
      </c>
      <c r="R18" s="7"/>
      <c r="S18" s="6">
        <v>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9">
        <f t="shared" si="7"/>
        <v>0.3972222222222222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247</v>
      </c>
      <c r="F19" s="12" t="s">
        <v>144</v>
      </c>
      <c r="G19" s="36">
        <v>2</v>
      </c>
      <c r="H19" s="13">
        <v>24</v>
      </c>
      <c r="I19" s="7">
        <v>40000</v>
      </c>
      <c r="J19" s="14">
        <v>10364</v>
      </c>
      <c r="K19" s="15">
        <f>L19+7060+1442</f>
        <v>18866</v>
      </c>
      <c r="L19" s="15">
        <f>2242*2+2940*2</f>
        <v>10364</v>
      </c>
      <c r="M19" s="16">
        <f t="shared" si="0"/>
        <v>10364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0.3972222222222222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0.3972222222222222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782200</v>
      </c>
      <c r="J21" s="22">
        <f t="shared" si="9"/>
        <v>74253</v>
      </c>
      <c r="K21" s="23">
        <f t="shared" si="9"/>
        <v>859184</v>
      </c>
      <c r="L21" s="24">
        <f t="shared" si="9"/>
        <v>37180</v>
      </c>
      <c r="M21" s="23">
        <f t="shared" si="9"/>
        <v>37180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143</v>
      </c>
      <c r="Q21" s="46">
        <f t="shared" si="10"/>
        <v>217</v>
      </c>
      <c r="R21" s="26">
        <f t="shared" si="10"/>
        <v>24</v>
      </c>
      <c r="S21" s="27">
        <f t="shared" si="10"/>
        <v>33</v>
      </c>
      <c r="T21" s="27">
        <f t="shared" si="10"/>
        <v>5</v>
      </c>
      <c r="U21" s="27">
        <f t="shared" si="10"/>
        <v>0</v>
      </c>
      <c r="V21" s="28">
        <f t="shared" si="10"/>
        <v>48</v>
      </c>
      <c r="W21" s="29">
        <f t="shared" si="10"/>
        <v>107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0.53333333333333333</v>
      </c>
      <c r="AC21" s="4">
        <f>SUM(AC6:AC20)/15</f>
        <v>0.3972222222222222</v>
      </c>
      <c r="AD21" s="4">
        <f>SUM(AD6:AD20)/15</f>
        <v>0.3972222222222222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340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342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237" t="s">
        <v>46</v>
      </c>
      <c r="D50" s="237" t="s">
        <v>47</v>
      </c>
      <c r="E50" s="237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237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114</v>
      </c>
      <c r="B51" s="400"/>
      <c r="C51" s="239" t="s">
        <v>130</v>
      </c>
      <c r="D51" s="239" t="s">
        <v>117</v>
      </c>
      <c r="E51" s="239" t="s">
        <v>315</v>
      </c>
      <c r="F51" s="401" t="s">
        <v>124</v>
      </c>
      <c r="G51" s="402"/>
      <c r="H51" s="402"/>
      <c r="I51" s="402"/>
      <c r="J51" s="402"/>
      <c r="K51" s="402"/>
      <c r="L51" s="402"/>
      <c r="M51" s="403"/>
      <c r="N51" s="238" t="s">
        <v>204</v>
      </c>
      <c r="O51" s="124" t="s">
        <v>228</v>
      </c>
      <c r="P51" s="404" t="s">
        <v>134</v>
      </c>
      <c r="Q51" s="405"/>
      <c r="R51" s="400" t="s">
        <v>299</v>
      </c>
      <c r="S51" s="400"/>
      <c r="T51" s="400"/>
      <c r="U51" s="400"/>
      <c r="V51" s="406" t="s">
        <v>124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126</v>
      </c>
      <c r="B52" s="400"/>
      <c r="C52" s="239" t="s">
        <v>184</v>
      </c>
      <c r="D52" s="239" t="s">
        <v>117</v>
      </c>
      <c r="E52" s="239" t="s">
        <v>311</v>
      </c>
      <c r="F52" s="401" t="s">
        <v>124</v>
      </c>
      <c r="G52" s="402"/>
      <c r="H52" s="402"/>
      <c r="I52" s="402"/>
      <c r="J52" s="402"/>
      <c r="K52" s="402"/>
      <c r="L52" s="402"/>
      <c r="M52" s="403"/>
      <c r="N52" s="238" t="s">
        <v>126</v>
      </c>
      <c r="O52" s="124" t="s">
        <v>230</v>
      </c>
      <c r="P52" s="404" t="s">
        <v>341</v>
      </c>
      <c r="Q52" s="405"/>
      <c r="R52" s="400" t="s">
        <v>337</v>
      </c>
      <c r="S52" s="400"/>
      <c r="T52" s="400"/>
      <c r="U52" s="400"/>
      <c r="V52" s="406" t="s">
        <v>124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126</v>
      </c>
      <c r="B53" s="400"/>
      <c r="C53" s="239" t="s">
        <v>191</v>
      </c>
      <c r="D53" s="239" t="s">
        <v>120</v>
      </c>
      <c r="E53" s="239" t="s">
        <v>332</v>
      </c>
      <c r="F53" s="401" t="s">
        <v>119</v>
      </c>
      <c r="G53" s="402"/>
      <c r="H53" s="402"/>
      <c r="I53" s="402"/>
      <c r="J53" s="402"/>
      <c r="K53" s="402"/>
      <c r="L53" s="402"/>
      <c r="M53" s="403"/>
      <c r="N53" s="238"/>
      <c r="O53" s="124"/>
      <c r="P53" s="400"/>
      <c r="Q53" s="400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126</v>
      </c>
      <c r="B54" s="400"/>
      <c r="C54" s="239" t="s">
        <v>230</v>
      </c>
      <c r="D54" s="239" t="s">
        <v>341</v>
      </c>
      <c r="E54" s="239" t="s">
        <v>337</v>
      </c>
      <c r="F54" s="401" t="s">
        <v>343</v>
      </c>
      <c r="G54" s="402"/>
      <c r="H54" s="402"/>
      <c r="I54" s="402"/>
      <c r="J54" s="402"/>
      <c r="K54" s="402"/>
      <c r="L54" s="402"/>
      <c r="M54" s="403"/>
      <c r="N54" s="238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239"/>
      <c r="D55" s="239"/>
      <c r="E55" s="239"/>
      <c r="F55" s="401"/>
      <c r="G55" s="402"/>
      <c r="H55" s="402"/>
      <c r="I55" s="402"/>
      <c r="J55" s="402"/>
      <c r="K55" s="402"/>
      <c r="L55" s="402"/>
      <c r="M55" s="403"/>
      <c r="N55" s="238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239"/>
      <c r="D56" s="239"/>
      <c r="E56" s="239"/>
      <c r="F56" s="401"/>
      <c r="G56" s="402"/>
      <c r="H56" s="402"/>
      <c r="I56" s="402"/>
      <c r="J56" s="402"/>
      <c r="K56" s="402"/>
      <c r="L56" s="402"/>
      <c r="M56" s="403"/>
      <c r="N56" s="238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239"/>
      <c r="D57" s="239"/>
      <c r="E57" s="239"/>
      <c r="F57" s="406"/>
      <c r="G57" s="406"/>
      <c r="H57" s="406"/>
      <c r="I57" s="406"/>
      <c r="J57" s="406"/>
      <c r="K57" s="406"/>
      <c r="L57" s="406"/>
      <c r="M57" s="407"/>
      <c r="N57" s="238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239"/>
      <c r="D58" s="239"/>
      <c r="E58" s="239"/>
      <c r="F58" s="406"/>
      <c r="G58" s="406"/>
      <c r="H58" s="406"/>
      <c r="I58" s="406"/>
      <c r="J58" s="406"/>
      <c r="K58" s="406"/>
      <c r="L58" s="406"/>
      <c r="M58" s="407"/>
      <c r="N58" s="238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239"/>
      <c r="D59" s="239"/>
      <c r="E59" s="239"/>
      <c r="F59" s="406"/>
      <c r="G59" s="406"/>
      <c r="H59" s="406"/>
      <c r="I59" s="406"/>
      <c r="J59" s="406"/>
      <c r="K59" s="406"/>
      <c r="L59" s="406"/>
      <c r="M59" s="407"/>
      <c r="N59" s="238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241"/>
      <c r="D60" s="241"/>
      <c r="E60" s="241"/>
      <c r="F60" s="410"/>
      <c r="G60" s="410"/>
      <c r="H60" s="410"/>
      <c r="I60" s="410"/>
      <c r="J60" s="410"/>
      <c r="K60" s="410"/>
      <c r="L60" s="410"/>
      <c r="M60" s="411"/>
      <c r="N60" s="240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344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242" t="s">
        <v>2</v>
      </c>
      <c r="D62" s="242" t="s">
        <v>37</v>
      </c>
      <c r="E62" s="242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242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126</v>
      </c>
      <c r="D63" s="245"/>
      <c r="E63" s="243" t="s">
        <v>131</v>
      </c>
      <c r="F63" s="423" t="s">
        <v>345</v>
      </c>
      <c r="G63" s="424"/>
      <c r="H63" s="424"/>
      <c r="I63" s="424"/>
      <c r="J63" s="424"/>
      <c r="K63" s="424" t="s">
        <v>122</v>
      </c>
      <c r="L63" s="424"/>
      <c r="M63" s="54" t="s">
        <v>175</v>
      </c>
      <c r="N63" s="424">
        <v>3</v>
      </c>
      <c r="O63" s="424"/>
      <c r="P63" s="425">
        <v>200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118</v>
      </c>
      <c r="D64" s="245"/>
      <c r="E64" s="243" t="s">
        <v>128</v>
      </c>
      <c r="F64" s="423" t="s">
        <v>346</v>
      </c>
      <c r="G64" s="424"/>
      <c r="H64" s="424"/>
      <c r="I64" s="424"/>
      <c r="J64" s="424"/>
      <c r="K64" s="424" t="s">
        <v>347</v>
      </c>
      <c r="L64" s="424"/>
      <c r="M64" s="54" t="s">
        <v>175</v>
      </c>
      <c r="N64" s="424">
        <v>8</v>
      </c>
      <c r="O64" s="424"/>
      <c r="P64" s="425"/>
      <c r="Q64" s="425"/>
      <c r="R64" s="406" t="s">
        <v>348</v>
      </c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 t="s">
        <v>114</v>
      </c>
      <c r="D65" s="245"/>
      <c r="E65" s="243" t="s">
        <v>117</v>
      </c>
      <c r="F65" s="423" t="s">
        <v>319</v>
      </c>
      <c r="G65" s="424"/>
      <c r="H65" s="424"/>
      <c r="I65" s="424"/>
      <c r="J65" s="424"/>
      <c r="K65" s="424">
        <v>7301</v>
      </c>
      <c r="L65" s="424"/>
      <c r="M65" s="54" t="s">
        <v>175</v>
      </c>
      <c r="N65" s="424">
        <v>9</v>
      </c>
      <c r="O65" s="424"/>
      <c r="P65" s="425">
        <v>50</v>
      </c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245"/>
      <c r="E66" s="243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245"/>
      <c r="E67" s="243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245"/>
      <c r="E68" s="243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245"/>
      <c r="E69" s="243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245"/>
      <c r="E70" s="243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349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244" t="s">
        <v>2</v>
      </c>
      <c r="D72" s="244" t="s">
        <v>37</v>
      </c>
      <c r="E72" s="244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246" t="s">
        <v>114</v>
      </c>
      <c r="D73" s="246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245"/>
      <c r="D74" s="245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245"/>
      <c r="D75" s="245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245"/>
      <c r="D76" s="245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245"/>
      <c r="D77" s="245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245"/>
      <c r="D78" s="245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245"/>
      <c r="D79" s="245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245"/>
      <c r="D80" s="245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245"/>
      <c r="D81" s="245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350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9187-D23E-4474-8682-237FAF9373FB}">
  <sheetPr>
    <pageSetUpPr fitToPage="1"/>
  </sheetPr>
  <dimension ref="A1:AF86"/>
  <sheetViews>
    <sheetView zoomScale="72" zoomScaleNormal="72" zoomScaleSheetLayoutView="70" workbookViewId="0">
      <selection activeCell="F76" sqref="F76:J7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351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57" t="s">
        <v>17</v>
      </c>
      <c r="L5" s="257" t="s">
        <v>18</v>
      </c>
      <c r="M5" s="257" t="s">
        <v>19</v>
      </c>
      <c r="N5" s="25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0.2638888888888889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0.2638888888888889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2308</v>
      </c>
      <c r="K8" s="15">
        <f>L8+4226+6836+7688+6790+7670+5621+7015+7715+6622+7015+7123+7122+7421+6809+7012+7150+7008+7231+2308</f>
        <v>126382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0.2638888888888889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126</v>
      </c>
      <c r="D9" s="55" t="s">
        <v>338</v>
      </c>
      <c r="E9" s="57" t="s">
        <v>337</v>
      </c>
      <c r="F9" s="33" t="s">
        <v>116</v>
      </c>
      <c r="G9" s="36">
        <v>1</v>
      </c>
      <c r="H9" s="38">
        <v>24</v>
      </c>
      <c r="I9" s="7">
        <v>5200</v>
      </c>
      <c r="J9" s="14">
        <v>2202</v>
      </c>
      <c r="K9" s="15">
        <f>L9</f>
        <v>2202</v>
      </c>
      <c r="L9" s="15">
        <f>351+1851</f>
        <v>2202</v>
      </c>
      <c r="M9" s="16">
        <f t="shared" ref="M9" si="9">L9-N9</f>
        <v>2202</v>
      </c>
      <c r="N9" s="16">
        <v>0</v>
      </c>
      <c r="O9" s="62">
        <f t="shared" ref="O9" si="10">IF(L9=0,"0",N9/L9)</f>
        <v>0</v>
      </c>
      <c r="P9" s="42">
        <f t="shared" ref="P9" si="11">IF(L9=0,"0",(24-Q9))</f>
        <v>16</v>
      </c>
      <c r="Q9" s="43">
        <f t="shared" ref="Q9" si="12">SUM(R9:AA9)</f>
        <v>8</v>
      </c>
      <c r="R9" s="7"/>
      <c r="S9" s="6"/>
      <c r="T9" s="17">
        <v>6</v>
      </c>
      <c r="U9" s="17"/>
      <c r="V9" s="18">
        <v>2</v>
      </c>
      <c r="W9" s="19"/>
      <c r="X9" s="17"/>
      <c r="Y9" s="20"/>
      <c r="Z9" s="20"/>
      <c r="AA9" s="21"/>
      <c r="AB9" s="8">
        <f t="shared" ref="AB9" si="13">IF(J9=0,"0",(L9/J9))</f>
        <v>1</v>
      </c>
      <c r="AC9" s="9">
        <f t="shared" ref="AC9" si="14">IF(P9=0,"0",(P9/24))</f>
        <v>0.66666666666666663</v>
      </c>
      <c r="AD9" s="10">
        <f t="shared" ref="AD9" si="15">AC9*AB9*(1-O9)</f>
        <v>0.66666666666666663</v>
      </c>
      <c r="AE9" s="39">
        <f t="shared" si="7"/>
        <v>0.2638888888888889</v>
      </c>
      <c r="AF9" s="93">
        <f t="shared" ref="AF9" si="16">A9</f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6382</v>
      </c>
      <c r="K10" s="15">
        <f>L10+3648+6356+6488+6387+7137+3143+6382</f>
        <v>39541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0.2638888888888889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204</v>
      </c>
      <c r="D11" s="55" t="s">
        <v>134</v>
      </c>
      <c r="E11" s="57" t="s">
        <v>299</v>
      </c>
      <c r="F11" s="12" t="s">
        <v>149</v>
      </c>
      <c r="G11" s="12">
        <v>1</v>
      </c>
      <c r="H11" s="13">
        <v>25</v>
      </c>
      <c r="I11" s="7">
        <v>1000</v>
      </c>
      <c r="J11" s="14">
        <v>1597</v>
      </c>
      <c r="K11" s="15">
        <f>L11</f>
        <v>1597</v>
      </c>
      <c r="L11" s="15">
        <f>1597</f>
        <v>1597</v>
      </c>
      <c r="M11" s="16">
        <f t="shared" si="0"/>
        <v>1597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>
        <v>6</v>
      </c>
      <c r="T11" s="17"/>
      <c r="U11" s="17"/>
      <c r="V11" s="18"/>
      <c r="W11" s="19">
        <v>8</v>
      </c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0.2638888888888889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338</v>
      </c>
      <c r="E12" s="57" t="s">
        <v>337</v>
      </c>
      <c r="F12" s="33" t="s">
        <v>116</v>
      </c>
      <c r="G12" s="36">
        <v>1</v>
      </c>
      <c r="H12" s="38">
        <v>24</v>
      </c>
      <c r="I12" s="7">
        <v>5200</v>
      </c>
      <c r="J12" s="14">
        <v>1818</v>
      </c>
      <c r="K12" s="15">
        <f>L12+3939</f>
        <v>5757</v>
      </c>
      <c r="L12" s="15">
        <v>1818</v>
      </c>
      <c r="M12" s="16">
        <f t="shared" si="0"/>
        <v>1818</v>
      </c>
      <c r="N12" s="16">
        <v>0</v>
      </c>
      <c r="O12" s="62">
        <f t="shared" si="1"/>
        <v>0</v>
      </c>
      <c r="P12" s="42">
        <f t="shared" si="2"/>
        <v>7</v>
      </c>
      <c r="Q12" s="43">
        <f t="shared" si="3"/>
        <v>17</v>
      </c>
      <c r="R12" s="7"/>
      <c r="S12" s="6"/>
      <c r="T12" s="17"/>
      <c r="U12" s="17"/>
      <c r="V12" s="18"/>
      <c r="W12" s="19">
        <v>17</v>
      </c>
      <c r="X12" s="17"/>
      <c r="Y12" s="20"/>
      <c r="Z12" s="20"/>
      <c r="AA12" s="21"/>
      <c r="AB12" s="8">
        <f t="shared" si="4"/>
        <v>1</v>
      </c>
      <c r="AC12" s="9">
        <f t="shared" si="5"/>
        <v>0.29166666666666669</v>
      </c>
      <c r="AD12" s="10">
        <f t="shared" si="6"/>
        <v>0.29166666666666669</v>
      </c>
      <c r="AE12" s="39">
        <f t="shared" si="7"/>
        <v>0.2638888888888889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118</v>
      </c>
      <c r="D13" s="55" t="s">
        <v>131</v>
      </c>
      <c r="E13" s="57" t="s">
        <v>271</v>
      </c>
      <c r="F13" s="12" t="s">
        <v>127</v>
      </c>
      <c r="G13" s="12">
        <v>1</v>
      </c>
      <c r="H13" s="13">
        <v>25</v>
      </c>
      <c r="I13" s="7">
        <v>20000</v>
      </c>
      <c r="J13" s="14">
        <v>2650</v>
      </c>
      <c r="K13" s="15">
        <f>L13+4179+2505+6064+2650</f>
        <v>15398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0.2638888888888889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204</v>
      </c>
      <c r="D14" s="55" t="s">
        <v>117</v>
      </c>
      <c r="E14" s="57" t="s">
        <v>317</v>
      </c>
      <c r="F14" s="33" t="s">
        <v>325</v>
      </c>
      <c r="G14" s="36">
        <v>1</v>
      </c>
      <c r="H14" s="38">
        <v>25</v>
      </c>
      <c r="I14" s="7">
        <v>500</v>
      </c>
      <c r="J14" s="5">
        <v>308</v>
      </c>
      <c r="K14" s="15">
        <f>L14+204+308</f>
        <v>512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0.2638888888888889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19229</v>
      </c>
      <c r="K15" s="15">
        <f>L15+32805+66430+67599+62860+19229</f>
        <v>248923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0.2638888888888889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120</v>
      </c>
      <c r="E16" s="57" t="s">
        <v>339</v>
      </c>
      <c r="F16" s="33" t="s">
        <v>199</v>
      </c>
      <c r="G16" s="36">
        <v>1</v>
      </c>
      <c r="H16" s="38">
        <v>24</v>
      </c>
      <c r="I16" s="7">
        <v>35000</v>
      </c>
      <c r="J16" s="5">
        <v>3969</v>
      </c>
      <c r="K16" s="15">
        <f>L16+4512</f>
        <v>8481</v>
      </c>
      <c r="L16" s="15">
        <f>1656+2313</f>
        <v>3969</v>
      </c>
      <c r="M16" s="16">
        <f t="shared" si="0"/>
        <v>3969</v>
      </c>
      <c r="N16" s="16">
        <v>0</v>
      </c>
      <c r="O16" s="62">
        <f t="shared" si="1"/>
        <v>0</v>
      </c>
      <c r="P16" s="42">
        <f t="shared" si="2"/>
        <v>20</v>
      </c>
      <c r="Q16" s="43">
        <f t="shared" si="3"/>
        <v>4</v>
      </c>
      <c r="R16" s="7"/>
      <c r="S16" s="6">
        <v>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0.83333333333333337</v>
      </c>
      <c r="AD16" s="10">
        <f t="shared" si="6"/>
        <v>0.83333333333333337</v>
      </c>
      <c r="AE16" s="39">
        <f t="shared" si="7"/>
        <v>0.2638888888888889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6544</v>
      </c>
      <c r="K17" s="15">
        <f>L17+5530+6591+6555+7009+6234+3454+6385+6995+7383+4468+7061+7120+7112+7275+6698+6957+7074+6704+6858+2960+6544</f>
        <v>132967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0.2638888888888889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3549</v>
      </c>
      <c r="K18" s="15">
        <f>L18+3442+4857+6103+3605+5831+5901+4875+6279+5633+5015+5887+5920+5827+5643+5849+5831+2164+3657+1002+4031</f>
        <v>100901</v>
      </c>
      <c r="L18" s="15">
        <f>1016+2533</f>
        <v>3549</v>
      </c>
      <c r="M18" s="16">
        <f t="shared" si="0"/>
        <v>3549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0.2638888888888889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247</v>
      </c>
      <c r="F19" s="12" t="s">
        <v>144</v>
      </c>
      <c r="G19" s="36">
        <v>2</v>
      </c>
      <c r="H19" s="13">
        <v>24</v>
      </c>
      <c r="I19" s="7">
        <v>40000</v>
      </c>
      <c r="J19" s="14">
        <v>9550</v>
      </c>
      <c r="K19" s="15">
        <f>L19+7060+1442+10364</f>
        <v>28416</v>
      </c>
      <c r="L19" s="15">
        <f>2362*2+2413*2</f>
        <v>9550</v>
      </c>
      <c r="M19" s="16">
        <f t="shared" si="0"/>
        <v>9550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9">
        <f t="shared" si="7"/>
        <v>0.2638888888888889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0.2638888888888889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17">SUM(I6:I20)</f>
        <v>786900</v>
      </c>
      <c r="J21" s="22">
        <f t="shared" si="17"/>
        <v>70582</v>
      </c>
      <c r="K21" s="23">
        <f t="shared" si="17"/>
        <v>880769</v>
      </c>
      <c r="L21" s="24">
        <f t="shared" si="17"/>
        <v>22685</v>
      </c>
      <c r="M21" s="23">
        <f t="shared" si="17"/>
        <v>22685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95</v>
      </c>
      <c r="Q21" s="46">
        <f t="shared" si="18"/>
        <v>265</v>
      </c>
      <c r="R21" s="26">
        <f t="shared" si="18"/>
        <v>24</v>
      </c>
      <c r="S21" s="27">
        <f t="shared" si="18"/>
        <v>16</v>
      </c>
      <c r="T21" s="27">
        <f t="shared" si="18"/>
        <v>6</v>
      </c>
      <c r="U21" s="27">
        <f t="shared" si="18"/>
        <v>0</v>
      </c>
      <c r="V21" s="28">
        <f t="shared" si="18"/>
        <v>50</v>
      </c>
      <c r="W21" s="29">
        <f t="shared" si="18"/>
        <v>121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48</v>
      </c>
      <c r="AB21" s="31">
        <f>SUM(AB6:AB20)/15</f>
        <v>0.4</v>
      </c>
      <c r="AC21" s="4">
        <f>SUM(AC6:AC20)/15</f>
        <v>0.2638888888888889</v>
      </c>
      <c r="AD21" s="4">
        <f>SUM(AD6:AD20)/15</f>
        <v>0.2638888888888889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352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356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256" t="s">
        <v>46</v>
      </c>
      <c r="D50" s="256" t="s">
        <v>47</v>
      </c>
      <c r="E50" s="256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256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126</v>
      </c>
      <c r="B51" s="400"/>
      <c r="C51" s="253" t="s">
        <v>130</v>
      </c>
      <c r="D51" s="253" t="s">
        <v>341</v>
      </c>
      <c r="E51" s="253" t="s">
        <v>337</v>
      </c>
      <c r="F51" s="401" t="s">
        <v>353</v>
      </c>
      <c r="G51" s="402"/>
      <c r="H51" s="402"/>
      <c r="I51" s="402"/>
      <c r="J51" s="402"/>
      <c r="K51" s="402"/>
      <c r="L51" s="402"/>
      <c r="M51" s="403"/>
      <c r="N51" s="252" t="s">
        <v>126</v>
      </c>
      <c r="O51" s="124" t="s">
        <v>184</v>
      </c>
      <c r="P51" s="404" t="s">
        <v>117</v>
      </c>
      <c r="Q51" s="405"/>
      <c r="R51" s="400" t="s">
        <v>311</v>
      </c>
      <c r="S51" s="400"/>
      <c r="T51" s="400"/>
      <c r="U51" s="400"/>
      <c r="V51" s="406" t="s">
        <v>124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126</v>
      </c>
      <c r="B52" s="400"/>
      <c r="C52" s="253" t="s">
        <v>184</v>
      </c>
      <c r="D52" s="253" t="s">
        <v>117</v>
      </c>
      <c r="E52" s="253" t="s">
        <v>311</v>
      </c>
      <c r="F52" s="401" t="s">
        <v>165</v>
      </c>
      <c r="G52" s="402"/>
      <c r="H52" s="402"/>
      <c r="I52" s="402"/>
      <c r="J52" s="402"/>
      <c r="K52" s="402"/>
      <c r="L52" s="402"/>
      <c r="M52" s="403"/>
      <c r="N52" s="252" t="s">
        <v>126</v>
      </c>
      <c r="O52" s="124" t="s">
        <v>191</v>
      </c>
      <c r="P52" s="404" t="s">
        <v>120</v>
      </c>
      <c r="Q52" s="405"/>
      <c r="R52" s="400" t="s">
        <v>332</v>
      </c>
      <c r="S52" s="400"/>
      <c r="T52" s="400"/>
      <c r="U52" s="400"/>
      <c r="V52" s="406" t="s">
        <v>124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126</v>
      </c>
      <c r="B53" s="400"/>
      <c r="C53" s="253" t="s">
        <v>191</v>
      </c>
      <c r="D53" s="253" t="s">
        <v>120</v>
      </c>
      <c r="E53" s="253" t="s">
        <v>332</v>
      </c>
      <c r="F53" s="401" t="s">
        <v>354</v>
      </c>
      <c r="G53" s="402"/>
      <c r="H53" s="402"/>
      <c r="I53" s="402"/>
      <c r="J53" s="402"/>
      <c r="K53" s="402"/>
      <c r="L53" s="402"/>
      <c r="M53" s="403"/>
      <c r="N53" s="252" t="s">
        <v>126</v>
      </c>
      <c r="O53" s="124" t="s">
        <v>137</v>
      </c>
      <c r="P53" s="400" t="s">
        <v>117</v>
      </c>
      <c r="Q53" s="400"/>
      <c r="R53" s="400" t="s">
        <v>247</v>
      </c>
      <c r="S53" s="400"/>
      <c r="T53" s="400"/>
      <c r="U53" s="400"/>
      <c r="V53" s="406" t="s">
        <v>124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126</v>
      </c>
      <c r="B54" s="400"/>
      <c r="C54" s="253" t="s">
        <v>230</v>
      </c>
      <c r="D54" s="253" t="s">
        <v>341</v>
      </c>
      <c r="E54" s="253" t="s">
        <v>337</v>
      </c>
      <c r="F54" s="401" t="s">
        <v>124</v>
      </c>
      <c r="G54" s="402"/>
      <c r="H54" s="402"/>
      <c r="I54" s="402"/>
      <c r="J54" s="402"/>
      <c r="K54" s="402"/>
      <c r="L54" s="402"/>
      <c r="M54" s="403"/>
      <c r="N54" s="252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126</v>
      </c>
      <c r="B55" s="400"/>
      <c r="C55" s="253" t="s">
        <v>137</v>
      </c>
      <c r="D55" s="253" t="s">
        <v>117</v>
      </c>
      <c r="E55" s="253" t="s">
        <v>247</v>
      </c>
      <c r="F55" s="401" t="s">
        <v>355</v>
      </c>
      <c r="G55" s="402"/>
      <c r="H55" s="402"/>
      <c r="I55" s="402"/>
      <c r="J55" s="402"/>
      <c r="K55" s="402"/>
      <c r="L55" s="402"/>
      <c r="M55" s="403"/>
      <c r="N55" s="252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 t="s">
        <v>204</v>
      </c>
      <c r="B56" s="400"/>
      <c r="C56" s="253" t="s">
        <v>228</v>
      </c>
      <c r="D56" s="253" t="s">
        <v>134</v>
      </c>
      <c r="E56" s="253" t="s">
        <v>299</v>
      </c>
      <c r="F56" s="401" t="s">
        <v>124</v>
      </c>
      <c r="G56" s="402"/>
      <c r="H56" s="402"/>
      <c r="I56" s="402"/>
      <c r="J56" s="402"/>
      <c r="K56" s="402"/>
      <c r="L56" s="402"/>
      <c r="M56" s="403"/>
      <c r="N56" s="252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253"/>
      <c r="D57" s="253"/>
      <c r="E57" s="253"/>
      <c r="F57" s="406"/>
      <c r="G57" s="406"/>
      <c r="H57" s="406"/>
      <c r="I57" s="406"/>
      <c r="J57" s="406"/>
      <c r="K57" s="406"/>
      <c r="L57" s="406"/>
      <c r="M57" s="407"/>
      <c r="N57" s="252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253"/>
      <c r="D58" s="253"/>
      <c r="E58" s="253"/>
      <c r="F58" s="406"/>
      <c r="G58" s="406"/>
      <c r="H58" s="406"/>
      <c r="I58" s="406"/>
      <c r="J58" s="406"/>
      <c r="K58" s="406"/>
      <c r="L58" s="406"/>
      <c r="M58" s="407"/>
      <c r="N58" s="252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253"/>
      <c r="D59" s="253"/>
      <c r="E59" s="253"/>
      <c r="F59" s="406"/>
      <c r="G59" s="406"/>
      <c r="H59" s="406"/>
      <c r="I59" s="406"/>
      <c r="J59" s="406"/>
      <c r="K59" s="406"/>
      <c r="L59" s="406"/>
      <c r="M59" s="407"/>
      <c r="N59" s="252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255"/>
      <c r="D60" s="255"/>
      <c r="E60" s="255"/>
      <c r="F60" s="410"/>
      <c r="G60" s="410"/>
      <c r="H60" s="410"/>
      <c r="I60" s="410"/>
      <c r="J60" s="410"/>
      <c r="K60" s="410"/>
      <c r="L60" s="410"/>
      <c r="M60" s="411"/>
      <c r="N60" s="254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357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251" t="s">
        <v>2</v>
      </c>
      <c r="D62" s="251" t="s">
        <v>37</v>
      </c>
      <c r="E62" s="251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251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126</v>
      </c>
      <c r="D63" s="247"/>
      <c r="E63" s="250" t="s">
        <v>120</v>
      </c>
      <c r="F63" s="423" t="s">
        <v>358</v>
      </c>
      <c r="G63" s="424"/>
      <c r="H63" s="424"/>
      <c r="I63" s="424"/>
      <c r="J63" s="424"/>
      <c r="K63" s="424" t="s">
        <v>122</v>
      </c>
      <c r="L63" s="424"/>
      <c r="M63" s="54" t="s">
        <v>175</v>
      </c>
      <c r="N63" s="424">
        <v>5</v>
      </c>
      <c r="O63" s="424"/>
      <c r="P63" s="425">
        <v>200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118</v>
      </c>
      <c r="D64" s="247"/>
      <c r="E64" s="250" t="s">
        <v>128</v>
      </c>
      <c r="F64" s="423" t="s">
        <v>346</v>
      </c>
      <c r="G64" s="424"/>
      <c r="H64" s="424"/>
      <c r="I64" s="424"/>
      <c r="J64" s="424"/>
      <c r="K64" s="424" t="s">
        <v>347</v>
      </c>
      <c r="L64" s="424"/>
      <c r="M64" s="54" t="s">
        <v>175</v>
      </c>
      <c r="N64" s="424">
        <v>8</v>
      </c>
      <c r="O64" s="424"/>
      <c r="P64" s="425">
        <v>20</v>
      </c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 t="s">
        <v>126</v>
      </c>
      <c r="D65" s="247"/>
      <c r="E65" s="250" t="s">
        <v>128</v>
      </c>
      <c r="F65" s="423" t="s">
        <v>359</v>
      </c>
      <c r="G65" s="424"/>
      <c r="H65" s="424"/>
      <c r="I65" s="424"/>
      <c r="J65" s="424"/>
      <c r="K65" s="424" t="s">
        <v>149</v>
      </c>
      <c r="L65" s="424"/>
      <c r="M65" s="54" t="s">
        <v>175</v>
      </c>
      <c r="N65" s="424">
        <v>12</v>
      </c>
      <c r="O65" s="424"/>
      <c r="P65" s="425">
        <v>200</v>
      </c>
      <c r="Q65" s="425"/>
      <c r="R65" s="406" t="s">
        <v>360</v>
      </c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 t="s">
        <v>114</v>
      </c>
      <c r="D66" s="247"/>
      <c r="E66" s="250" t="s">
        <v>117</v>
      </c>
      <c r="F66" s="423" t="s">
        <v>176</v>
      </c>
      <c r="G66" s="424"/>
      <c r="H66" s="424"/>
      <c r="I66" s="424"/>
      <c r="J66" s="424"/>
      <c r="K66" s="424" t="s">
        <v>361</v>
      </c>
      <c r="L66" s="424"/>
      <c r="M66" s="54" t="s">
        <v>170</v>
      </c>
      <c r="N66" s="424">
        <v>7</v>
      </c>
      <c r="O66" s="424"/>
      <c r="P66" s="425"/>
      <c r="Q66" s="425"/>
      <c r="R66" s="406" t="s">
        <v>362</v>
      </c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247"/>
      <c r="E67" s="250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247"/>
      <c r="E68" s="250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247"/>
      <c r="E69" s="250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247"/>
      <c r="E70" s="250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363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249" t="s">
        <v>2</v>
      </c>
      <c r="D72" s="249" t="s">
        <v>37</v>
      </c>
      <c r="E72" s="249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248" t="s">
        <v>114</v>
      </c>
      <c r="D73" s="248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247"/>
      <c r="D74" s="247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9">A74+1</f>
        <v>3</v>
      </c>
      <c r="B75" s="435"/>
      <c r="C75" s="247"/>
      <c r="D75" s="247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9"/>
        <v>4</v>
      </c>
      <c r="B76" s="435"/>
      <c r="C76" s="247"/>
      <c r="D76" s="247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9"/>
        <v>5</v>
      </c>
      <c r="B77" s="435"/>
      <c r="C77" s="247"/>
      <c r="D77" s="247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9"/>
        <v>6</v>
      </c>
      <c r="B78" s="435"/>
      <c r="C78" s="247"/>
      <c r="D78" s="247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9"/>
        <v>7</v>
      </c>
      <c r="B79" s="435"/>
      <c r="C79" s="247"/>
      <c r="D79" s="247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9"/>
        <v>8</v>
      </c>
      <c r="B80" s="435"/>
      <c r="C80" s="247"/>
      <c r="D80" s="247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9"/>
        <v>9</v>
      </c>
      <c r="B81" s="435"/>
      <c r="C81" s="247"/>
      <c r="D81" s="247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364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43CD-A8E0-4F34-834E-3521F7F13A10}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365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58" t="s">
        <v>17</v>
      </c>
      <c r="L5" s="258" t="s">
        <v>18</v>
      </c>
      <c r="M5" s="258" t="s">
        <v>19</v>
      </c>
      <c r="N5" s="25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0.28611111111111115</v>
      </c>
      <c r="AF6" s="93">
        <f t="shared" ref="AF6:AF22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0.28611111111111115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2308</v>
      </c>
      <c r="K8" s="15">
        <f>L8+4226+6836+7688+6790+7670+5621+7015+7715+6622+7015+7123+7122+7421+6809+7012+7150+7008+7231+2308</f>
        <v>126382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0.28611111111111115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126</v>
      </c>
      <c r="D9" s="55" t="s">
        <v>338</v>
      </c>
      <c r="E9" s="57" t="s">
        <v>337</v>
      </c>
      <c r="F9" s="33" t="s">
        <v>116</v>
      </c>
      <c r="G9" s="36">
        <v>1</v>
      </c>
      <c r="H9" s="38">
        <v>24</v>
      </c>
      <c r="I9" s="7">
        <v>10400</v>
      </c>
      <c r="J9" s="14">
        <v>7225</v>
      </c>
      <c r="K9" s="15">
        <f>L9+2202</f>
        <v>9427</v>
      </c>
      <c r="L9" s="15">
        <f>3227+3998</f>
        <v>7225</v>
      </c>
      <c r="M9" s="16">
        <f t="shared" si="0"/>
        <v>7225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1</v>
      </c>
      <c r="AD9" s="10">
        <f t="shared" si="6"/>
        <v>1</v>
      </c>
      <c r="AE9" s="39">
        <f t="shared" si="7"/>
        <v>0.28611111111111115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6382</v>
      </c>
      <c r="K10" s="15">
        <f>L10+3648+6356+6488+6387+7137+3143+6382</f>
        <v>39541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0.28611111111111115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134</v>
      </c>
      <c r="E11" s="57" t="s">
        <v>232</v>
      </c>
      <c r="F11" s="12" t="s">
        <v>136</v>
      </c>
      <c r="G11" s="12">
        <v>4</v>
      </c>
      <c r="H11" s="13">
        <v>25</v>
      </c>
      <c r="I11" s="7">
        <v>1800</v>
      </c>
      <c r="J11" s="14">
        <v>2136</v>
      </c>
      <c r="K11" s="15">
        <f>L11</f>
        <v>2136</v>
      </c>
      <c r="L11" s="15">
        <f>534*4</f>
        <v>2136</v>
      </c>
      <c r="M11" s="16">
        <f t="shared" si="0"/>
        <v>2136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9">
        <f t="shared" si="7"/>
        <v>0.28611111111111115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114</v>
      </c>
      <c r="D12" s="55" t="s">
        <v>120</v>
      </c>
      <c r="E12" s="57" t="s">
        <v>366</v>
      </c>
      <c r="F12" s="33" t="s">
        <v>139</v>
      </c>
      <c r="G12" s="36">
        <v>1</v>
      </c>
      <c r="H12" s="38">
        <v>24</v>
      </c>
      <c r="I12" s="7">
        <v>220</v>
      </c>
      <c r="J12" s="14">
        <v>358</v>
      </c>
      <c r="K12" s="15">
        <f>L12</f>
        <v>358</v>
      </c>
      <c r="L12" s="15">
        <v>358</v>
      </c>
      <c r="M12" s="16">
        <f t="shared" si="0"/>
        <v>358</v>
      </c>
      <c r="N12" s="16">
        <v>0</v>
      </c>
      <c r="O12" s="62">
        <f t="shared" si="1"/>
        <v>0</v>
      </c>
      <c r="P12" s="42">
        <f t="shared" si="2"/>
        <v>3</v>
      </c>
      <c r="Q12" s="43">
        <f t="shared" si="3"/>
        <v>21</v>
      </c>
      <c r="R12" s="7"/>
      <c r="S12" s="6"/>
      <c r="T12" s="17"/>
      <c r="U12" s="17"/>
      <c r="V12" s="18"/>
      <c r="W12" s="19">
        <v>21</v>
      </c>
      <c r="X12" s="17"/>
      <c r="Y12" s="20"/>
      <c r="Z12" s="20"/>
      <c r="AA12" s="21"/>
      <c r="AB12" s="8">
        <f t="shared" si="4"/>
        <v>1</v>
      </c>
      <c r="AC12" s="9">
        <f t="shared" si="5"/>
        <v>0.125</v>
      </c>
      <c r="AD12" s="10">
        <f t="shared" si="6"/>
        <v>0.125</v>
      </c>
      <c r="AE12" s="39">
        <f t="shared" si="7"/>
        <v>0.28611111111111115</v>
      </c>
      <c r="AF12" s="93">
        <f t="shared" si="8"/>
        <v>7</v>
      </c>
    </row>
    <row r="13" spans="1:32" ht="27" customHeight="1">
      <c r="A13" s="109">
        <v>7</v>
      </c>
      <c r="B13" s="11" t="s">
        <v>57</v>
      </c>
      <c r="C13" s="11" t="s">
        <v>114</v>
      </c>
      <c r="D13" s="55" t="s">
        <v>128</v>
      </c>
      <c r="E13" s="57" t="s">
        <v>217</v>
      </c>
      <c r="F13" s="33" t="s">
        <v>218</v>
      </c>
      <c r="G13" s="36">
        <v>1</v>
      </c>
      <c r="H13" s="38">
        <v>24</v>
      </c>
      <c r="I13" s="7">
        <v>220</v>
      </c>
      <c r="J13" s="14">
        <v>220</v>
      </c>
      <c r="K13" s="15">
        <f>L13</f>
        <v>220</v>
      </c>
      <c r="L13" s="15">
        <v>220</v>
      </c>
      <c r="M13" s="16">
        <f t="shared" ref="M13" si="9">L13-N13</f>
        <v>220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3</v>
      </c>
      <c r="Q13" s="43">
        <f t="shared" ref="Q13" si="12">SUM(R13:AA13)</f>
        <v>21</v>
      </c>
      <c r="R13" s="7"/>
      <c r="S13" s="6"/>
      <c r="T13" s="17"/>
      <c r="U13" s="17"/>
      <c r="V13" s="18"/>
      <c r="W13" s="19">
        <v>21</v>
      </c>
      <c r="X13" s="17"/>
      <c r="Y13" s="20"/>
      <c r="Z13" s="20"/>
      <c r="AA13" s="21"/>
      <c r="AB13" s="8">
        <f t="shared" ref="AB13" si="13">IF(J13=0,"0",(L13/J13))</f>
        <v>1</v>
      </c>
      <c r="AC13" s="9">
        <f t="shared" ref="AC13" si="14">IF(P13=0,"0",(P13/24))</f>
        <v>0.125</v>
      </c>
      <c r="AD13" s="10">
        <f t="shared" ref="AD13" si="15">AC13*AB13*(1-O13)</f>
        <v>0.125</v>
      </c>
      <c r="AE13" s="39">
        <f t="shared" si="7"/>
        <v>0.28611111111111115</v>
      </c>
      <c r="AF13" s="93">
        <f t="shared" ref="AF13" si="16">A13</f>
        <v>7</v>
      </c>
    </row>
    <row r="14" spans="1:32" ht="27" customHeight="1">
      <c r="A14" s="109">
        <v>7</v>
      </c>
      <c r="B14" s="11" t="s">
        <v>57</v>
      </c>
      <c r="C14" s="11" t="s">
        <v>114</v>
      </c>
      <c r="D14" s="55" t="s">
        <v>131</v>
      </c>
      <c r="E14" s="57" t="s">
        <v>145</v>
      </c>
      <c r="F14" s="33" t="s">
        <v>122</v>
      </c>
      <c r="G14" s="36">
        <v>1</v>
      </c>
      <c r="H14" s="38">
        <v>24</v>
      </c>
      <c r="I14" s="7">
        <v>220</v>
      </c>
      <c r="J14" s="14">
        <v>313</v>
      </c>
      <c r="K14" s="15">
        <f>L14</f>
        <v>313</v>
      </c>
      <c r="L14" s="15">
        <v>313</v>
      </c>
      <c r="M14" s="16">
        <f t="shared" ref="M14" si="17">L14-N14</f>
        <v>313</v>
      </c>
      <c r="N14" s="16">
        <v>0</v>
      </c>
      <c r="O14" s="62">
        <f t="shared" ref="O14" si="18">IF(L14=0,"0",N14/L14)</f>
        <v>0</v>
      </c>
      <c r="P14" s="42">
        <f t="shared" ref="P14" si="19">IF(L14=0,"0",(24-Q14))</f>
        <v>3</v>
      </c>
      <c r="Q14" s="43">
        <f t="shared" ref="Q14" si="20">SUM(R14:AA14)</f>
        <v>21</v>
      </c>
      <c r="R14" s="7"/>
      <c r="S14" s="6"/>
      <c r="T14" s="17"/>
      <c r="U14" s="17"/>
      <c r="V14" s="18"/>
      <c r="W14" s="19">
        <v>21</v>
      </c>
      <c r="X14" s="17"/>
      <c r="Y14" s="20"/>
      <c r="Z14" s="20"/>
      <c r="AA14" s="21"/>
      <c r="AB14" s="8">
        <f t="shared" ref="AB14" si="21">IF(J14=0,"0",(L14/J14))</f>
        <v>1</v>
      </c>
      <c r="AC14" s="9">
        <f t="shared" ref="AC14" si="22">IF(P14=0,"0",(P14/24))</f>
        <v>0.125</v>
      </c>
      <c r="AD14" s="10">
        <f t="shared" ref="AD14" si="23">AC14*AB14*(1-O14)</f>
        <v>0.125</v>
      </c>
      <c r="AE14" s="39">
        <f t="shared" si="7"/>
        <v>0.28611111111111115</v>
      </c>
      <c r="AF14" s="93">
        <f t="shared" ref="AF14" si="24">A14</f>
        <v>7</v>
      </c>
    </row>
    <row r="15" spans="1:32" ht="27" customHeight="1">
      <c r="A15" s="109">
        <v>8</v>
      </c>
      <c r="B15" s="11" t="s">
        <v>57</v>
      </c>
      <c r="C15" s="11" t="s">
        <v>118</v>
      </c>
      <c r="D15" s="55" t="s">
        <v>131</v>
      </c>
      <c r="E15" s="57" t="s">
        <v>271</v>
      </c>
      <c r="F15" s="12" t="s">
        <v>127</v>
      </c>
      <c r="G15" s="12">
        <v>1</v>
      </c>
      <c r="H15" s="13">
        <v>25</v>
      </c>
      <c r="I15" s="7">
        <v>20000</v>
      </c>
      <c r="J15" s="14">
        <v>2650</v>
      </c>
      <c r="K15" s="15">
        <f>L15+4179+2505+6064+2650</f>
        <v>15398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0.28611111111111115</v>
      </c>
      <c r="AF15" s="93">
        <f t="shared" si="8"/>
        <v>8</v>
      </c>
    </row>
    <row r="16" spans="1:32" ht="27" customHeight="1">
      <c r="A16" s="125">
        <v>9</v>
      </c>
      <c r="B16" s="11" t="s">
        <v>57</v>
      </c>
      <c r="C16" s="37" t="s">
        <v>204</v>
      </c>
      <c r="D16" s="55" t="s">
        <v>117</v>
      </c>
      <c r="E16" s="57" t="s">
        <v>317</v>
      </c>
      <c r="F16" s="33" t="s">
        <v>325</v>
      </c>
      <c r="G16" s="36">
        <v>1</v>
      </c>
      <c r="H16" s="38">
        <v>25</v>
      </c>
      <c r="I16" s="7">
        <v>500</v>
      </c>
      <c r="J16" s="5">
        <v>308</v>
      </c>
      <c r="K16" s="15">
        <f>L16+204+308</f>
        <v>512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0.28611111111111115</v>
      </c>
      <c r="AF16" s="93">
        <f t="shared" si="8"/>
        <v>9</v>
      </c>
    </row>
    <row r="17" spans="1:32" ht="27" customHeight="1">
      <c r="A17" s="108">
        <v>10</v>
      </c>
      <c r="B17" s="11" t="s">
        <v>57</v>
      </c>
      <c r="C17" s="37" t="s">
        <v>188</v>
      </c>
      <c r="D17" s="55" t="s">
        <v>197</v>
      </c>
      <c r="E17" s="57" t="s">
        <v>187</v>
      </c>
      <c r="F17" s="12" t="s">
        <v>198</v>
      </c>
      <c r="G17" s="12">
        <v>1</v>
      </c>
      <c r="H17" s="13">
        <v>24</v>
      </c>
      <c r="I17" s="34">
        <v>100000</v>
      </c>
      <c r="J17" s="14">
        <v>19229</v>
      </c>
      <c r="K17" s="15">
        <f>L17+32805+66430+67599+62860+19229</f>
        <v>248923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0.28611111111111115</v>
      </c>
      <c r="AF17" s="93">
        <f t="shared" si="8"/>
        <v>10</v>
      </c>
    </row>
    <row r="18" spans="1:32" ht="27" customHeight="1">
      <c r="A18" s="108">
        <v>11</v>
      </c>
      <c r="B18" s="11" t="s">
        <v>57</v>
      </c>
      <c r="C18" s="37" t="s">
        <v>126</v>
      </c>
      <c r="D18" s="55" t="s">
        <v>120</v>
      </c>
      <c r="E18" s="57" t="s">
        <v>339</v>
      </c>
      <c r="F18" s="33" t="s">
        <v>199</v>
      </c>
      <c r="G18" s="36">
        <v>1</v>
      </c>
      <c r="H18" s="38">
        <v>24</v>
      </c>
      <c r="I18" s="7">
        <v>35000</v>
      </c>
      <c r="J18" s="5">
        <v>4406</v>
      </c>
      <c r="K18" s="15">
        <f>L18+4512+3969</f>
        <v>12887</v>
      </c>
      <c r="L18" s="15">
        <f>1652+2754</f>
        <v>4406</v>
      </c>
      <c r="M18" s="16">
        <f t="shared" si="0"/>
        <v>4406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9">
        <f t="shared" si="7"/>
        <v>0.28611111111111115</v>
      </c>
      <c r="AF18" s="93">
        <f t="shared" si="8"/>
        <v>11</v>
      </c>
    </row>
    <row r="19" spans="1:32" ht="27" customHeight="1">
      <c r="A19" s="108">
        <v>12</v>
      </c>
      <c r="B19" s="11" t="s">
        <v>57</v>
      </c>
      <c r="C19" s="37" t="s">
        <v>126</v>
      </c>
      <c r="D19" s="55" t="s">
        <v>128</v>
      </c>
      <c r="E19" s="57" t="s">
        <v>148</v>
      </c>
      <c r="F19" s="12" t="s">
        <v>149</v>
      </c>
      <c r="G19" s="12">
        <v>1</v>
      </c>
      <c r="H19" s="13">
        <v>24</v>
      </c>
      <c r="I19" s="34">
        <v>70000</v>
      </c>
      <c r="J19" s="14">
        <v>6544</v>
      </c>
      <c r="K19" s="15">
        <f>L19+5530+6591+6555+7009+6234+3454+6385+6995+7383+4468+7061+7120+7112+7275+6698+6957+7074+6704+6858+2960+6544</f>
        <v>132967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/>
      <c r="X19" s="17"/>
      <c r="Y19" s="20"/>
      <c r="Z19" s="20"/>
      <c r="AA19" s="21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0.28611111111111115</v>
      </c>
      <c r="AF19" s="93">
        <f t="shared" si="8"/>
        <v>12</v>
      </c>
    </row>
    <row r="20" spans="1:32" ht="27" customHeight="1">
      <c r="A20" s="109">
        <v>13</v>
      </c>
      <c r="B20" s="11" t="s">
        <v>57</v>
      </c>
      <c r="C20" s="37" t="s">
        <v>126</v>
      </c>
      <c r="D20" s="55" t="s">
        <v>117</v>
      </c>
      <c r="E20" s="57" t="s">
        <v>142</v>
      </c>
      <c r="F20" s="12" t="s">
        <v>122</v>
      </c>
      <c r="G20" s="36">
        <v>1</v>
      </c>
      <c r="H20" s="38">
        <v>24</v>
      </c>
      <c r="I20" s="7">
        <v>70000</v>
      </c>
      <c r="J20" s="5">
        <v>3951</v>
      </c>
      <c r="K20" s="15">
        <f>L20+3442+4857+6103+3605+5831+5901+4875+6279+5633+5015+5887+5920+5827+5643+5849+5831+2164+3657+1002+4031+3549</f>
        <v>104852</v>
      </c>
      <c r="L20" s="15">
        <f>819+3132</f>
        <v>3951</v>
      </c>
      <c r="M20" s="16">
        <f t="shared" si="0"/>
        <v>3951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>
        <v>3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9">
        <f t="shared" si="7"/>
        <v>0.28611111111111115</v>
      </c>
      <c r="AF20" s="93">
        <f t="shared" si="8"/>
        <v>13</v>
      </c>
    </row>
    <row r="21" spans="1:32" ht="27" customHeight="1">
      <c r="A21" s="109">
        <v>14</v>
      </c>
      <c r="B21" s="11" t="s">
        <v>57</v>
      </c>
      <c r="C21" s="11" t="s">
        <v>126</v>
      </c>
      <c r="D21" s="55" t="s">
        <v>117</v>
      </c>
      <c r="E21" s="57" t="s">
        <v>247</v>
      </c>
      <c r="F21" s="12" t="s">
        <v>144</v>
      </c>
      <c r="G21" s="36">
        <v>2</v>
      </c>
      <c r="H21" s="13">
        <v>24</v>
      </c>
      <c r="I21" s="7">
        <v>40000</v>
      </c>
      <c r="J21" s="14">
        <v>9876</v>
      </c>
      <c r="K21" s="15">
        <f>L21+7060+1442+10364+9550</f>
        <v>38292</v>
      </c>
      <c r="L21" s="15">
        <f>2164*2+2774*2</f>
        <v>9876</v>
      </c>
      <c r="M21" s="16">
        <f t="shared" si="0"/>
        <v>9876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0.28611111111111115</v>
      </c>
      <c r="AF21" s="93">
        <f t="shared" si="8"/>
        <v>14</v>
      </c>
    </row>
    <row r="22" spans="1:32" ht="27" customHeight="1" thickBot="1">
      <c r="A22" s="109">
        <v>15</v>
      </c>
      <c r="B22" s="11" t="s">
        <v>57</v>
      </c>
      <c r="C22" s="11" t="s">
        <v>115</v>
      </c>
      <c r="D22" s="55"/>
      <c r="E22" s="56" t="s">
        <v>154</v>
      </c>
      <c r="F22" s="12" t="s">
        <v>116</v>
      </c>
      <c r="G22" s="12">
        <v>4</v>
      </c>
      <c r="H22" s="38">
        <v>20</v>
      </c>
      <c r="I22" s="7">
        <v>300000</v>
      </c>
      <c r="J22" s="14">
        <v>10476</v>
      </c>
      <c r="K22" s="15">
        <f>L22+39648+30712+45256+43600+10476</f>
        <v>169692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>
        <v>24</v>
      </c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0.28611111111111115</v>
      </c>
      <c r="AF22" s="93">
        <f t="shared" si="8"/>
        <v>15</v>
      </c>
    </row>
    <row r="23" spans="1:32" ht="31.5" customHeight="1" thickBot="1">
      <c r="A23" s="372" t="s">
        <v>34</v>
      </c>
      <c r="B23" s="373"/>
      <c r="C23" s="373"/>
      <c r="D23" s="373"/>
      <c r="E23" s="373"/>
      <c r="F23" s="373"/>
      <c r="G23" s="373"/>
      <c r="H23" s="374"/>
      <c r="I23" s="25">
        <f t="shared" ref="I23:N23" si="25">SUM(I6:I22)</f>
        <v>788360</v>
      </c>
      <c r="J23" s="22">
        <f t="shared" si="25"/>
        <v>76382</v>
      </c>
      <c r="K23" s="23">
        <f t="shared" si="25"/>
        <v>901900</v>
      </c>
      <c r="L23" s="24">
        <f t="shared" si="25"/>
        <v>28485</v>
      </c>
      <c r="M23" s="23">
        <f t="shared" si="25"/>
        <v>28485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103</v>
      </c>
      <c r="Q23" s="46">
        <f t="shared" si="26"/>
        <v>305</v>
      </c>
      <c r="R23" s="26">
        <f t="shared" si="26"/>
        <v>24</v>
      </c>
      <c r="S23" s="27">
        <f t="shared" si="26"/>
        <v>6</v>
      </c>
      <c r="T23" s="27">
        <f t="shared" si="26"/>
        <v>0</v>
      </c>
      <c r="U23" s="27">
        <f t="shared" si="26"/>
        <v>0</v>
      </c>
      <c r="V23" s="28">
        <f t="shared" si="26"/>
        <v>48</v>
      </c>
      <c r="W23" s="29">
        <f t="shared" si="26"/>
        <v>179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48</v>
      </c>
      <c r="AB23" s="31">
        <f>SUM(AB6:AB22)/15</f>
        <v>0.53333333333333333</v>
      </c>
      <c r="AC23" s="4">
        <f>SUM(AC6:AC22)/15</f>
        <v>0.28611111111111115</v>
      </c>
      <c r="AD23" s="4">
        <f>SUM(AD6:AD22)/15</f>
        <v>0.28611111111111115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75" t="s">
        <v>45</v>
      </c>
      <c r="B50" s="375"/>
      <c r="C50" s="375"/>
      <c r="D50" s="375"/>
      <c r="E50" s="375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76" t="s">
        <v>367</v>
      </c>
      <c r="B51" s="377"/>
      <c r="C51" s="377"/>
      <c r="D51" s="377"/>
      <c r="E51" s="377"/>
      <c r="F51" s="377"/>
      <c r="G51" s="377"/>
      <c r="H51" s="377"/>
      <c r="I51" s="377"/>
      <c r="J51" s="377"/>
      <c r="K51" s="377"/>
      <c r="L51" s="377"/>
      <c r="M51" s="378"/>
      <c r="N51" s="379" t="s">
        <v>378</v>
      </c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380"/>
      <c r="AC51" s="380"/>
      <c r="AD51" s="381"/>
    </row>
    <row r="52" spans="1:32" ht="27" customHeight="1">
      <c r="A52" s="382" t="s">
        <v>2</v>
      </c>
      <c r="B52" s="383"/>
      <c r="C52" s="259" t="s">
        <v>46</v>
      </c>
      <c r="D52" s="259" t="s">
        <v>47</v>
      </c>
      <c r="E52" s="259" t="s">
        <v>108</v>
      </c>
      <c r="F52" s="383" t="s">
        <v>107</v>
      </c>
      <c r="G52" s="383"/>
      <c r="H52" s="383"/>
      <c r="I52" s="383"/>
      <c r="J52" s="383"/>
      <c r="K52" s="383"/>
      <c r="L52" s="383"/>
      <c r="M52" s="384"/>
      <c r="N52" s="73" t="s">
        <v>112</v>
      </c>
      <c r="O52" s="259" t="s">
        <v>46</v>
      </c>
      <c r="P52" s="385" t="s">
        <v>47</v>
      </c>
      <c r="Q52" s="386"/>
      <c r="R52" s="385" t="s">
        <v>38</v>
      </c>
      <c r="S52" s="387"/>
      <c r="T52" s="387"/>
      <c r="U52" s="386"/>
      <c r="V52" s="385" t="s">
        <v>48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99" t="s">
        <v>114</v>
      </c>
      <c r="B53" s="400"/>
      <c r="C53" s="261" t="s">
        <v>228</v>
      </c>
      <c r="D53" s="261" t="s">
        <v>134</v>
      </c>
      <c r="E53" s="261" t="s">
        <v>232</v>
      </c>
      <c r="F53" s="401" t="s">
        <v>119</v>
      </c>
      <c r="G53" s="402"/>
      <c r="H53" s="402"/>
      <c r="I53" s="402"/>
      <c r="J53" s="402"/>
      <c r="K53" s="402"/>
      <c r="L53" s="402"/>
      <c r="M53" s="403"/>
      <c r="N53" s="260" t="s">
        <v>126</v>
      </c>
      <c r="O53" s="124" t="s">
        <v>230</v>
      </c>
      <c r="P53" s="404" t="s">
        <v>117</v>
      </c>
      <c r="Q53" s="405"/>
      <c r="R53" s="400" t="s">
        <v>379</v>
      </c>
      <c r="S53" s="400"/>
      <c r="T53" s="400"/>
      <c r="U53" s="400"/>
      <c r="V53" s="406" t="s">
        <v>124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126</v>
      </c>
      <c r="B54" s="400"/>
      <c r="C54" s="261" t="s">
        <v>184</v>
      </c>
      <c r="D54" s="261" t="s">
        <v>117</v>
      </c>
      <c r="E54" s="261" t="s">
        <v>311</v>
      </c>
      <c r="F54" s="401" t="s">
        <v>124</v>
      </c>
      <c r="G54" s="402"/>
      <c r="H54" s="402"/>
      <c r="I54" s="402"/>
      <c r="J54" s="402"/>
      <c r="K54" s="402"/>
      <c r="L54" s="402"/>
      <c r="M54" s="403"/>
      <c r="N54" s="260" t="s">
        <v>114</v>
      </c>
      <c r="O54" s="124" t="s">
        <v>125</v>
      </c>
      <c r="P54" s="404" t="s">
        <v>117</v>
      </c>
      <c r="Q54" s="405"/>
      <c r="R54" s="400" t="s">
        <v>176</v>
      </c>
      <c r="S54" s="400"/>
      <c r="T54" s="400"/>
      <c r="U54" s="400"/>
      <c r="V54" s="406" t="s">
        <v>380</v>
      </c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126</v>
      </c>
      <c r="B55" s="400"/>
      <c r="C55" s="261" t="s">
        <v>191</v>
      </c>
      <c r="D55" s="261" t="s">
        <v>120</v>
      </c>
      <c r="E55" s="261" t="s">
        <v>332</v>
      </c>
      <c r="F55" s="401" t="s">
        <v>368</v>
      </c>
      <c r="G55" s="402"/>
      <c r="H55" s="402"/>
      <c r="I55" s="402"/>
      <c r="J55" s="402"/>
      <c r="K55" s="402"/>
      <c r="L55" s="402"/>
      <c r="M55" s="403"/>
      <c r="N55" s="260" t="s">
        <v>114</v>
      </c>
      <c r="O55" s="124" t="s">
        <v>230</v>
      </c>
      <c r="P55" s="400" t="s">
        <v>120</v>
      </c>
      <c r="Q55" s="400"/>
      <c r="R55" s="400" t="s">
        <v>214</v>
      </c>
      <c r="S55" s="400"/>
      <c r="T55" s="400"/>
      <c r="U55" s="400"/>
      <c r="V55" s="406" t="s">
        <v>380</v>
      </c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 t="s">
        <v>114</v>
      </c>
      <c r="B56" s="400"/>
      <c r="C56" s="261" t="s">
        <v>369</v>
      </c>
      <c r="D56" s="261" t="s">
        <v>370</v>
      </c>
      <c r="E56" s="261" t="s">
        <v>371</v>
      </c>
      <c r="F56" s="401" t="s">
        <v>119</v>
      </c>
      <c r="G56" s="402"/>
      <c r="H56" s="402"/>
      <c r="I56" s="402"/>
      <c r="J56" s="402"/>
      <c r="K56" s="402"/>
      <c r="L56" s="402"/>
      <c r="M56" s="403"/>
      <c r="N56" s="260" t="s">
        <v>114</v>
      </c>
      <c r="O56" s="124" t="s">
        <v>383</v>
      </c>
      <c r="P56" s="404" t="s">
        <v>117</v>
      </c>
      <c r="Q56" s="405"/>
      <c r="R56" s="400" t="s">
        <v>381</v>
      </c>
      <c r="S56" s="400"/>
      <c r="T56" s="400"/>
      <c r="U56" s="400"/>
      <c r="V56" s="406" t="s">
        <v>382</v>
      </c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 t="s">
        <v>114</v>
      </c>
      <c r="B57" s="400"/>
      <c r="C57" s="261" t="s">
        <v>369</v>
      </c>
      <c r="D57" s="261" t="s">
        <v>120</v>
      </c>
      <c r="E57" s="261" t="s">
        <v>372</v>
      </c>
      <c r="F57" s="401" t="s">
        <v>119</v>
      </c>
      <c r="G57" s="402"/>
      <c r="H57" s="402"/>
      <c r="I57" s="402"/>
      <c r="J57" s="402"/>
      <c r="K57" s="402"/>
      <c r="L57" s="402"/>
      <c r="M57" s="403"/>
      <c r="N57" s="260" t="s">
        <v>114</v>
      </c>
      <c r="O57" s="124" t="s">
        <v>383</v>
      </c>
      <c r="P57" s="400" t="s">
        <v>384</v>
      </c>
      <c r="Q57" s="400"/>
      <c r="R57" s="400" t="s">
        <v>385</v>
      </c>
      <c r="S57" s="400"/>
      <c r="T57" s="400"/>
      <c r="U57" s="400"/>
      <c r="V57" s="406" t="s">
        <v>380</v>
      </c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 t="s">
        <v>114</v>
      </c>
      <c r="B58" s="400"/>
      <c r="C58" s="261" t="s">
        <v>369</v>
      </c>
      <c r="D58" s="261" t="s">
        <v>373</v>
      </c>
      <c r="E58" s="261" t="s">
        <v>374</v>
      </c>
      <c r="F58" s="401" t="s">
        <v>119</v>
      </c>
      <c r="G58" s="402"/>
      <c r="H58" s="402"/>
      <c r="I58" s="402"/>
      <c r="J58" s="402"/>
      <c r="K58" s="402"/>
      <c r="L58" s="402"/>
      <c r="M58" s="403"/>
      <c r="N58" s="260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 t="s">
        <v>126</v>
      </c>
      <c r="B59" s="400"/>
      <c r="C59" s="261" t="s">
        <v>375</v>
      </c>
      <c r="D59" s="261" t="s">
        <v>117</v>
      </c>
      <c r="E59" s="261" t="s">
        <v>376</v>
      </c>
      <c r="F59" s="406" t="s">
        <v>377</v>
      </c>
      <c r="G59" s="406"/>
      <c r="H59" s="406"/>
      <c r="I59" s="406"/>
      <c r="J59" s="406"/>
      <c r="K59" s="406"/>
      <c r="L59" s="406"/>
      <c r="M59" s="407"/>
      <c r="N59" s="260"/>
      <c r="O59" s="124"/>
      <c r="P59" s="404"/>
      <c r="Q59" s="405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</row>
    <row r="60" spans="1:32" ht="27" customHeight="1">
      <c r="A60" s="399"/>
      <c r="B60" s="400"/>
      <c r="C60" s="261"/>
      <c r="D60" s="261"/>
      <c r="E60" s="261"/>
      <c r="F60" s="406"/>
      <c r="G60" s="406"/>
      <c r="H60" s="406"/>
      <c r="I60" s="406"/>
      <c r="J60" s="406"/>
      <c r="K60" s="406"/>
      <c r="L60" s="406"/>
      <c r="M60" s="407"/>
      <c r="N60" s="260"/>
      <c r="O60" s="124"/>
      <c r="P60" s="404"/>
      <c r="Q60" s="405"/>
      <c r="R60" s="400"/>
      <c r="S60" s="400"/>
      <c r="T60" s="400"/>
      <c r="U60" s="400"/>
      <c r="V60" s="406"/>
      <c r="W60" s="406"/>
      <c r="X60" s="406"/>
      <c r="Y60" s="406"/>
      <c r="Z60" s="406"/>
      <c r="AA60" s="406"/>
      <c r="AB60" s="406"/>
      <c r="AC60" s="406"/>
      <c r="AD60" s="407"/>
    </row>
    <row r="61" spans="1:32" ht="27" customHeight="1">
      <c r="A61" s="399"/>
      <c r="B61" s="400"/>
      <c r="C61" s="261"/>
      <c r="D61" s="261"/>
      <c r="E61" s="261"/>
      <c r="F61" s="406"/>
      <c r="G61" s="406"/>
      <c r="H61" s="406"/>
      <c r="I61" s="406"/>
      <c r="J61" s="406"/>
      <c r="K61" s="406"/>
      <c r="L61" s="406"/>
      <c r="M61" s="407"/>
      <c r="N61" s="260"/>
      <c r="O61" s="124"/>
      <c r="P61" s="400"/>
      <c r="Q61" s="400"/>
      <c r="R61" s="400"/>
      <c r="S61" s="400"/>
      <c r="T61" s="400"/>
      <c r="U61" s="400"/>
      <c r="V61" s="406"/>
      <c r="W61" s="406"/>
      <c r="X61" s="406"/>
      <c r="Y61" s="406"/>
      <c r="Z61" s="406"/>
      <c r="AA61" s="406"/>
      <c r="AB61" s="406"/>
      <c r="AC61" s="406"/>
      <c r="AD61" s="407"/>
      <c r="AF61" s="93">
        <f>8*3000</f>
        <v>24000</v>
      </c>
    </row>
    <row r="62" spans="1:32" ht="27" customHeight="1" thickBot="1">
      <c r="A62" s="408"/>
      <c r="B62" s="409"/>
      <c r="C62" s="263"/>
      <c r="D62" s="263"/>
      <c r="E62" s="263"/>
      <c r="F62" s="410"/>
      <c r="G62" s="410"/>
      <c r="H62" s="410"/>
      <c r="I62" s="410"/>
      <c r="J62" s="410"/>
      <c r="K62" s="410"/>
      <c r="L62" s="410"/>
      <c r="M62" s="411"/>
      <c r="N62" s="262"/>
      <c r="O62" s="120"/>
      <c r="P62" s="409"/>
      <c r="Q62" s="409"/>
      <c r="R62" s="409"/>
      <c r="S62" s="409"/>
      <c r="T62" s="409"/>
      <c r="U62" s="409"/>
      <c r="V62" s="412"/>
      <c r="W62" s="412"/>
      <c r="X62" s="412"/>
      <c r="Y62" s="412"/>
      <c r="Z62" s="412"/>
      <c r="AA62" s="412"/>
      <c r="AB62" s="412"/>
      <c r="AC62" s="412"/>
      <c r="AD62" s="413"/>
      <c r="AF62" s="93">
        <f>16*3000</f>
        <v>48000</v>
      </c>
    </row>
    <row r="63" spans="1:32" ht="27.75" thickBot="1">
      <c r="A63" s="414" t="s">
        <v>386</v>
      </c>
      <c r="B63" s="414"/>
      <c r="C63" s="414"/>
      <c r="D63" s="414"/>
      <c r="E63" s="414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15" t="s">
        <v>113</v>
      </c>
      <c r="B64" s="416"/>
      <c r="C64" s="264" t="s">
        <v>2</v>
      </c>
      <c r="D64" s="264" t="s">
        <v>37</v>
      </c>
      <c r="E64" s="264" t="s">
        <v>3</v>
      </c>
      <c r="F64" s="416" t="s">
        <v>110</v>
      </c>
      <c r="G64" s="416"/>
      <c r="H64" s="416"/>
      <c r="I64" s="416"/>
      <c r="J64" s="416"/>
      <c r="K64" s="416" t="s">
        <v>39</v>
      </c>
      <c r="L64" s="416"/>
      <c r="M64" s="264" t="s">
        <v>40</v>
      </c>
      <c r="N64" s="416" t="s">
        <v>41</v>
      </c>
      <c r="O64" s="416"/>
      <c r="P64" s="417" t="s">
        <v>42</v>
      </c>
      <c r="Q64" s="418"/>
      <c r="R64" s="417" t="s">
        <v>43</v>
      </c>
      <c r="S64" s="419"/>
      <c r="T64" s="419"/>
      <c r="U64" s="419"/>
      <c r="V64" s="419"/>
      <c r="W64" s="419"/>
      <c r="X64" s="419"/>
      <c r="Y64" s="419"/>
      <c r="Z64" s="419"/>
      <c r="AA64" s="418"/>
      <c r="AB64" s="416" t="s">
        <v>44</v>
      </c>
      <c r="AC64" s="416"/>
      <c r="AD64" s="420"/>
      <c r="AF64" s="93">
        <f>SUM(AF61:AF63)</f>
        <v>96000</v>
      </c>
    </row>
    <row r="65" spans="1:32" ht="25.5" customHeight="1">
      <c r="A65" s="421">
        <v>1</v>
      </c>
      <c r="B65" s="422"/>
      <c r="C65" s="123" t="s">
        <v>114</v>
      </c>
      <c r="D65" s="267"/>
      <c r="E65" s="265" t="s">
        <v>128</v>
      </c>
      <c r="F65" s="423" t="s">
        <v>217</v>
      </c>
      <c r="G65" s="424"/>
      <c r="H65" s="424"/>
      <c r="I65" s="424"/>
      <c r="J65" s="424"/>
      <c r="K65" s="424" t="s">
        <v>218</v>
      </c>
      <c r="L65" s="424"/>
      <c r="M65" s="54" t="s">
        <v>170</v>
      </c>
      <c r="N65" s="424">
        <v>7</v>
      </c>
      <c r="O65" s="424"/>
      <c r="P65" s="425">
        <v>50</v>
      </c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2</v>
      </c>
      <c r="B66" s="422"/>
      <c r="C66" s="123" t="s">
        <v>208</v>
      </c>
      <c r="D66" s="267"/>
      <c r="E66" s="265" t="s">
        <v>387</v>
      </c>
      <c r="F66" s="423" t="s">
        <v>388</v>
      </c>
      <c r="G66" s="424"/>
      <c r="H66" s="424"/>
      <c r="I66" s="424"/>
      <c r="J66" s="424"/>
      <c r="K66" s="424" t="s">
        <v>136</v>
      </c>
      <c r="L66" s="424"/>
      <c r="M66" s="54" t="s">
        <v>170</v>
      </c>
      <c r="N66" s="424">
        <v>6</v>
      </c>
      <c r="O66" s="424"/>
      <c r="P66" s="425" t="s">
        <v>389</v>
      </c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3</v>
      </c>
      <c r="B67" s="422"/>
      <c r="C67" s="123" t="s">
        <v>126</v>
      </c>
      <c r="D67" s="267"/>
      <c r="E67" s="265" t="s">
        <v>121</v>
      </c>
      <c r="F67" s="423" t="s">
        <v>390</v>
      </c>
      <c r="G67" s="424"/>
      <c r="H67" s="424"/>
      <c r="I67" s="424"/>
      <c r="J67" s="424"/>
      <c r="K67" s="424" t="s">
        <v>149</v>
      </c>
      <c r="L67" s="424"/>
      <c r="M67" s="54" t="s">
        <v>175</v>
      </c>
      <c r="N67" s="424">
        <v>10</v>
      </c>
      <c r="O67" s="424"/>
      <c r="P67" s="425">
        <v>200</v>
      </c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4</v>
      </c>
      <c r="B68" s="422"/>
      <c r="C68" s="123"/>
      <c r="D68" s="267"/>
      <c r="E68" s="265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5</v>
      </c>
      <c r="B69" s="422"/>
      <c r="C69" s="123"/>
      <c r="D69" s="267"/>
      <c r="E69" s="265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6</v>
      </c>
      <c r="B70" s="422"/>
      <c r="C70" s="123"/>
      <c r="D70" s="267"/>
      <c r="E70" s="265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5.5" customHeight="1">
      <c r="A71" s="421">
        <v>7</v>
      </c>
      <c r="B71" s="422"/>
      <c r="C71" s="123"/>
      <c r="D71" s="267"/>
      <c r="E71" s="265"/>
      <c r="F71" s="423"/>
      <c r="G71" s="424"/>
      <c r="H71" s="424"/>
      <c r="I71" s="424"/>
      <c r="J71" s="424"/>
      <c r="K71" s="424"/>
      <c r="L71" s="424"/>
      <c r="M71" s="54"/>
      <c r="N71" s="424"/>
      <c r="O71" s="424"/>
      <c r="P71" s="425"/>
      <c r="Q71" s="425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24"/>
      <c r="AC71" s="424"/>
      <c r="AD71" s="426"/>
      <c r="AF71" s="53"/>
    </row>
    <row r="72" spans="1:32" ht="25.5" customHeight="1">
      <c r="A72" s="421">
        <v>8</v>
      </c>
      <c r="B72" s="422"/>
      <c r="C72" s="123"/>
      <c r="D72" s="267"/>
      <c r="E72" s="265"/>
      <c r="F72" s="423"/>
      <c r="G72" s="424"/>
      <c r="H72" s="424"/>
      <c r="I72" s="424"/>
      <c r="J72" s="424"/>
      <c r="K72" s="424"/>
      <c r="L72" s="424"/>
      <c r="M72" s="54"/>
      <c r="N72" s="424"/>
      <c r="O72" s="424"/>
      <c r="P72" s="425"/>
      <c r="Q72" s="425"/>
      <c r="R72" s="406"/>
      <c r="S72" s="406"/>
      <c r="T72" s="406"/>
      <c r="U72" s="406"/>
      <c r="V72" s="406"/>
      <c r="W72" s="406"/>
      <c r="X72" s="406"/>
      <c r="Y72" s="406"/>
      <c r="Z72" s="406"/>
      <c r="AA72" s="406"/>
      <c r="AB72" s="424"/>
      <c r="AC72" s="424"/>
      <c r="AD72" s="426"/>
      <c r="AF72" s="53"/>
    </row>
    <row r="73" spans="1:32" ht="26.25" customHeight="1" thickBot="1">
      <c r="A73" s="427" t="s">
        <v>391</v>
      </c>
      <c r="B73" s="427"/>
      <c r="C73" s="427"/>
      <c r="D73" s="427"/>
      <c r="E73" s="427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8" t="s">
        <v>113</v>
      </c>
      <c r="B74" s="429"/>
      <c r="C74" s="266" t="s">
        <v>2</v>
      </c>
      <c r="D74" s="266" t="s">
        <v>37</v>
      </c>
      <c r="E74" s="266" t="s">
        <v>3</v>
      </c>
      <c r="F74" s="429" t="s">
        <v>38</v>
      </c>
      <c r="G74" s="429"/>
      <c r="H74" s="429"/>
      <c r="I74" s="429"/>
      <c r="J74" s="429"/>
      <c r="K74" s="430" t="s">
        <v>58</v>
      </c>
      <c r="L74" s="431"/>
      <c r="M74" s="431"/>
      <c r="N74" s="431"/>
      <c r="O74" s="431"/>
      <c r="P74" s="431"/>
      <c r="Q74" s="431"/>
      <c r="R74" s="431"/>
      <c r="S74" s="432"/>
      <c r="T74" s="429" t="s">
        <v>49</v>
      </c>
      <c r="U74" s="429"/>
      <c r="V74" s="430" t="s">
        <v>50</v>
      </c>
      <c r="W74" s="432"/>
      <c r="X74" s="431" t="s">
        <v>51</v>
      </c>
      <c r="Y74" s="431"/>
      <c r="Z74" s="431"/>
      <c r="AA74" s="431"/>
      <c r="AB74" s="431"/>
      <c r="AC74" s="431"/>
      <c r="AD74" s="433"/>
      <c r="AF74" s="53"/>
    </row>
    <row r="75" spans="1:32" ht="33.75" customHeight="1">
      <c r="A75" s="442">
        <v>1</v>
      </c>
      <c r="B75" s="443"/>
      <c r="C75" s="268" t="s">
        <v>114</v>
      </c>
      <c r="D75" s="268"/>
      <c r="E75" s="71" t="s">
        <v>133</v>
      </c>
      <c r="F75" s="444" t="s">
        <v>132</v>
      </c>
      <c r="G75" s="445"/>
      <c r="H75" s="445"/>
      <c r="I75" s="445"/>
      <c r="J75" s="446"/>
      <c r="K75" s="447" t="s">
        <v>135</v>
      </c>
      <c r="L75" s="448"/>
      <c r="M75" s="448"/>
      <c r="N75" s="448"/>
      <c r="O75" s="448"/>
      <c r="P75" s="448"/>
      <c r="Q75" s="448"/>
      <c r="R75" s="448"/>
      <c r="S75" s="449"/>
      <c r="T75" s="450">
        <v>43384</v>
      </c>
      <c r="U75" s="451"/>
      <c r="V75" s="452"/>
      <c r="W75" s="452"/>
      <c r="X75" s="453"/>
      <c r="Y75" s="453"/>
      <c r="Z75" s="453"/>
      <c r="AA75" s="453"/>
      <c r="AB75" s="453"/>
      <c r="AC75" s="453"/>
      <c r="AD75" s="454"/>
      <c r="AF75" s="53"/>
    </row>
    <row r="76" spans="1:32" ht="30" customHeight="1">
      <c r="A76" s="434">
        <f>A75+1</f>
        <v>2</v>
      </c>
      <c r="B76" s="435"/>
      <c r="C76" s="267"/>
      <c r="D76" s="267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ref="A77:A83" si="27">A76+1</f>
        <v>3</v>
      </c>
      <c r="B77" s="435"/>
      <c r="C77" s="267"/>
      <c r="D77" s="267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27"/>
        <v>4</v>
      </c>
      <c r="B78" s="435"/>
      <c r="C78" s="267"/>
      <c r="D78" s="267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27"/>
        <v>5</v>
      </c>
      <c r="B79" s="435"/>
      <c r="C79" s="267"/>
      <c r="D79" s="267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27"/>
        <v>6</v>
      </c>
      <c r="B80" s="435"/>
      <c r="C80" s="267"/>
      <c r="D80" s="267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27"/>
        <v>7</v>
      </c>
      <c r="B81" s="435"/>
      <c r="C81" s="267"/>
      <c r="D81" s="267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0" customHeight="1">
      <c r="A82" s="434">
        <f t="shared" si="27"/>
        <v>8</v>
      </c>
      <c r="B82" s="435"/>
      <c r="C82" s="267"/>
      <c r="D82" s="267"/>
      <c r="E82" s="35"/>
      <c r="F82" s="435"/>
      <c r="G82" s="435"/>
      <c r="H82" s="435"/>
      <c r="I82" s="435"/>
      <c r="J82" s="435"/>
      <c r="K82" s="436"/>
      <c r="L82" s="437"/>
      <c r="M82" s="437"/>
      <c r="N82" s="437"/>
      <c r="O82" s="437"/>
      <c r="P82" s="437"/>
      <c r="Q82" s="437"/>
      <c r="R82" s="437"/>
      <c r="S82" s="438"/>
      <c r="T82" s="439"/>
      <c r="U82" s="439"/>
      <c r="V82" s="439"/>
      <c r="W82" s="439"/>
      <c r="X82" s="440"/>
      <c r="Y82" s="440"/>
      <c r="Z82" s="440"/>
      <c r="AA82" s="440"/>
      <c r="AB82" s="440"/>
      <c r="AC82" s="440"/>
      <c r="AD82" s="441"/>
      <c r="AF82" s="53"/>
    </row>
    <row r="83" spans="1:32" ht="30" customHeight="1">
      <c r="A83" s="434">
        <f t="shared" si="27"/>
        <v>9</v>
      </c>
      <c r="B83" s="435"/>
      <c r="C83" s="267"/>
      <c r="D83" s="267"/>
      <c r="E83" s="35"/>
      <c r="F83" s="435"/>
      <c r="G83" s="435"/>
      <c r="H83" s="435"/>
      <c r="I83" s="435"/>
      <c r="J83" s="435"/>
      <c r="K83" s="436"/>
      <c r="L83" s="437"/>
      <c r="M83" s="437"/>
      <c r="N83" s="437"/>
      <c r="O83" s="437"/>
      <c r="P83" s="437"/>
      <c r="Q83" s="437"/>
      <c r="R83" s="437"/>
      <c r="S83" s="438"/>
      <c r="T83" s="439"/>
      <c r="U83" s="439"/>
      <c r="V83" s="439"/>
      <c r="W83" s="439"/>
      <c r="X83" s="440"/>
      <c r="Y83" s="440"/>
      <c r="Z83" s="440"/>
      <c r="AA83" s="440"/>
      <c r="AB83" s="440"/>
      <c r="AC83" s="440"/>
      <c r="AD83" s="441"/>
      <c r="AF83" s="53"/>
    </row>
    <row r="84" spans="1:32" ht="36" thickBot="1">
      <c r="A84" s="427" t="s">
        <v>392</v>
      </c>
      <c r="B84" s="427"/>
      <c r="C84" s="427"/>
      <c r="D84" s="427"/>
      <c r="E84" s="427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28" t="s">
        <v>113</v>
      </c>
      <c r="B85" s="429"/>
      <c r="C85" s="455" t="s">
        <v>52</v>
      </c>
      <c r="D85" s="455"/>
      <c r="E85" s="455" t="s">
        <v>53</v>
      </c>
      <c r="F85" s="455"/>
      <c r="G85" s="455"/>
      <c r="H85" s="455"/>
      <c r="I85" s="455"/>
      <c r="J85" s="455"/>
      <c r="K85" s="455" t="s">
        <v>54</v>
      </c>
      <c r="L85" s="455"/>
      <c r="M85" s="455"/>
      <c r="N85" s="455"/>
      <c r="O85" s="455"/>
      <c r="P85" s="455"/>
      <c r="Q85" s="455"/>
      <c r="R85" s="455"/>
      <c r="S85" s="455"/>
      <c r="T85" s="455" t="s">
        <v>55</v>
      </c>
      <c r="U85" s="455"/>
      <c r="V85" s="455" t="s">
        <v>56</v>
      </c>
      <c r="W85" s="455"/>
      <c r="X85" s="455"/>
      <c r="Y85" s="455" t="s">
        <v>51</v>
      </c>
      <c r="Z85" s="455"/>
      <c r="AA85" s="455"/>
      <c r="AB85" s="455"/>
      <c r="AC85" s="455"/>
      <c r="AD85" s="456"/>
      <c r="AF85" s="53"/>
    </row>
    <row r="86" spans="1:32" ht="30.75" customHeight="1">
      <c r="A86" s="442">
        <v>1</v>
      </c>
      <c r="B86" s="443"/>
      <c r="C86" s="457"/>
      <c r="D86" s="457"/>
      <c r="E86" s="457"/>
      <c r="F86" s="457"/>
      <c r="G86" s="457"/>
      <c r="H86" s="457"/>
      <c r="I86" s="457"/>
      <c r="J86" s="457"/>
      <c r="K86" s="457"/>
      <c r="L86" s="457"/>
      <c r="M86" s="457"/>
      <c r="N86" s="457"/>
      <c r="O86" s="457"/>
      <c r="P86" s="457"/>
      <c r="Q86" s="457"/>
      <c r="R86" s="457"/>
      <c r="S86" s="457"/>
      <c r="T86" s="457"/>
      <c r="U86" s="457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  <row r="87" spans="1:32" ht="30.75" customHeight="1">
      <c r="A87" s="434">
        <v>2</v>
      </c>
      <c r="B87" s="435"/>
      <c r="C87" s="468"/>
      <c r="D87" s="468"/>
      <c r="E87" s="468"/>
      <c r="F87" s="468"/>
      <c r="G87" s="468"/>
      <c r="H87" s="468"/>
      <c r="I87" s="468"/>
      <c r="J87" s="468"/>
      <c r="K87" s="468"/>
      <c r="L87" s="468"/>
      <c r="M87" s="468"/>
      <c r="N87" s="468"/>
      <c r="O87" s="468"/>
      <c r="P87" s="468"/>
      <c r="Q87" s="468"/>
      <c r="R87" s="468"/>
      <c r="S87" s="468"/>
      <c r="T87" s="469"/>
      <c r="U87" s="469"/>
      <c r="V87" s="470"/>
      <c r="W87" s="470"/>
      <c r="X87" s="470"/>
      <c r="Y87" s="461"/>
      <c r="Z87" s="461"/>
      <c r="AA87" s="461"/>
      <c r="AB87" s="461"/>
      <c r="AC87" s="461"/>
      <c r="AD87" s="462"/>
      <c r="AF87" s="53"/>
    </row>
    <row r="88" spans="1:32" ht="30.75" customHeight="1" thickBot="1">
      <c r="A88" s="463">
        <v>3</v>
      </c>
      <c r="B88" s="464"/>
      <c r="C88" s="465"/>
      <c r="D88" s="465"/>
      <c r="E88" s="465"/>
      <c r="F88" s="465"/>
      <c r="G88" s="465"/>
      <c r="H88" s="465"/>
      <c r="I88" s="465"/>
      <c r="J88" s="465"/>
      <c r="K88" s="465"/>
      <c r="L88" s="465"/>
      <c r="M88" s="465"/>
      <c r="N88" s="465"/>
      <c r="O88" s="465"/>
      <c r="P88" s="465"/>
      <c r="Q88" s="465"/>
      <c r="R88" s="465"/>
      <c r="S88" s="465"/>
      <c r="T88" s="465"/>
      <c r="U88" s="465"/>
      <c r="V88" s="465"/>
      <c r="W88" s="465"/>
      <c r="X88" s="465"/>
      <c r="Y88" s="466"/>
      <c r="Z88" s="466"/>
      <c r="AA88" s="466"/>
      <c r="AB88" s="466"/>
      <c r="AC88" s="466"/>
      <c r="AD88" s="467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F59D-6136-467A-8CED-A15D88B96473}">
  <sheetPr>
    <pageSetUpPr fitToPage="1"/>
  </sheetPr>
  <dimension ref="A1:AF89"/>
  <sheetViews>
    <sheetView zoomScale="72" zoomScaleNormal="72" zoomScaleSheetLayoutView="70" workbookViewId="0">
      <selection activeCell="F80" sqref="F80:J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393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69" t="s">
        <v>17</v>
      </c>
      <c r="L5" s="269" t="s">
        <v>18</v>
      </c>
      <c r="M5" s="269" t="s">
        <v>19</v>
      </c>
      <c r="N5" s="2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3" si="0">L6-N6</f>
        <v>0</v>
      </c>
      <c r="N6" s="16">
        <v>0</v>
      </c>
      <c r="O6" s="62" t="str">
        <f t="shared" ref="O6:O24" si="1">IF(L6=0,"0",N6/L6)</f>
        <v>0</v>
      </c>
      <c r="P6" s="42" t="str">
        <f t="shared" ref="P6:P23" si="2">IF(L6=0,"0",(24-Q6))</f>
        <v>0</v>
      </c>
      <c r="Q6" s="43">
        <f t="shared" ref="Q6:Q23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9">
        <f t="shared" ref="AE6:AE23" si="7">$AD$24</f>
        <v>0.24444444444444444</v>
      </c>
      <c r="AF6" s="93">
        <f t="shared" ref="AF6:AF23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0.24444444444444444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2308</v>
      </c>
      <c r="K8" s="15">
        <f>L8+4226+6836+7688+6790+7670+5621+7015+7715+6622+7015+7123+7122+7421+6809+7012+7150+7008+7231+2308</f>
        <v>126382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0.24444444444444444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126</v>
      </c>
      <c r="D9" s="55" t="s">
        <v>338</v>
      </c>
      <c r="E9" s="57" t="s">
        <v>337</v>
      </c>
      <c r="F9" s="33" t="s">
        <v>116</v>
      </c>
      <c r="G9" s="36">
        <v>1</v>
      </c>
      <c r="H9" s="38">
        <v>24</v>
      </c>
      <c r="I9" s="7">
        <v>10400</v>
      </c>
      <c r="J9" s="14">
        <v>2787</v>
      </c>
      <c r="K9" s="15">
        <f>L9+2202+7225</f>
        <v>12214</v>
      </c>
      <c r="L9" s="15">
        <v>2787</v>
      </c>
      <c r="M9" s="16">
        <f t="shared" si="0"/>
        <v>2787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/>
      <c r="T9" s="17"/>
      <c r="U9" s="17"/>
      <c r="V9" s="18">
        <v>12</v>
      </c>
      <c r="W9" s="19"/>
      <c r="X9" s="17"/>
      <c r="Y9" s="20"/>
      <c r="Z9" s="20"/>
      <c r="AA9" s="21"/>
      <c r="AB9" s="8">
        <f t="shared" si="4"/>
        <v>1</v>
      </c>
      <c r="AC9" s="9">
        <f t="shared" si="5"/>
        <v>0.5</v>
      </c>
      <c r="AD9" s="10">
        <f t="shared" si="6"/>
        <v>0.5</v>
      </c>
      <c r="AE9" s="39">
        <f t="shared" si="7"/>
        <v>0.24444444444444444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11" t="s">
        <v>114</v>
      </c>
      <c r="D10" s="55" t="s">
        <v>173</v>
      </c>
      <c r="E10" s="57" t="s">
        <v>385</v>
      </c>
      <c r="F10" s="33" t="s">
        <v>122</v>
      </c>
      <c r="G10" s="36">
        <v>1</v>
      </c>
      <c r="H10" s="38">
        <v>24</v>
      </c>
      <c r="I10" s="7">
        <v>220</v>
      </c>
      <c r="J10" s="14">
        <v>270</v>
      </c>
      <c r="K10" s="15">
        <f>L10</f>
        <v>270</v>
      </c>
      <c r="L10" s="15">
        <v>270</v>
      </c>
      <c r="M10" s="16">
        <f t="shared" ref="M10:M11" si="9">L10-N10</f>
        <v>270</v>
      </c>
      <c r="N10" s="16">
        <v>0</v>
      </c>
      <c r="O10" s="62">
        <f t="shared" ref="O10:O11" si="10">IF(L10=0,"0",N10/L10)</f>
        <v>0</v>
      </c>
      <c r="P10" s="42">
        <f t="shared" ref="P10:P11" si="11">IF(L10=0,"0",(24-Q10))</f>
        <v>3</v>
      </c>
      <c r="Q10" s="43">
        <f t="shared" ref="Q10:Q11" si="12">SUM(R10:AA10)</f>
        <v>21</v>
      </c>
      <c r="R10" s="7"/>
      <c r="S10" s="6"/>
      <c r="T10" s="17"/>
      <c r="U10" s="17"/>
      <c r="V10" s="18"/>
      <c r="W10" s="19">
        <v>21</v>
      </c>
      <c r="X10" s="17"/>
      <c r="Y10" s="20"/>
      <c r="Z10" s="20"/>
      <c r="AA10" s="21"/>
      <c r="AB10" s="8">
        <f t="shared" ref="AB10:AB11" si="13">IF(J10=0,"0",(L10/J10))</f>
        <v>1</v>
      </c>
      <c r="AC10" s="9">
        <f t="shared" ref="AC10:AC11" si="14">IF(P10=0,"0",(P10/24))</f>
        <v>0.125</v>
      </c>
      <c r="AD10" s="10">
        <f t="shared" ref="AD10:AD11" si="15">AC10*AB10*(1-O10)</f>
        <v>0.125</v>
      </c>
      <c r="AE10" s="39">
        <f t="shared" si="7"/>
        <v>0.24444444444444444</v>
      </c>
      <c r="AF10" s="93">
        <f t="shared" ref="AF10:AF11" si="16">A10</f>
        <v>4</v>
      </c>
    </row>
    <row r="11" spans="1:32" ht="27" customHeight="1">
      <c r="A11" s="109">
        <v>4</v>
      </c>
      <c r="B11" s="11" t="s">
        <v>57</v>
      </c>
      <c r="C11" s="11" t="s">
        <v>114</v>
      </c>
      <c r="D11" s="55" t="s">
        <v>117</v>
      </c>
      <c r="E11" s="57" t="s">
        <v>381</v>
      </c>
      <c r="F11" s="33" t="s">
        <v>361</v>
      </c>
      <c r="G11" s="36">
        <v>1</v>
      </c>
      <c r="H11" s="38">
        <v>24</v>
      </c>
      <c r="I11" s="7">
        <v>220</v>
      </c>
      <c r="J11" s="14">
        <v>310</v>
      </c>
      <c r="K11" s="15">
        <f>L11</f>
        <v>310</v>
      </c>
      <c r="L11" s="15">
        <v>310</v>
      </c>
      <c r="M11" s="16">
        <f t="shared" si="9"/>
        <v>310</v>
      </c>
      <c r="N11" s="16">
        <v>0</v>
      </c>
      <c r="O11" s="62">
        <f t="shared" si="10"/>
        <v>0</v>
      </c>
      <c r="P11" s="42">
        <f t="shared" si="11"/>
        <v>4</v>
      </c>
      <c r="Q11" s="43">
        <f t="shared" si="12"/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si="13"/>
        <v>1</v>
      </c>
      <c r="AC11" s="9">
        <f t="shared" si="14"/>
        <v>0.16666666666666666</v>
      </c>
      <c r="AD11" s="10">
        <f t="shared" si="15"/>
        <v>0.16666666666666666</v>
      </c>
      <c r="AE11" s="39">
        <f t="shared" si="7"/>
        <v>0.24444444444444444</v>
      </c>
      <c r="AF11" s="93">
        <f t="shared" si="16"/>
        <v>4</v>
      </c>
    </row>
    <row r="12" spans="1:32" ht="27" customHeight="1">
      <c r="A12" s="109">
        <v>5</v>
      </c>
      <c r="B12" s="11" t="s">
        <v>57</v>
      </c>
      <c r="C12" s="11" t="s">
        <v>126</v>
      </c>
      <c r="D12" s="55" t="s">
        <v>120</v>
      </c>
      <c r="E12" s="57" t="s">
        <v>147</v>
      </c>
      <c r="F12" s="12" t="s">
        <v>122</v>
      </c>
      <c r="G12" s="12">
        <v>1</v>
      </c>
      <c r="H12" s="13">
        <v>25</v>
      </c>
      <c r="I12" s="7">
        <v>70000</v>
      </c>
      <c r="J12" s="14">
        <v>6382</v>
      </c>
      <c r="K12" s="15">
        <f>L12+3648+6356+6488+6387+7137+3143+6382</f>
        <v>39541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0.24444444444444444</v>
      </c>
      <c r="AF12" s="93">
        <f t="shared" si="8"/>
        <v>5</v>
      </c>
    </row>
    <row r="13" spans="1:32" ht="27" customHeight="1">
      <c r="A13" s="109">
        <v>6</v>
      </c>
      <c r="B13" s="11" t="s">
        <v>57</v>
      </c>
      <c r="C13" s="11" t="s">
        <v>114</v>
      </c>
      <c r="D13" s="55" t="s">
        <v>134</v>
      </c>
      <c r="E13" s="57" t="s">
        <v>232</v>
      </c>
      <c r="F13" s="12" t="s">
        <v>136</v>
      </c>
      <c r="G13" s="12">
        <v>4</v>
      </c>
      <c r="H13" s="13">
        <v>25</v>
      </c>
      <c r="I13" s="7">
        <v>1800</v>
      </c>
      <c r="J13" s="14">
        <v>2136</v>
      </c>
      <c r="K13" s="15">
        <f>L13+2136</f>
        <v>2136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0.24444444444444444</v>
      </c>
      <c r="AF13" s="93">
        <f t="shared" si="8"/>
        <v>6</v>
      </c>
    </row>
    <row r="14" spans="1:32" ht="27" customHeight="1">
      <c r="A14" s="109">
        <v>7</v>
      </c>
      <c r="B14" s="11" t="s">
        <v>57</v>
      </c>
      <c r="C14" s="11" t="s">
        <v>114</v>
      </c>
      <c r="D14" s="55" t="s">
        <v>120</v>
      </c>
      <c r="E14" s="57" t="s">
        <v>214</v>
      </c>
      <c r="F14" s="33" t="s">
        <v>178</v>
      </c>
      <c r="G14" s="36">
        <v>4</v>
      </c>
      <c r="H14" s="38">
        <v>24</v>
      </c>
      <c r="I14" s="7">
        <v>1800</v>
      </c>
      <c r="J14" s="14">
        <v>2160</v>
      </c>
      <c r="K14" s="15">
        <f>L14</f>
        <v>2160</v>
      </c>
      <c r="L14" s="15">
        <f>540*4</f>
        <v>2160</v>
      </c>
      <c r="M14" s="16">
        <f t="shared" si="0"/>
        <v>2160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9">
        <f t="shared" si="7"/>
        <v>0.24444444444444444</v>
      </c>
      <c r="AF14" s="93">
        <f t="shared" si="8"/>
        <v>7</v>
      </c>
    </row>
    <row r="15" spans="1:32" ht="27" customHeight="1">
      <c r="A15" s="109">
        <v>7</v>
      </c>
      <c r="B15" s="11" t="s">
        <v>57</v>
      </c>
      <c r="C15" s="11" t="s">
        <v>126</v>
      </c>
      <c r="D15" s="55" t="s">
        <v>117</v>
      </c>
      <c r="E15" s="57" t="s">
        <v>394</v>
      </c>
      <c r="F15" s="33" t="s">
        <v>144</v>
      </c>
      <c r="G15" s="36">
        <v>1</v>
      </c>
      <c r="H15" s="38">
        <v>24</v>
      </c>
      <c r="I15" s="7">
        <v>35000</v>
      </c>
      <c r="J15" s="14">
        <v>2181</v>
      </c>
      <c r="K15" s="15">
        <f>L15</f>
        <v>2181</v>
      </c>
      <c r="L15" s="15">
        <v>2181</v>
      </c>
      <c r="M15" s="16">
        <f t="shared" si="0"/>
        <v>2181</v>
      </c>
      <c r="N15" s="16">
        <v>0</v>
      </c>
      <c r="O15" s="62">
        <f t="shared" si="1"/>
        <v>0</v>
      </c>
      <c r="P15" s="42">
        <f t="shared" si="2"/>
        <v>13</v>
      </c>
      <c r="Q15" s="43">
        <f t="shared" si="3"/>
        <v>11</v>
      </c>
      <c r="R15" s="7"/>
      <c r="S15" s="6"/>
      <c r="T15" s="17"/>
      <c r="U15" s="17"/>
      <c r="V15" s="18">
        <v>11</v>
      </c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0.54166666666666663</v>
      </c>
      <c r="AD15" s="10">
        <f t="shared" si="6"/>
        <v>0.54166666666666663</v>
      </c>
      <c r="AE15" s="39">
        <f t="shared" si="7"/>
        <v>0.24444444444444444</v>
      </c>
      <c r="AF15" s="93">
        <f t="shared" si="8"/>
        <v>7</v>
      </c>
    </row>
    <row r="16" spans="1:32" ht="27" customHeight="1">
      <c r="A16" s="109">
        <v>8</v>
      </c>
      <c r="B16" s="11" t="s">
        <v>57</v>
      </c>
      <c r="C16" s="11" t="s">
        <v>114</v>
      </c>
      <c r="D16" s="55" t="s">
        <v>117</v>
      </c>
      <c r="E16" s="57" t="s">
        <v>176</v>
      </c>
      <c r="F16" s="12" t="s">
        <v>361</v>
      </c>
      <c r="G16" s="12">
        <v>4</v>
      </c>
      <c r="H16" s="13">
        <v>25</v>
      </c>
      <c r="I16" s="7">
        <v>1800</v>
      </c>
      <c r="J16" s="14">
        <v>2120</v>
      </c>
      <c r="K16" s="15">
        <f>L16</f>
        <v>2120</v>
      </c>
      <c r="L16" s="15">
        <f>530*4</f>
        <v>2120</v>
      </c>
      <c r="M16" s="16">
        <f t="shared" si="0"/>
        <v>2120</v>
      </c>
      <c r="N16" s="16">
        <v>0</v>
      </c>
      <c r="O16" s="62">
        <f t="shared" si="1"/>
        <v>0</v>
      </c>
      <c r="P16" s="42">
        <f t="shared" si="2"/>
        <v>6</v>
      </c>
      <c r="Q16" s="43">
        <f t="shared" si="3"/>
        <v>18</v>
      </c>
      <c r="R16" s="7"/>
      <c r="S16" s="6"/>
      <c r="T16" s="17"/>
      <c r="U16" s="17"/>
      <c r="V16" s="18"/>
      <c r="W16" s="19">
        <v>18</v>
      </c>
      <c r="X16" s="17"/>
      <c r="Y16" s="20"/>
      <c r="Z16" s="20"/>
      <c r="AA16" s="21"/>
      <c r="AB16" s="8">
        <f t="shared" si="4"/>
        <v>1</v>
      </c>
      <c r="AC16" s="9">
        <f t="shared" si="5"/>
        <v>0.25</v>
      </c>
      <c r="AD16" s="10">
        <f t="shared" si="6"/>
        <v>0.25</v>
      </c>
      <c r="AE16" s="39">
        <f t="shared" si="7"/>
        <v>0.24444444444444444</v>
      </c>
      <c r="AF16" s="93">
        <f t="shared" si="8"/>
        <v>8</v>
      </c>
    </row>
    <row r="17" spans="1:32" ht="27" customHeight="1">
      <c r="A17" s="125">
        <v>9</v>
      </c>
      <c r="B17" s="11" t="s">
        <v>57</v>
      </c>
      <c r="C17" s="37" t="s">
        <v>204</v>
      </c>
      <c r="D17" s="55" t="s">
        <v>117</v>
      </c>
      <c r="E17" s="57" t="s">
        <v>317</v>
      </c>
      <c r="F17" s="33" t="s">
        <v>325</v>
      </c>
      <c r="G17" s="36">
        <v>1</v>
      </c>
      <c r="H17" s="38">
        <v>25</v>
      </c>
      <c r="I17" s="7">
        <v>500</v>
      </c>
      <c r="J17" s="5">
        <v>308</v>
      </c>
      <c r="K17" s="15">
        <f>L17+204+308</f>
        <v>512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0.24444444444444444</v>
      </c>
      <c r="AF17" s="93">
        <f t="shared" si="8"/>
        <v>9</v>
      </c>
    </row>
    <row r="18" spans="1:32" ht="27" customHeight="1">
      <c r="A18" s="108">
        <v>10</v>
      </c>
      <c r="B18" s="11" t="s">
        <v>57</v>
      </c>
      <c r="C18" s="37" t="s">
        <v>188</v>
      </c>
      <c r="D18" s="55" t="s">
        <v>197</v>
      </c>
      <c r="E18" s="57" t="s">
        <v>187</v>
      </c>
      <c r="F18" s="12" t="s">
        <v>198</v>
      </c>
      <c r="G18" s="12">
        <v>1</v>
      </c>
      <c r="H18" s="13">
        <v>24</v>
      </c>
      <c r="I18" s="34">
        <v>100000</v>
      </c>
      <c r="J18" s="14">
        <v>19229</v>
      </c>
      <c r="K18" s="15">
        <f>L18+32805+66430+67599+62860+19229</f>
        <v>248923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0.24444444444444444</v>
      </c>
      <c r="AF18" s="93">
        <f t="shared" si="8"/>
        <v>10</v>
      </c>
    </row>
    <row r="19" spans="1:32" ht="27" customHeight="1">
      <c r="A19" s="108">
        <v>11</v>
      </c>
      <c r="B19" s="11" t="s">
        <v>57</v>
      </c>
      <c r="C19" s="37" t="s">
        <v>126</v>
      </c>
      <c r="D19" s="55" t="s">
        <v>120</v>
      </c>
      <c r="E19" s="57" t="s">
        <v>339</v>
      </c>
      <c r="F19" s="33" t="s">
        <v>199</v>
      </c>
      <c r="G19" s="36">
        <v>1</v>
      </c>
      <c r="H19" s="38">
        <v>24</v>
      </c>
      <c r="I19" s="7">
        <v>35000</v>
      </c>
      <c r="J19" s="5">
        <v>3892</v>
      </c>
      <c r="K19" s="15">
        <f>L19+4512+3969+4406</f>
        <v>16779</v>
      </c>
      <c r="L19" s="15">
        <f>2052+1840</f>
        <v>3892</v>
      </c>
      <c r="M19" s="16">
        <f t="shared" si="0"/>
        <v>3892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9">
        <f t="shared" si="7"/>
        <v>0.24444444444444444</v>
      </c>
      <c r="AF19" s="93">
        <f t="shared" si="8"/>
        <v>11</v>
      </c>
    </row>
    <row r="20" spans="1:32" ht="27" customHeight="1">
      <c r="A20" s="108">
        <v>12</v>
      </c>
      <c r="B20" s="11" t="s">
        <v>57</v>
      </c>
      <c r="C20" s="37" t="s">
        <v>126</v>
      </c>
      <c r="D20" s="55" t="s">
        <v>128</v>
      </c>
      <c r="E20" s="57" t="s">
        <v>148</v>
      </c>
      <c r="F20" s="12" t="s">
        <v>149</v>
      </c>
      <c r="G20" s="12">
        <v>1</v>
      </c>
      <c r="H20" s="13">
        <v>24</v>
      </c>
      <c r="I20" s="34">
        <v>70000</v>
      </c>
      <c r="J20" s="14">
        <v>6544</v>
      </c>
      <c r="K20" s="15">
        <f>L20+5530+6591+6555+7009+6234+3454+6385+6995+7383+4468+7061+7120+7112+7275+6698+6957+7074+6704+6858+2960+6544</f>
        <v>132967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/>
      <c r="X20" s="17"/>
      <c r="Y20" s="20"/>
      <c r="Z20" s="20"/>
      <c r="AA20" s="21">
        <v>24</v>
      </c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0.24444444444444444</v>
      </c>
      <c r="AF20" s="93">
        <f t="shared" si="8"/>
        <v>12</v>
      </c>
    </row>
    <row r="21" spans="1:32" ht="27" customHeight="1">
      <c r="A21" s="109">
        <v>13</v>
      </c>
      <c r="B21" s="11" t="s">
        <v>57</v>
      </c>
      <c r="C21" s="37" t="s">
        <v>126</v>
      </c>
      <c r="D21" s="55" t="s">
        <v>117</v>
      </c>
      <c r="E21" s="57" t="s">
        <v>142</v>
      </c>
      <c r="F21" s="12" t="s">
        <v>122</v>
      </c>
      <c r="G21" s="36">
        <v>1</v>
      </c>
      <c r="H21" s="38">
        <v>24</v>
      </c>
      <c r="I21" s="7">
        <v>70000</v>
      </c>
      <c r="J21" s="5">
        <v>5799</v>
      </c>
      <c r="K21" s="15">
        <f>L21+3442+4857+6103+3605+5831+5901+4875+6279+5633+5015+5887+5920+5827+5643+5849+5831+2164+3657+1002+4031+3549+3951</f>
        <v>110651</v>
      </c>
      <c r="L21" s="15">
        <f>2993+2806</f>
        <v>5799</v>
      </c>
      <c r="M21" s="16">
        <f t="shared" si="0"/>
        <v>5799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0.24444444444444444</v>
      </c>
      <c r="AF21" s="93">
        <f t="shared" si="8"/>
        <v>13</v>
      </c>
    </row>
    <row r="22" spans="1:32" ht="27" customHeight="1">
      <c r="A22" s="109">
        <v>14</v>
      </c>
      <c r="B22" s="11" t="s">
        <v>57</v>
      </c>
      <c r="C22" s="11" t="s">
        <v>126</v>
      </c>
      <c r="D22" s="55" t="s">
        <v>117</v>
      </c>
      <c r="E22" s="57" t="s">
        <v>247</v>
      </c>
      <c r="F22" s="12" t="s">
        <v>144</v>
      </c>
      <c r="G22" s="36">
        <v>2</v>
      </c>
      <c r="H22" s="13">
        <v>24</v>
      </c>
      <c r="I22" s="7">
        <v>40000</v>
      </c>
      <c r="J22" s="14">
        <v>9876</v>
      </c>
      <c r="K22" s="15">
        <f>L22+7060+1442+10364+9550+9876</f>
        <v>38292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0</v>
      </c>
      <c r="R22" s="7"/>
      <c r="S22" s="6"/>
      <c r="T22" s="17"/>
      <c r="U22" s="17"/>
      <c r="V22" s="18"/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0.24444444444444444</v>
      </c>
      <c r="AF22" s="93">
        <f t="shared" si="8"/>
        <v>14</v>
      </c>
    </row>
    <row r="23" spans="1:32" ht="27" customHeight="1" thickBot="1">
      <c r="A23" s="109">
        <v>15</v>
      </c>
      <c r="B23" s="11" t="s">
        <v>57</v>
      </c>
      <c r="C23" s="11" t="s">
        <v>115</v>
      </c>
      <c r="D23" s="55"/>
      <c r="E23" s="56" t="s">
        <v>154</v>
      </c>
      <c r="F23" s="12" t="s">
        <v>116</v>
      </c>
      <c r="G23" s="12">
        <v>4</v>
      </c>
      <c r="H23" s="38">
        <v>20</v>
      </c>
      <c r="I23" s="7">
        <v>300000</v>
      </c>
      <c r="J23" s="14">
        <v>10476</v>
      </c>
      <c r="K23" s="15">
        <f>L23+39648+30712+45256+43600+10476</f>
        <v>169692</v>
      </c>
      <c r="L23" s="15"/>
      <c r="M23" s="16">
        <f t="shared" si="0"/>
        <v>0</v>
      </c>
      <c r="N23" s="16">
        <v>0</v>
      </c>
      <c r="O23" s="62" t="str">
        <f t="shared" si="1"/>
        <v>0</v>
      </c>
      <c r="P23" s="42" t="str">
        <f t="shared" si="2"/>
        <v>0</v>
      </c>
      <c r="Q23" s="43">
        <f t="shared" si="3"/>
        <v>24</v>
      </c>
      <c r="R23" s="7"/>
      <c r="S23" s="6"/>
      <c r="T23" s="17"/>
      <c r="U23" s="17"/>
      <c r="V23" s="18">
        <v>24</v>
      </c>
      <c r="W23" s="19"/>
      <c r="X23" s="17"/>
      <c r="Y23" s="20"/>
      <c r="Z23" s="20"/>
      <c r="AA23" s="21"/>
      <c r="AB23" s="8">
        <f t="shared" si="4"/>
        <v>0</v>
      </c>
      <c r="AC23" s="9">
        <f t="shared" si="5"/>
        <v>0</v>
      </c>
      <c r="AD23" s="10">
        <f t="shared" si="6"/>
        <v>0</v>
      </c>
      <c r="AE23" s="39">
        <f t="shared" si="7"/>
        <v>0.24444444444444444</v>
      </c>
      <c r="AF23" s="93">
        <f t="shared" si="8"/>
        <v>15</v>
      </c>
    </row>
    <row r="24" spans="1:32" ht="31.5" customHeight="1" thickBot="1">
      <c r="A24" s="372" t="s">
        <v>34</v>
      </c>
      <c r="B24" s="373"/>
      <c r="C24" s="373"/>
      <c r="D24" s="373"/>
      <c r="E24" s="373"/>
      <c r="F24" s="373"/>
      <c r="G24" s="373"/>
      <c r="H24" s="374"/>
      <c r="I24" s="25">
        <f t="shared" ref="I24:N24" si="17">SUM(I6:I23)</f>
        <v>806740</v>
      </c>
      <c r="J24" s="22">
        <f t="shared" si="17"/>
        <v>76778</v>
      </c>
      <c r="K24" s="23">
        <f t="shared" si="17"/>
        <v>905130</v>
      </c>
      <c r="L24" s="24">
        <f t="shared" si="17"/>
        <v>19519</v>
      </c>
      <c r="M24" s="23">
        <f t="shared" si="17"/>
        <v>19519</v>
      </c>
      <c r="N24" s="24">
        <f t="shared" si="17"/>
        <v>0</v>
      </c>
      <c r="O24" s="44">
        <f t="shared" si="1"/>
        <v>0</v>
      </c>
      <c r="P24" s="45">
        <f t="shared" ref="P24:AA24" si="18">SUM(P6:P23)</f>
        <v>88</v>
      </c>
      <c r="Q24" s="46">
        <f t="shared" si="18"/>
        <v>316</v>
      </c>
      <c r="R24" s="26">
        <f t="shared" si="18"/>
        <v>24</v>
      </c>
      <c r="S24" s="27">
        <f t="shared" si="18"/>
        <v>4</v>
      </c>
      <c r="T24" s="27">
        <f t="shared" si="18"/>
        <v>0</v>
      </c>
      <c r="U24" s="27">
        <f t="shared" si="18"/>
        <v>0</v>
      </c>
      <c r="V24" s="28">
        <f t="shared" si="18"/>
        <v>71</v>
      </c>
      <c r="W24" s="29">
        <f t="shared" si="18"/>
        <v>169</v>
      </c>
      <c r="X24" s="30">
        <f t="shared" si="18"/>
        <v>0</v>
      </c>
      <c r="Y24" s="30">
        <f t="shared" si="18"/>
        <v>0</v>
      </c>
      <c r="Z24" s="30">
        <f t="shared" si="18"/>
        <v>0</v>
      </c>
      <c r="AA24" s="30">
        <f t="shared" si="18"/>
        <v>48</v>
      </c>
      <c r="AB24" s="31">
        <f>SUM(AB6:AB23)/15</f>
        <v>0.53333333333333333</v>
      </c>
      <c r="AC24" s="4">
        <f>SUM(AC6:AC23)/15</f>
        <v>0.24444444444444444</v>
      </c>
      <c r="AD24" s="4">
        <f>SUM(AD6:AD23)/15</f>
        <v>0.24444444444444444</v>
      </c>
      <c r="AE24" s="32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1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</row>
    <row r="35" spans="1:3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94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3"/>
    </row>
    <row r="41" spans="1:32" ht="27">
      <c r="A41" s="63"/>
      <c r="B41" s="63"/>
      <c r="C41" s="63"/>
      <c r="D41" s="63"/>
      <c r="E41" s="63"/>
      <c r="F41" s="64"/>
      <c r="G41" s="64"/>
      <c r="H41" s="65"/>
      <c r="I41" s="65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F41" s="53"/>
    </row>
    <row r="42" spans="1:32" ht="29.25" customHeight="1">
      <c r="A42" s="66"/>
      <c r="B42" s="66"/>
      <c r="C42" s="67"/>
      <c r="D42" s="67"/>
      <c r="E42" s="67"/>
      <c r="F42" s="66"/>
      <c r="G42" s="66"/>
      <c r="H42" s="66"/>
      <c r="I42" s="66"/>
      <c r="J42" s="66"/>
      <c r="K42" s="66"/>
      <c r="L42" s="66"/>
      <c r="M42" s="67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29.25" customHeight="1">
      <c r="A49" s="66"/>
      <c r="B49" s="66"/>
      <c r="C49" s="68"/>
      <c r="D49" s="67"/>
      <c r="E49" s="67"/>
      <c r="F49" s="66"/>
      <c r="G49" s="66"/>
      <c r="H49" s="66"/>
      <c r="I49" s="66"/>
      <c r="J49" s="66"/>
      <c r="K49" s="66"/>
      <c r="L49" s="66"/>
      <c r="M49" s="68"/>
      <c r="N49" s="66"/>
      <c r="O49" s="66"/>
      <c r="P49" s="69"/>
      <c r="Q49" s="69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66"/>
      <c r="AC49" s="66"/>
      <c r="AD49" s="66"/>
      <c r="AF49" s="53"/>
    </row>
    <row r="50" spans="1:32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36" thickBot="1">
      <c r="A51" s="375" t="s">
        <v>45</v>
      </c>
      <c r="B51" s="375"/>
      <c r="C51" s="375"/>
      <c r="D51" s="375"/>
      <c r="E51" s="375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F51" s="53"/>
    </row>
    <row r="52" spans="1:32" ht="26.25" thickBot="1">
      <c r="A52" s="376" t="s">
        <v>395</v>
      </c>
      <c r="B52" s="377"/>
      <c r="C52" s="377"/>
      <c r="D52" s="377"/>
      <c r="E52" s="377"/>
      <c r="F52" s="377"/>
      <c r="G52" s="377"/>
      <c r="H52" s="377"/>
      <c r="I52" s="377"/>
      <c r="J52" s="377"/>
      <c r="K52" s="377"/>
      <c r="L52" s="377"/>
      <c r="M52" s="378"/>
      <c r="N52" s="379" t="s">
        <v>400</v>
      </c>
      <c r="O52" s="380"/>
      <c r="P52" s="380"/>
      <c r="Q52" s="380"/>
      <c r="R52" s="380"/>
      <c r="S52" s="380"/>
      <c r="T52" s="380"/>
      <c r="U52" s="380"/>
      <c r="V52" s="380"/>
      <c r="W52" s="380"/>
      <c r="X52" s="380"/>
      <c r="Y52" s="380"/>
      <c r="Z52" s="380"/>
      <c r="AA52" s="380"/>
      <c r="AB52" s="380"/>
      <c r="AC52" s="380"/>
      <c r="AD52" s="381"/>
    </row>
    <row r="53" spans="1:32" ht="27" customHeight="1">
      <c r="A53" s="382" t="s">
        <v>2</v>
      </c>
      <c r="B53" s="383"/>
      <c r="C53" s="270" t="s">
        <v>46</v>
      </c>
      <c r="D53" s="270" t="s">
        <v>47</v>
      </c>
      <c r="E53" s="270" t="s">
        <v>108</v>
      </c>
      <c r="F53" s="383" t="s">
        <v>107</v>
      </c>
      <c r="G53" s="383"/>
      <c r="H53" s="383"/>
      <c r="I53" s="383"/>
      <c r="J53" s="383"/>
      <c r="K53" s="383"/>
      <c r="L53" s="383"/>
      <c r="M53" s="384"/>
      <c r="N53" s="73" t="s">
        <v>112</v>
      </c>
      <c r="O53" s="270" t="s">
        <v>46</v>
      </c>
      <c r="P53" s="385" t="s">
        <v>47</v>
      </c>
      <c r="Q53" s="386"/>
      <c r="R53" s="385" t="s">
        <v>38</v>
      </c>
      <c r="S53" s="387"/>
      <c r="T53" s="387"/>
      <c r="U53" s="386"/>
      <c r="V53" s="385" t="s">
        <v>48</v>
      </c>
      <c r="W53" s="387"/>
      <c r="X53" s="387"/>
      <c r="Y53" s="387"/>
      <c r="Z53" s="387"/>
      <c r="AA53" s="387"/>
      <c r="AB53" s="387"/>
      <c r="AC53" s="387"/>
      <c r="AD53" s="388"/>
    </row>
    <row r="54" spans="1:32" ht="27" customHeight="1">
      <c r="A54" s="399" t="s">
        <v>114</v>
      </c>
      <c r="B54" s="400"/>
      <c r="C54" s="272" t="s">
        <v>130</v>
      </c>
      <c r="D54" s="272" t="s">
        <v>173</v>
      </c>
      <c r="E54" s="272" t="s">
        <v>385</v>
      </c>
      <c r="F54" s="401" t="s">
        <v>119</v>
      </c>
      <c r="G54" s="402"/>
      <c r="H54" s="402"/>
      <c r="I54" s="402"/>
      <c r="J54" s="402"/>
      <c r="K54" s="402"/>
      <c r="L54" s="402"/>
      <c r="M54" s="403"/>
      <c r="N54" s="271" t="s">
        <v>126</v>
      </c>
      <c r="O54" s="124" t="s">
        <v>125</v>
      </c>
      <c r="P54" s="404" t="s">
        <v>117</v>
      </c>
      <c r="Q54" s="405"/>
      <c r="R54" s="400" t="s">
        <v>397</v>
      </c>
      <c r="S54" s="400"/>
      <c r="T54" s="400"/>
      <c r="U54" s="400"/>
      <c r="V54" s="406" t="s">
        <v>119</v>
      </c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114</v>
      </c>
      <c r="B55" s="400"/>
      <c r="C55" s="272" t="s">
        <v>130</v>
      </c>
      <c r="D55" s="272" t="s">
        <v>117</v>
      </c>
      <c r="E55" s="272" t="s">
        <v>381</v>
      </c>
      <c r="F55" s="401" t="s">
        <v>119</v>
      </c>
      <c r="G55" s="402"/>
      <c r="H55" s="402"/>
      <c r="I55" s="402"/>
      <c r="J55" s="402"/>
      <c r="K55" s="402"/>
      <c r="L55" s="402"/>
      <c r="M55" s="403"/>
      <c r="N55" s="271" t="s">
        <v>398</v>
      </c>
      <c r="O55" s="124" t="s">
        <v>189</v>
      </c>
      <c r="P55" s="404" t="s">
        <v>197</v>
      </c>
      <c r="Q55" s="405"/>
      <c r="R55" s="400" t="s">
        <v>399</v>
      </c>
      <c r="S55" s="400"/>
      <c r="T55" s="400"/>
      <c r="U55" s="400"/>
      <c r="V55" s="406" t="s">
        <v>119</v>
      </c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 t="s">
        <v>126</v>
      </c>
      <c r="B56" s="400"/>
      <c r="C56" s="272" t="s">
        <v>191</v>
      </c>
      <c r="D56" s="272" t="s">
        <v>120</v>
      </c>
      <c r="E56" s="272" t="s">
        <v>332</v>
      </c>
      <c r="F56" s="401" t="s">
        <v>396</v>
      </c>
      <c r="G56" s="402"/>
      <c r="H56" s="402"/>
      <c r="I56" s="402"/>
      <c r="J56" s="402"/>
      <c r="K56" s="402"/>
      <c r="L56" s="402"/>
      <c r="M56" s="403"/>
      <c r="N56" s="271"/>
      <c r="O56" s="124"/>
      <c r="P56" s="400"/>
      <c r="Q56" s="400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 t="s">
        <v>114</v>
      </c>
      <c r="B57" s="400"/>
      <c r="C57" s="272" t="s">
        <v>230</v>
      </c>
      <c r="D57" s="272" t="s">
        <v>120</v>
      </c>
      <c r="E57" s="272" t="s">
        <v>214</v>
      </c>
      <c r="F57" s="401" t="s">
        <v>119</v>
      </c>
      <c r="G57" s="402"/>
      <c r="H57" s="402"/>
      <c r="I57" s="402"/>
      <c r="J57" s="402"/>
      <c r="K57" s="402"/>
      <c r="L57" s="402"/>
      <c r="M57" s="403"/>
      <c r="N57" s="271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 t="s">
        <v>114</v>
      </c>
      <c r="B58" s="400"/>
      <c r="C58" s="272" t="s">
        <v>230</v>
      </c>
      <c r="D58" s="272" t="s">
        <v>120</v>
      </c>
      <c r="E58" s="272" t="s">
        <v>394</v>
      </c>
      <c r="F58" s="401" t="s">
        <v>119</v>
      </c>
      <c r="G58" s="402"/>
      <c r="H58" s="402"/>
      <c r="I58" s="402"/>
      <c r="J58" s="402"/>
      <c r="K58" s="402"/>
      <c r="L58" s="402"/>
      <c r="M58" s="403"/>
      <c r="N58" s="271"/>
      <c r="O58" s="124"/>
      <c r="P58" s="400"/>
      <c r="Q58" s="400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 t="s">
        <v>114</v>
      </c>
      <c r="B59" s="400"/>
      <c r="C59" s="272" t="s">
        <v>125</v>
      </c>
      <c r="D59" s="272" t="s">
        <v>117</v>
      </c>
      <c r="E59" s="272" t="s">
        <v>176</v>
      </c>
      <c r="F59" s="401" t="s">
        <v>119</v>
      </c>
      <c r="G59" s="402"/>
      <c r="H59" s="402"/>
      <c r="I59" s="402"/>
      <c r="J59" s="402"/>
      <c r="K59" s="402"/>
      <c r="L59" s="402"/>
      <c r="M59" s="403"/>
      <c r="N59" s="271"/>
      <c r="O59" s="124"/>
      <c r="P59" s="404"/>
      <c r="Q59" s="405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</row>
    <row r="60" spans="1:32" ht="27" customHeight="1">
      <c r="A60" s="399"/>
      <c r="B60" s="400"/>
      <c r="C60" s="272"/>
      <c r="D60" s="272"/>
      <c r="E60" s="272"/>
      <c r="F60" s="406"/>
      <c r="G60" s="406"/>
      <c r="H60" s="406"/>
      <c r="I60" s="406"/>
      <c r="J60" s="406"/>
      <c r="K60" s="406"/>
      <c r="L60" s="406"/>
      <c r="M60" s="407"/>
      <c r="N60" s="271"/>
      <c r="O60" s="124"/>
      <c r="P60" s="404"/>
      <c r="Q60" s="405"/>
      <c r="R60" s="400"/>
      <c r="S60" s="400"/>
      <c r="T60" s="400"/>
      <c r="U60" s="400"/>
      <c r="V60" s="406"/>
      <c r="W60" s="406"/>
      <c r="X60" s="406"/>
      <c r="Y60" s="406"/>
      <c r="Z60" s="406"/>
      <c r="AA60" s="406"/>
      <c r="AB60" s="406"/>
      <c r="AC60" s="406"/>
      <c r="AD60" s="407"/>
    </row>
    <row r="61" spans="1:32" ht="27" customHeight="1">
      <c r="A61" s="399"/>
      <c r="B61" s="400"/>
      <c r="C61" s="272"/>
      <c r="D61" s="272"/>
      <c r="E61" s="272"/>
      <c r="F61" s="406"/>
      <c r="G61" s="406"/>
      <c r="H61" s="406"/>
      <c r="I61" s="406"/>
      <c r="J61" s="406"/>
      <c r="K61" s="406"/>
      <c r="L61" s="406"/>
      <c r="M61" s="407"/>
      <c r="N61" s="271"/>
      <c r="O61" s="124"/>
      <c r="P61" s="404"/>
      <c r="Q61" s="405"/>
      <c r="R61" s="400"/>
      <c r="S61" s="400"/>
      <c r="T61" s="400"/>
      <c r="U61" s="400"/>
      <c r="V61" s="406"/>
      <c r="W61" s="406"/>
      <c r="X61" s="406"/>
      <c r="Y61" s="406"/>
      <c r="Z61" s="406"/>
      <c r="AA61" s="406"/>
      <c r="AB61" s="406"/>
      <c r="AC61" s="406"/>
      <c r="AD61" s="407"/>
    </row>
    <row r="62" spans="1:32" ht="27" customHeight="1">
      <c r="A62" s="399"/>
      <c r="B62" s="400"/>
      <c r="C62" s="272"/>
      <c r="D62" s="272"/>
      <c r="E62" s="272"/>
      <c r="F62" s="406"/>
      <c r="G62" s="406"/>
      <c r="H62" s="406"/>
      <c r="I62" s="406"/>
      <c r="J62" s="406"/>
      <c r="K62" s="406"/>
      <c r="L62" s="406"/>
      <c r="M62" s="407"/>
      <c r="N62" s="271"/>
      <c r="O62" s="124"/>
      <c r="P62" s="400"/>
      <c r="Q62" s="400"/>
      <c r="R62" s="400"/>
      <c r="S62" s="400"/>
      <c r="T62" s="400"/>
      <c r="U62" s="400"/>
      <c r="V62" s="406"/>
      <c r="W62" s="406"/>
      <c r="X62" s="406"/>
      <c r="Y62" s="406"/>
      <c r="Z62" s="406"/>
      <c r="AA62" s="406"/>
      <c r="AB62" s="406"/>
      <c r="AC62" s="406"/>
      <c r="AD62" s="407"/>
      <c r="AF62" s="93">
        <f>8*3000</f>
        <v>24000</v>
      </c>
    </row>
    <row r="63" spans="1:32" ht="27" customHeight="1" thickBot="1">
      <c r="A63" s="408"/>
      <c r="B63" s="409"/>
      <c r="C63" s="274"/>
      <c r="D63" s="274"/>
      <c r="E63" s="274"/>
      <c r="F63" s="410"/>
      <c r="G63" s="410"/>
      <c r="H63" s="410"/>
      <c r="I63" s="410"/>
      <c r="J63" s="410"/>
      <c r="K63" s="410"/>
      <c r="L63" s="410"/>
      <c r="M63" s="411"/>
      <c r="N63" s="273"/>
      <c r="O63" s="120"/>
      <c r="P63" s="409"/>
      <c r="Q63" s="409"/>
      <c r="R63" s="409"/>
      <c r="S63" s="409"/>
      <c r="T63" s="409"/>
      <c r="U63" s="409"/>
      <c r="V63" s="412"/>
      <c r="W63" s="412"/>
      <c r="X63" s="412"/>
      <c r="Y63" s="412"/>
      <c r="Z63" s="412"/>
      <c r="AA63" s="412"/>
      <c r="AB63" s="412"/>
      <c r="AC63" s="412"/>
      <c r="AD63" s="413"/>
      <c r="AF63" s="93">
        <f>16*3000</f>
        <v>48000</v>
      </c>
    </row>
    <row r="64" spans="1:32" ht="27.75" thickBot="1">
      <c r="A64" s="414" t="s">
        <v>401</v>
      </c>
      <c r="B64" s="414"/>
      <c r="C64" s="414"/>
      <c r="D64" s="414"/>
      <c r="E64" s="414"/>
      <c r="F64" s="40"/>
      <c r="G64" s="40"/>
      <c r="H64" s="41"/>
      <c r="I64" s="41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F64" s="93">
        <v>24000</v>
      </c>
    </row>
    <row r="65" spans="1:32" ht="29.25" customHeight="1" thickBot="1">
      <c r="A65" s="415" t="s">
        <v>113</v>
      </c>
      <c r="B65" s="416"/>
      <c r="C65" s="275" t="s">
        <v>2</v>
      </c>
      <c r="D65" s="275" t="s">
        <v>37</v>
      </c>
      <c r="E65" s="275" t="s">
        <v>3</v>
      </c>
      <c r="F65" s="416" t="s">
        <v>110</v>
      </c>
      <c r="G65" s="416"/>
      <c r="H65" s="416"/>
      <c r="I65" s="416"/>
      <c r="J65" s="416"/>
      <c r="K65" s="416" t="s">
        <v>39</v>
      </c>
      <c r="L65" s="416"/>
      <c r="M65" s="275" t="s">
        <v>40</v>
      </c>
      <c r="N65" s="416" t="s">
        <v>41</v>
      </c>
      <c r="O65" s="416"/>
      <c r="P65" s="417" t="s">
        <v>42</v>
      </c>
      <c r="Q65" s="418"/>
      <c r="R65" s="417" t="s">
        <v>43</v>
      </c>
      <c r="S65" s="419"/>
      <c r="T65" s="419"/>
      <c r="U65" s="419"/>
      <c r="V65" s="419"/>
      <c r="W65" s="419"/>
      <c r="X65" s="419"/>
      <c r="Y65" s="419"/>
      <c r="Z65" s="419"/>
      <c r="AA65" s="418"/>
      <c r="AB65" s="416" t="s">
        <v>44</v>
      </c>
      <c r="AC65" s="416"/>
      <c r="AD65" s="420"/>
      <c r="AF65" s="93">
        <f>SUM(AF62:AF64)</f>
        <v>96000</v>
      </c>
    </row>
    <row r="66" spans="1:32" ht="25.5" customHeight="1">
      <c r="A66" s="421">
        <v>1</v>
      </c>
      <c r="B66" s="422"/>
      <c r="C66" s="123" t="s">
        <v>114</v>
      </c>
      <c r="D66" s="278"/>
      <c r="E66" s="276" t="s">
        <v>173</v>
      </c>
      <c r="F66" s="423" t="s">
        <v>385</v>
      </c>
      <c r="G66" s="424"/>
      <c r="H66" s="424"/>
      <c r="I66" s="424"/>
      <c r="J66" s="424"/>
      <c r="K66" s="424" t="s">
        <v>122</v>
      </c>
      <c r="L66" s="424"/>
      <c r="M66" s="54" t="s">
        <v>170</v>
      </c>
      <c r="N66" s="424">
        <v>4</v>
      </c>
      <c r="O66" s="424"/>
      <c r="P66" s="425">
        <v>30</v>
      </c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2</v>
      </c>
      <c r="B67" s="422"/>
      <c r="C67" s="123" t="s">
        <v>114</v>
      </c>
      <c r="D67" s="278"/>
      <c r="E67" s="276" t="s">
        <v>128</v>
      </c>
      <c r="F67" s="423" t="s">
        <v>402</v>
      </c>
      <c r="G67" s="424"/>
      <c r="H67" s="424"/>
      <c r="I67" s="424"/>
      <c r="J67" s="424"/>
      <c r="K67" s="424" t="s">
        <v>218</v>
      </c>
      <c r="L67" s="424"/>
      <c r="M67" s="54" t="s">
        <v>175</v>
      </c>
      <c r="N67" s="424">
        <v>4</v>
      </c>
      <c r="O67" s="424"/>
      <c r="P67" s="425">
        <v>50</v>
      </c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3</v>
      </c>
      <c r="B68" s="422"/>
      <c r="C68" s="123" t="s">
        <v>114</v>
      </c>
      <c r="D68" s="278"/>
      <c r="E68" s="276" t="s">
        <v>133</v>
      </c>
      <c r="F68" s="423" t="s">
        <v>403</v>
      </c>
      <c r="G68" s="424"/>
      <c r="H68" s="424"/>
      <c r="I68" s="424"/>
      <c r="J68" s="424"/>
      <c r="K68" s="424">
        <v>7301</v>
      </c>
      <c r="L68" s="424"/>
      <c r="M68" s="54" t="s">
        <v>175</v>
      </c>
      <c r="N68" s="424">
        <v>4</v>
      </c>
      <c r="O68" s="424"/>
      <c r="P68" s="425">
        <v>50</v>
      </c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4</v>
      </c>
      <c r="B69" s="422"/>
      <c r="C69" s="123" t="s">
        <v>114</v>
      </c>
      <c r="D69" s="278"/>
      <c r="E69" s="276" t="s">
        <v>405</v>
      </c>
      <c r="F69" s="423" t="s">
        <v>404</v>
      </c>
      <c r="G69" s="424"/>
      <c r="H69" s="424"/>
      <c r="I69" s="424"/>
      <c r="J69" s="424"/>
      <c r="K69" s="424" t="s">
        <v>136</v>
      </c>
      <c r="L69" s="424"/>
      <c r="M69" s="54" t="s">
        <v>175</v>
      </c>
      <c r="N69" s="424">
        <v>6</v>
      </c>
      <c r="O69" s="424"/>
      <c r="P69" s="425">
        <v>50</v>
      </c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5</v>
      </c>
      <c r="B70" s="422"/>
      <c r="C70" s="123" t="s">
        <v>114</v>
      </c>
      <c r="D70" s="278"/>
      <c r="E70" s="276" t="s">
        <v>252</v>
      </c>
      <c r="F70" s="423" t="s">
        <v>406</v>
      </c>
      <c r="G70" s="424"/>
      <c r="H70" s="424"/>
      <c r="I70" s="424"/>
      <c r="J70" s="424"/>
      <c r="K70" s="424" t="s">
        <v>218</v>
      </c>
      <c r="L70" s="424"/>
      <c r="M70" s="54" t="s">
        <v>175</v>
      </c>
      <c r="N70" s="424">
        <v>7</v>
      </c>
      <c r="O70" s="424"/>
      <c r="P70" s="425">
        <v>100</v>
      </c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5.5" customHeight="1">
      <c r="A71" s="421">
        <v>6</v>
      </c>
      <c r="B71" s="422"/>
      <c r="C71" s="123" t="s">
        <v>114</v>
      </c>
      <c r="D71" s="278"/>
      <c r="E71" s="276" t="s">
        <v>131</v>
      </c>
      <c r="F71" s="423" t="s">
        <v>407</v>
      </c>
      <c r="G71" s="424"/>
      <c r="H71" s="424"/>
      <c r="I71" s="424"/>
      <c r="J71" s="424"/>
      <c r="K71" s="424">
        <v>7301</v>
      </c>
      <c r="L71" s="424"/>
      <c r="M71" s="54" t="s">
        <v>175</v>
      </c>
      <c r="N71" s="424">
        <v>7</v>
      </c>
      <c r="O71" s="424"/>
      <c r="P71" s="425">
        <v>50</v>
      </c>
      <c r="Q71" s="425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24"/>
      <c r="AC71" s="424"/>
      <c r="AD71" s="426"/>
      <c r="AF71" s="53"/>
    </row>
    <row r="72" spans="1:32" ht="25.5" customHeight="1">
      <c r="A72" s="421">
        <v>7</v>
      </c>
      <c r="B72" s="422"/>
      <c r="C72" s="123" t="s">
        <v>114</v>
      </c>
      <c r="D72" s="278"/>
      <c r="E72" s="276" t="s">
        <v>120</v>
      </c>
      <c r="F72" s="423" t="s">
        <v>214</v>
      </c>
      <c r="G72" s="424"/>
      <c r="H72" s="424"/>
      <c r="I72" s="424"/>
      <c r="J72" s="424"/>
      <c r="K72" s="424" t="s">
        <v>178</v>
      </c>
      <c r="L72" s="424"/>
      <c r="M72" s="54" t="s">
        <v>170</v>
      </c>
      <c r="N72" s="424">
        <v>7</v>
      </c>
      <c r="O72" s="424"/>
      <c r="P72" s="425">
        <v>120</v>
      </c>
      <c r="Q72" s="425"/>
      <c r="R72" s="406"/>
      <c r="S72" s="406"/>
      <c r="T72" s="406"/>
      <c r="U72" s="406"/>
      <c r="V72" s="406"/>
      <c r="W72" s="406"/>
      <c r="X72" s="406"/>
      <c r="Y72" s="406"/>
      <c r="Z72" s="406"/>
      <c r="AA72" s="406"/>
      <c r="AB72" s="424"/>
      <c r="AC72" s="424"/>
      <c r="AD72" s="426"/>
      <c r="AF72" s="53"/>
    </row>
    <row r="73" spans="1:32" ht="25.5" customHeight="1">
      <c r="A73" s="421">
        <v>8</v>
      </c>
      <c r="B73" s="422"/>
      <c r="C73" s="123" t="s">
        <v>114</v>
      </c>
      <c r="D73" s="278"/>
      <c r="E73" s="276" t="s">
        <v>117</v>
      </c>
      <c r="F73" s="423" t="s">
        <v>176</v>
      </c>
      <c r="G73" s="424"/>
      <c r="H73" s="424"/>
      <c r="I73" s="424"/>
      <c r="J73" s="424"/>
      <c r="K73" s="424" t="s">
        <v>361</v>
      </c>
      <c r="L73" s="424"/>
      <c r="M73" s="54" t="s">
        <v>170</v>
      </c>
      <c r="N73" s="424">
        <v>8</v>
      </c>
      <c r="O73" s="424"/>
      <c r="P73" s="425">
        <v>120</v>
      </c>
      <c r="Q73" s="425"/>
      <c r="R73" s="406"/>
      <c r="S73" s="406"/>
      <c r="T73" s="406"/>
      <c r="U73" s="406"/>
      <c r="V73" s="406"/>
      <c r="W73" s="406"/>
      <c r="X73" s="406"/>
      <c r="Y73" s="406"/>
      <c r="Z73" s="406"/>
      <c r="AA73" s="406"/>
      <c r="AB73" s="424"/>
      <c r="AC73" s="424"/>
      <c r="AD73" s="426"/>
      <c r="AF73" s="53"/>
    </row>
    <row r="74" spans="1:32" ht="26.25" customHeight="1" thickBot="1">
      <c r="A74" s="427" t="s">
        <v>408</v>
      </c>
      <c r="B74" s="427"/>
      <c r="C74" s="427"/>
      <c r="D74" s="427"/>
      <c r="E74" s="427"/>
      <c r="F74" s="40"/>
      <c r="G74" s="40"/>
      <c r="H74" s="41"/>
      <c r="I74" s="41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F74" s="53"/>
    </row>
    <row r="75" spans="1:32" ht="23.25" thickBot="1">
      <c r="A75" s="428" t="s">
        <v>113</v>
      </c>
      <c r="B75" s="429"/>
      <c r="C75" s="277" t="s">
        <v>2</v>
      </c>
      <c r="D75" s="277" t="s">
        <v>37</v>
      </c>
      <c r="E75" s="277" t="s">
        <v>3</v>
      </c>
      <c r="F75" s="429" t="s">
        <v>38</v>
      </c>
      <c r="G75" s="429"/>
      <c r="H75" s="429"/>
      <c r="I75" s="429"/>
      <c r="J75" s="429"/>
      <c r="K75" s="430" t="s">
        <v>58</v>
      </c>
      <c r="L75" s="431"/>
      <c r="M75" s="431"/>
      <c r="N75" s="431"/>
      <c r="O75" s="431"/>
      <c r="P75" s="431"/>
      <c r="Q75" s="431"/>
      <c r="R75" s="431"/>
      <c r="S75" s="432"/>
      <c r="T75" s="429" t="s">
        <v>49</v>
      </c>
      <c r="U75" s="429"/>
      <c r="V75" s="430" t="s">
        <v>50</v>
      </c>
      <c r="W75" s="432"/>
      <c r="X75" s="431" t="s">
        <v>51</v>
      </c>
      <c r="Y75" s="431"/>
      <c r="Z75" s="431"/>
      <c r="AA75" s="431"/>
      <c r="AB75" s="431"/>
      <c r="AC75" s="431"/>
      <c r="AD75" s="433"/>
      <c r="AF75" s="53"/>
    </row>
    <row r="76" spans="1:32" ht="33.75" customHeight="1">
      <c r="A76" s="442">
        <v>1</v>
      </c>
      <c r="B76" s="443"/>
      <c r="C76" s="279" t="s">
        <v>114</v>
      </c>
      <c r="D76" s="279"/>
      <c r="E76" s="71" t="s">
        <v>133</v>
      </c>
      <c r="F76" s="444" t="s">
        <v>132</v>
      </c>
      <c r="G76" s="445"/>
      <c r="H76" s="445"/>
      <c r="I76" s="445"/>
      <c r="J76" s="446"/>
      <c r="K76" s="447" t="s">
        <v>135</v>
      </c>
      <c r="L76" s="448"/>
      <c r="M76" s="448"/>
      <c r="N76" s="448"/>
      <c r="O76" s="448"/>
      <c r="P76" s="448"/>
      <c r="Q76" s="448"/>
      <c r="R76" s="448"/>
      <c r="S76" s="449"/>
      <c r="T76" s="450">
        <v>43384</v>
      </c>
      <c r="U76" s="451"/>
      <c r="V76" s="452"/>
      <c r="W76" s="452"/>
      <c r="X76" s="453"/>
      <c r="Y76" s="453"/>
      <c r="Z76" s="453"/>
      <c r="AA76" s="453"/>
      <c r="AB76" s="453"/>
      <c r="AC76" s="453"/>
      <c r="AD76" s="454"/>
      <c r="AF76" s="53"/>
    </row>
    <row r="77" spans="1:32" ht="30" customHeight="1">
      <c r="A77" s="434">
        <f>A76+1</f>
        <v>2</v>
      </c>
      <c r="B77" s="435"/>
      <c r="C77" s="278"/>
      <c r="D77" s="278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ref="A78:A84" si="19">A77+1</f>
        <v>3</v>
      </c>
      <c r="B78" s="435"/>
      <c r="C78" s="278"/>
      <c r="D78" s="278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9"/>
        <v>4</v>
      </c>
      <c r="B79" s="435"/>
      <c r="C79" s="278"/>
      <c r="D79" s="278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9"/>
        <v>5</v>
      </c>
      <c r="B80" s="435"/>
      <c r="C80" s="278"/>
      <c r="D80" s="278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9"/>
        <v>6</v>
      </c>
      <c r="B81" s="435"/>
      <c r="C81" s="278"/>
      <c r="D81" s="278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0" customHeight="1">
      <c r="A82" s="434">
        <f t="shared" si="19"/>
        <v>7</v>
      </c>
      <c r="B82" s="435"/>
      <c r="C82" s="278"/>
      <c r="D82" s="278"/>
      <c r="E82" s="35"/>
      <c r="F82" s="435"/>
      <c r="G82" s="435"/>
      <c r="H82" s="435"/>
      <c r="I82" s="435"/>
      <c r="J82" s="435"/>
      <c r="K82" s="436"/>
      <c r="L82" s="437"/>
      <c r="M82" s="437"/>
      <c r="N82" s="437"/>
      <c r="O82" s="437"/>
      <c r="P82" s="437"/>
      <c r="Q82" s="437"/>
      <c r="R82" s="437"/>
      <c r="S82" s="438"/>
      <c r="T82" s="439"/>
      <c r="U82" s="439"/>
      <c r="V82" s="439"/>
      <c r="W82" s="439"/>
      <c r="X82" s="440"/>
      <c r="Y82" s="440"/>
      <c r="Z82" s="440"/>
      <c r="AA82" s="440"/>
      <c r="AB82" s="440"/>
      <c r="AC82" s="440"/>
      <c r="AD82" s="441"/>
      <c r="AF82" s="53"/>
    </row>
    <row r="83" spans="1:32" ht="30" customHeight="1">
      <c r="A83" s="434">
        <f t="shared" si="19"/>
        <v>8</v>
      </c>
      <c r="B83" s="435"/>
      <c r="C83" s="278"/>
      <c r="D83" s="278"/>
      <c r="E83" s="35"/>
      <c r="F83" s="435"/>
      <c r="G83" s="435"/>
      <c r="H83" s="435"/>
      <c r="I83" s="435"/>
      <c r="J83" s="435"/>
      <c r="K83" s="436"/>
      <c r="L83" s="437"/>
      <c r="M83" s="437"/>
      <c r="N83" s="437"/>
      <c r="O83" s="437"/>
      <c r="P83" s="437"/>
      <c r="Q83" s="437"/>
      <c r="R83" s="437"/>
      <c r="S83" s="438"/>
      <c r="T83" s="439"/>
      <c r="U83" s="439"/>
      <c r="V83" s="439"/>
      <c r="W83" s="439"/>
      <c r="X83" s="440"/>
      <c r="Y83" s="440"/>
      <c r="Z83" s="440"/>
      <c r="AA83" s="440"/>
      <c r="AB83" s="440"/>
      <c r="AC83" s="440"/>
      <c r="AD83" s="441"/>
      <c r="AF83" s="53"/>
    </row>
    <row r="84" spans="1:32" ht="30" customHeight="1">
      <c r="A84" s="434">
        <f t="shared" si="19"/>
        <v>9</v>
      </c>
      <c r="B84" s="435"/>
      <c r="C84" s="278"/>
      <c r="D84" s="278"/>
      <c r="E84" s="35"/>
      <c r="F84" s="435"/>
      <c r="G84" s="435"/>
      <c r="H84" s="435"/>
      <c r="I84" s="435"/>
      <c r="J84" s="435"/>
      <c r="K84" s="436"/>
      <c r="L84" s="437"/>
      <c r="M84" s="437"/>
      <c r="N84" s="437"/>
      <c r="O84" s="437"/>
      <c r="P84" s="437"/>
      <c r="Q84" s="437"/>
      <c r="R84" s="437"/>
      <c r="S84" s="438"/>
      <c r="T84" s="439"/>
      <c r="U84" s="439"/>
      <c r="V84" s="439"/>
      <c r="W84" s="439"/>
      <c r="X84" s="440"/>
      <c r="Y84" s="440"/>
      <c r="Z84" s="440"/>
      <c r="AA84" s="440"/>
      <c r="AB84" s="440"/>
      <c r="AC84" s="440"/>
      <c r="AD84" s="441"/>
      <c r="AF84" s="53"/>
    </row>
    <row r="85" spans="1:32" ht="36" thickBot="1">
      <c r="A85" s="427" t="s">
        <v>409</v>
      </c>
      <c r="B85" s="427"/>
      <c r="C85" s="427"/>
      <c r="D85" s="427"/>
      <c r="E85" s="427"/>
      <c r="F85" s="40"/>
      <c r="G85" s="40"/>
      <c r="H85" s="41"/>
      <c r="I85" s="41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F85" s="53"/>
    </row>
    <row r="86" spans="1:32" ht="30.75" customHeight="1" thickBot="1">
      <c r="A86" s="428" t="s">
        <v>113</v>
      </c>
      <c r="B86" s="429"/>
      <c r="C86" s="455" t="s">
        <v>52</v>
      </c>
      <c r="D86" s="455"/>
      <c r="E86" s="455" t="s">
        <v>53</v>
      </c>
      <c r="F86" s="455"/>
      <c r="G86" s="455"/>
      <c r="H86" s="455"/>
      <c r="I86" s="455"/>
      <c r="J86" s="455"/>
      <c r="K86" s="455" t="s">
        <v>54</v>
      </c>
      <c r="L86" s="455"/>
      <c r="M86" s="455"/>
      <c r="N86" s="455"/>
      <c r="O86" s="455"/>
      <c r="P86" s="455"/>
      <c r="Q86" s="455"/>
      <c r="R86" s="455"/>
      <c r="S86" s="455"/>
      <c r="T86" s="455" t="s">
        <v>55</v>
      </c>
      <c r="U86" s="455"/>
      <c r="V86" s="455" t="s">
        <v>56</v>
      </c>
      <c r="W86" s="455"/>
      <c r="X86" s="455"/>
      <c r="Y86" s="455" t="s">
        <v>51</v>
      </c>
      <c r="Z86" s="455"/>
      <c r="AA86" s="455"/>
      <c r="AB86" s="455"/>
      <c r="AC86" s="455"/>
      <c r="AD86" s="456"/>
      <c r="AF86" s="53"/>
    </row>
    <row r="87" spans="1:32" ht="30.75" customHeight="1">
      <c r="A87" s="442">
        <v>1</v>
      </c>
      <c r="B87" s="443"/>
      <c r="C87" s="457"/>
      <c r="D87" s="457"/>
      <c r="E87" s="457"/>
      <c r="F87" s="457"/>
      <c r="G87" s="457"/>
      <c r="H87" s="457"/>
      <c r="I87" s="457"/>
      <c r="J87" s="457"/>
      <c r="K87" s="457"/>
      <c r="L87" s="457"/>
      <c r="M87" s="457"/>
      <c r="N87" s="457"/>
      <c r="O87" s="457"/>
      <c r="P87" s="457"/>
      <c r="Q87" s="457"/>
      <c r="R87" s="457"/>
      <c r="S87" s="457"/>
      <c r="T87" s="457"/>
      <c r="U87" s="457"/>
      <c r="V87" s="458"/>
      <c r="W87" s="458"/>
      <c r="X87" s="458"/>
      <c r="Y87" s="459"/>
      <c r="Z87" s="459"/>
      <c r="AA87" s="459"/>
      <c r="AB87" s="459"/>
      <c r="AC87" s="459"/>
      <c r="AD87" s="460"/>
      <c r="AF87" s="53"/>
    </row>
    <row r="88" spans="1:32" ht="30.75" customHeight="1">
      <c r="A88" s="434">
        <v>2</v>
      </c>
      <c r="B88" s="435"/>
      <c r="C88" s="468"/>
      <c r="D88" s="468"/>
      <c r="E88" s="468"/>
      <c r="F88" s="468"/>
      <c r="G88" s="468"/>
      <c r="H88" s="468"/>
      <c r="I88" s="468"/>
      <c r="J88" s="468"/>
      <c r="K88" s="468"/>
      <c r="L88" s="468"/>
      <c r="M88" s="468"/>
      <c r="N88" s="468"/>
      <c r="O88" s="468"/>
      <c r="P88" s="468"/>
      <c r="Q88" s="468"/>
      <c r="R88" s="468"/>
      <c r="S88" s="468"/>
      <c r="T88" s="469"/>
      <c r="U88" s="469"/>
      <c r="V88" s="470"/>
      <c r="W88" s="470"/>
      <c r="X88" s="470"/>
      <c r="Y88" s="461"/>
      <c r="Z88" s="461"/>
      <c r="AA88" s="461"/>
      <c r="AB88" s="461"/>
      <c r="AC88" s="461"/>
      <c r="AD88" s="462"/>
      <c r="AF88" s="53"/>
    </row>
    <row r="89" spans="1:32" ht="30.75" customHeight="1" thickBot="1">
      <c r="A89" s="463">
        <v>3</v>
      </c>
      <c r="B89" s="464"/>
      <c r="C89" s="465"/>
      <c r="D89" s="465"/>
      <c r="E89" s="465"/>
      <c r="F89" s="465"/>
      <c r="G89" s="465"/>
      <c r="H89" s="465"/>
      <c r="I89" s="465"/>
      <c r="J89" s="465"/>
      <c r="K89" s="465"/>
      <c r="L89" s="465"/>
      <c r="M89" s="465"/>
      <c r="N89" s="465"/>
      <c r="O89" s="465"/>
      <c r="P89" s="465"/>
      <c r="Q89" s="465"/>
      <c r="R89" s="465"/>
      <c r="S89" s="465"/>
      <c r="T89" s="465"/>
      <c r="U89" s="465"/>
      <c r="V89" s="465"/>
      <c r="W89" s="465"/>
      <c r="X89" s="465"/>
      <c r="Y89" s="466"/>
      <c r="Z89" s="466"/>
      <c r="AA89" s="466"/>
      <c r="AB89" s="466"/>
      <c r="AC89" s="466"/>
      <c r="AD89" s="467"/>
      <c r="AF89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50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E0A1-3CC6-4CB4-A758-F674458A0BC3}">
  <sheetPr>
    <pageSetUpPr fitToPage="1"/>
  </sheetPr>
  <dimension ref="A1:AF86"/>
  <sheetViews>
    <sheetView zoomScale="72" zoomScaleNormal="72" zoomScaleSheetLayoutView="70" workbookViewId="0">
      <selection activeCell="F52" sqref="F52:M5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410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90" t="s">
        <v>17</v>
      </c>
      <c r="L5" s="290" t="s">
        <v>18</v>
      </c>
      <c r="M5" s="290" t="s">
        <v>19</v>
      </c>
      <c r="N5" s="29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9.7894988637722752E-2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9.7894988637722752E-2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2308</v>
      </c>
      <c r="K8" s="15">
        <f>L8+4226+6836+7688+6790+7670+5621+7015+7715+6622+7015+7123+7122+7421+6809+7012+7150+7008+7231+2308</f>
        <v>126382</v>
      </c>
      <c r="L8" s="15">
        <v>0</v>
      </c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9.7894988637722752E-2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126</v>
      </c>
      <c r="D9" s="55" t="s">
        <v>338</v>
      </c>
      <c r="E9" s="57" t="s">
        <v>337</v>
      </c>
      <c r="F9" s="33" t="s">
        <v>116</v>
      </c>
      <c r="G9" s="36">
        <v>1</v>
      </c>
      <c r="H9" s="38">
        <v>24</v>
      </c>
      <c r="I9" s="7">
        <v>15000</v>
      </c>
      <c r="J9" s="14">
        <v>2787</v>
      </c>
      <c r="K9" s="15">
        <f>L9+2202+7225+2787</f>
        <v>14737</v>
      </c>
      <c r="L9" s="15">
        <v>2523</v>
      </c>
      <c r="M9" s="16">
        <f t="shared" si="0"/>
        <v>2523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/>
      <c r="T9" s="17"/>
      <c r="U9" s="17"/>
      <c r="V9" s="18">
        <v>16</v>
      </c>
      <c r="W9" s="19"/>
      <c r="X9" s="17"/>
      <c r="Y9" s="20"/>
      <c r="Z9" s="20"/>
      <c r="AA9" s="21"/>
      <c r="AB9" s="8">
        <f t="shared" si="4"/>
        <v>0.90527448869752425</v>
      </c>
      <c r="AC9" s="9">
        <f t="shared" si="5"/>
        <v>0.33333333333333331</v>
      </c>
      <c r="AD9" s="10">
        <f t="shared" si="6"/>
        <v>0.30175816289917473</v>
      </c>
      <c r="AE9" s="39">
        <f t="shared" si="7"/>
        <v>9.7894988637722752E-2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6382</v>
      </c>
      <c r="K10" s="15">
        <f>L10+3648+6356+6488+6387+7137+3143+6382</f>
        <v>39541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9.7894988637722752E-2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114</v>
      </c>
      <c r="D11" s="55" t="s">
        <v>134</v>
      </c>
      <c r="E11" s="57" t="s">
        <v>232</v>
      </c>
      <c r="F11" s="12" t="s">
        <v>136</v>
      </c>
      <c r="G11" s="12">
        <v>4</v>
      </c>
      <c r="H11" s="13">
        <v>25</v>
      </c>
      <c r="I11" s="7">
        <v>1800</v>
      </c>
      <c r="J11" s="14">
        <v>2136</v>
      </c>
      <c r="K11" s="15">
        <f>L11+2136</f>
        <v>2136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9.7894988637722752E-2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394</v>
      </c>
      <c r="F12" s="33" t="s">
        <v>144</v>
      </c>
      <c r="G12" s="36">
        <v>1</v>
      </c>
      <c r="H12" s="38">
        <v>24</v>
      </c>
      <c r="I12" s="7">
        <v>35000</v>
      </c>
      <c r="J12" s="14">
        <v>2158</v>
      </c>
      <c r="K12" s="15">
        <f>L12+2181</f>
        <v>4339</v>
      </c>
      <c r="L12" s="15">
        <v>2158</v>
      </c>
      <c r="M12" s="16">
        <f t="shared" si="0"/>
        <v>2158</v>
      </c>
      <c r="N12" s="16">
        <v>0</v>
      </c>
      <c r="O12" s="62">
        <f t="shared" si="1"/>
        <v>0</v>
      </c>
      <c r="P12" s="42">
        <f t="shared" si="2"/>
        <v>8</v>
      </c>
      <c r="Q12" s="43">
        <f t="shared" si="3"/>
        <v>16</v>
      </c>
      <c r="R12" s="7"/>
      <c r="S12" s="6"/>
      <c r="T12" s="17"/>
      <c r="U12" s="17"/>
      <c r="V12" s="18">
        <v>16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0.33333333333333331</v>
      </c>
      <c r="AD12" s="10">
        <f t="shared" si="6"/>
        <v>0.33333333333333331</v>
      </c>
      <c r="AE12" s="39">
        <f t="shared" si="7"/>
        <v>9.7894988637722752E-2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397</v>
      </c>
      <c r="F13" s="12">
        <v>7301</v>
      </c>
      <c r="G13" s="12">
        <v>1</v>
      </c>
      <c r="H13" s="13">
        <v>25</v>
      </c>
      <c r="I13" s="7">
        <v>1000</v>
      </c>
      <c r="J13" s="14">
        <v>550</v>
      </c>
      <c r="K13" s="15">
        <f>L13</f>
        <v>550</v>
      </c>
      <c r="L13" s="15">
        <v>550</v>
      </c>
      <c r="M13" s="16">
        <f t="shared" si="0"/>
        <v>550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>
        <v>2</v>
      </c>
      <c r="U13" s="17"/>
      <c r="V13" s="18">
        <v>16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9">
        <f t="shared" si="7"/>
        <v>9.7894988637722752E-2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204</v>
      </c>
      <c r="D14" s="55" t="s">
        <v>117</v>
      </c>
      <c r="E14" s="57" t="s">
        <v>317</v>
      </c>
      <c r="F14" s="33" t="s">
        <v>325</v>
      </c>
      <c r="G14" s="36">
        <v>1</v>
      </c>
      <c r="H14" s="38">
        <v>25</v>
      </c>
      <c r="I14" s="7">
        <v>500</v>
      </c>
      <c r="J14" s="5">
        <v>308</v>
      </c>
      <c r="K14" s="15">
        <f>L14+204+308</f>
        <v>512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9.7894988637722752E-2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19229</v>
      </c>
      <c r="K15" s="15">
        <f>L15+32805+66430+67599+62860+19229</f>
        <v>248923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9.7894988637722752E-2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120</v>
      </c>
      <c r="E16" s="57" t="s">
        <v>339</v>
      </c>
      <c r="F16" s="33" t="s">
        <v>199</v>
      </c>
      <c r="G16" s="36">
        <v>1</v>
      </c>
      <c r="H16" s="38">
        <v>24</v>
      </c>
      <c r="I16" s="7">
        <v>35000</v>
      </c>
      <c r="J16" s="5">
        <v>1774</v>
      </c>
      <c r="K16" s="15">
        <f>L16+4512+3969+4406+3892</f>
        <v>18553</v>
      </c>
      <c r="L16" s="15">
        <f>1774</f>
        <v>1774</v>
      </c>
      <c r="M16" s="16">
        <f t="shared" si="0"/>
        <v>1774</v>
      </c>
      <c r="N16" s="16">
        <v>0</v>
      </c>
      <c r="O16" s="62">
        <f t="shared" si="1"/>
        <v>0</v>
      </c>
      <c r="P16" s="42">
        <f t="shared" si="2"/>
        <v>6</v>
      </c>
      <c r="Q16" s="43">
        <f t="shared" si="3"/>
        <v>18</v>
      </c>
      <c r="R16" s="7"/>
      <c r="S16" s="6">
        <v>2</v>
      </c>
      <c r="T16" s="17"/>
      <c r="U16" s="17"/>
      <c r="V16" s="18">
        <v>16</v>
      </c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0.25</v>
      </c>
      <c r="AD16" s="10">
        <f t="shared" si="6"/>
        <v>0.25</v>
      </c>
      <c r="AE16" s="39">
        <f t="shared" si="7"/>
        <v>9.7894988637722752E-2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6544</v>
      </c>
      <c r="K17" s="15">
        <f>L17+5530+6591+6555+7009+6234+3454+6385+6995+7383+4468+7061+7120+7112+7275+6698+6957+7074+6704+6858+2960+6544</f>
        <v>132967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9.7894988637722752E-2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2350</v>
      </c>
      <c r="K18" s="15">
        <f>L18+3442+4857+6103+3605+5831+5901+4875+6279+5633+5015+5887+5920+5827+5643+5849+5831+2164+3657+1002+4031+3549+3951+5799</f>
        <v>113001</v>
      </c>
      <c r="L18" s="15">
        <v>2350</v>
      </c>
      <c r="M18" s="16">
        <f t="shared" si="0"/>
        <v>2350</v>
      </c>
      <c r="N18" s="16">
        <v>0</v>
      </c>
      <c r="O18" s="62">
        <f t="shared" si="1"/>
        <v>0</v>
      </c>
      <c r="P18" s="42">
        <f t="shared" si="2"/>
        <v>8</v>
      </c>
      <c r="Q18" s="43">
        <f t="shared" si="3"/>
        <v>16</v>
      </c>
      <c r="R18" s="7"/>
      <c r="S18" s="6"/>
      <c r="T18" s="17"/>
      <c r="U18" s="17"/>
      <c r="V18" s="18">
        <v>16</v>
      </c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9">
        <f t="shared" si="7"/>
        <v>9.7894988637722752E-2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247</v>
      </c>
      <c r="F19" s="12" t="s">
        <v>144</v>
      </c>
      <c r="G19" s="36">
        <v>2</v>
      </c>
      <c r="H19" s="13">
        <v>24</v>
      </c>
      <c r="I19" s="7">
        <v>40000</v>
      </c>
      <c r="J19" s="14">
        <v>9876</v>
      </c>
      <c r="K19" s="15">
        <f>L19+7060+1442+10364+9550+9876</f>
        <v>38292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>
        <v>24</v>
      </c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9.7894988637722752E-2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9.7894988637722752E-2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808300</v>
      </c>
      <c r="J21" s="22">
        <f t="shared" si="9"/>
        <v>66878</v>
      </c>
      <c r="K21" s="23">
        <f t="shared" si="9"/>
        <v>909625</v>
      </c>
      <c r="L21" s="24">
        <f t="shared" si="9"/>
        <v>9355</v>
      </c>
      <c r="M21" s="23">
        <f t="shared" si="9"/>
        <v>9355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36</v>
      </c>
      <c r="Q21" s="46">
        <f t="shared" si="10"/>
        <v>324</v>
      </c>
      <c r="R21" s="26">
        <f t="shared" si="10"/>
        <v>24</v>
      </c>
      <c r="S21" s="27">
        <f t="shared" si="10"/>
        <v>2</v>
      </c>
      <c r="T21" s="27">
        <f t="shared" si="10"/>
        <v>2</v>
      </c>
      <c r="U21" s="27">
        <f t="shared" si="10"/>
        <v>0</v>
      </c>
      <c r="V21" s="28">
        <f t="shared" si="10"/>
        <v>152</v>
      </c>
      <c r="W21" s="29">
        <f t="shared" si="10"/>
        <v>96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48</v>
      </c>
      <c r="AB21" s="31">
        <f>SUM(AB6:AB20)/15</f>
        <v>0.32701829924650155</v>
      </c>
      <c r="AC21" s="4">
        <f>SUM(AC6:AC20)/15</f>
        <v>9.9999999999999992E-2</v>
      </c>
      <c r="AD21" s="4">
        <f>SUM(AD6:AD20)/15</f>
        <v>9.7894988637722752E-2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411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413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289" t="s">
        <v>46</v>
      </c>
      <c r="D50" s="289" t="s">
        <v>47</v>
      </c>
      <c r="E50" s="289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289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126</v>
      </c>
      <c r="B51" s="400"/>
      <c r="C51" s="286" t="s">
        <v>130</v>
      </c>
      <c r="D51" s="286" t="s">
        <v>338</v>
      </c>
      <c r="E51" s="286" t="s">
        <v>337</v>
      </c>
      <c r="F51" s="401" t="s">
        <v>412</v>
      </c>
      <c r="G51" s="402"/>
      <c r="H51" s="402"/>
      <c r="I51" s="402"/>
      <c r="J51" s="402"/>
      <c r="K51" s="402"/>
      <c r="L51" s="402"/>
      <c r="M51" s="403"/>
      <c r="N51" s="285" t="s">
        <v>126</v>
      </c>
      <c r="O51" s="124"/>
      <c r="P51" s="404"/>
      <c r="Q51" s="405"/>
      <c r="R51" s="400"/>
      <c r="S51" s="400"/>
      <c r="T51" s="400"/>
      <c r="U51" s="400"/>
      <c r="V51" s="406" t="s">
        <v>414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126</v>
      </c>
      <c r="B52" s="400"/>
      <c r="C52" s="286" t="s">
        <v>125</v>
      </c>
      <c r="D52" s="286" t="s">
        <v>117</v>
      </c>
      <c r="E52" s="286" t="s">
        <v>397</v>
      </c>
      <c r="F52" s="401" t="s">
        <v>119</v>
      </c>
      <c r="G52" s="402"/>
      <c r="H52" s="402"/>
      <c r="I52" s="402"/>
      <c r="J52" s="402"/>
      <c r="K52" s="402"/>
      <c r="L52" s="402"/>
      <c r="M52" s="403"/>
      <c r="N52" s="285" t="s">
        <v>126</v>
      </c>
      <c r="O52" s="124" t="s">
        <v>125</v>
      </c>
      <c r="P52" s="404" t="s">
        <v>415</v>
      </c>
      <c r="Q52" s="405"/>
      <c r="R52" s="400" t="s">
        <v>210</v>
      </c>
      <c r="S52" s="400"/>
      <c r="T52" s="400"/>
      <c r="U52" s="400"/>
      <c r="V52" s="406" t="s">
        <v>412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/>
      <c r="B53" s="400"/>
      <c r="C53" s="286"/>
      <c r="D53" s="286"/>
      <c r="E53" s="286"/>
      <c r="F53" s="401"/>
      <c r="G53" s="402"/>
      <c r="H53" s="402"/>
      <c r="I53" s="402"/>
      <c r="J53" s="402"/>
      <c r="K53" s="402"/>
      <c r="L53" s="402"/>
      <c r="M53" s="403"/>
      <c r="N53" s="285"/>
      <c r="O53" s="124"/>
      <c r="P53" s="400"/>
      <c r="Q53" s="400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286"/>
      <c r="D54" s="286"/>
      <c r="E54" s="286"/>
      <c r="F54" s="401"/>
      <c r="G54" s="402"/>
      <c r="H54" s="402"/>
      <c r="I54" s="402"/>
      <c r="J54" s="402"/>
      <c r="K54" s="402"/>
      <c r="L54" s="402"/>
      <c r="M54" s="403"/>
      <c r="N54" s="285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286"/>
      <c r="D55" s="286"/>
      <c r="E55" s="286"/>
      <c r="F55" s="401"/>
      <c r="G55" s="402"/>
      <c r="H55" s="402"/>
      <c r="I55" s="402"/>
      <c r="J55" s="402"/>
      <c r="K55" s="402"/>
      <c r="L55" s="402"/>
      <c r="M55" s="403"/>
      <c r="N55" s="285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286"/>
      <c r="D56" s="286"/>
      <c r="E56" s="286"/>
      <c r="F56" s="401"/>
      <c r="G56" s="402"/>
      <c r="H56" s="402"/>
      <c r="I56" s="402"/>
      <c r="J56" s="402"/>
      <c r="K56" s="402"/>
      <c r="L56" s="402"/>
      <c r="M56" s="403"/>
      <c r="N56" s="285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286"/>
      <c r="D57" s="286"/>
      <c r="E57" s="286"/>
      <c r="F57" s="406"/>
      <c r="G57" s="406"/>
      <c r="H57" s="406"/>
      <c r="I57" s="406"/>
      <c r="J57" s="406"/>
      <c r="K57" s="406"/>
      <c r="L57" s="406"/>
      <c r="M57" s="407"/>
      <c r="N57" s="285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286"/>
      <c r="D58" s="286"/>
      <c r="E58" s="286"/>
      <c r="F58" s="406"/>
      <c r="G58" s="406"/>
      <c r="H58" s="406"/>
      <c r="I58" s="406"/>
      <c r="J58" s="406"/>
      <c r="K58" s="406"/>
      <c r="L58" s="406"/>
      <c r="M58" s="407"/>
      <c r="N58" s="285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286"/>
      <c r="D59" s="286"/>
      <c r="E59" s="286"/>
      <c r="F59" s="406"/>
      <c r="G59" s="406"/>
      <c r="H59" s="406"/>
      <c r="I59" s="406"/>
      <c r="J59" s="406"/>
      <c r="K59" s="406"/>
      <c r="L59" s="406"/>
      <c r="M59" s="407"/>
      <c r="N59" s="285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288"/>
      <c r="D60" s="288"/>
      <c r="E60" s="288"/>
      <c r="F60" s="410"/>
      <c r="G60" s="410"/>
      <c r="H60" s="410"/>
      <c r="I60" s="410"/>
      <c r="J60" s="410"/>
      <c r="K60" s="410"/>
      <c r="L60" s="410"/>
      <c r="M60" s="411"/>
      <c r="N60" s="287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416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284" t="s">
        <v>2</v>
      </c>
      <c r="D62" s="284" t="s">
        <v>37</v>
      </c>
      <c r="E62" s="284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284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/>
      <c r="D63" s="280"/>
      <c r="E63" s="283"/>
      <c r="F63" s="423"/>
      <c r="G63" s="424"/>
      <c r="H63" s="424"/>
      <c r="I63" s="424"/>
      <c r="J63" s="424"/>
      <c r="K63" s="424"/>
      <c r="L63" s="424"/>
      <c r="M63" s="54"/>
      <c r="N63" s="424"/>
      <c r="O63" s="424"/>
      <c r="P63" s="425"/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/>
      <c r="D64" s="280"/>
      <c r="E64" s="283"/>
      <c r="F64" s="423"/>
      <c r="G64" s="424"/>
      <c r="H64" s="424"/>
      <c r="I64" s="424"/>
      <c r="J64" s="424"/>
      <c r="K64" s="424"/>
      <c r="L64" s="424"/>
      <c r="M64" s="54"/>
      <c r="N64" s="424"/>
      <c r="O64" s="424"/>
      <c r="P64" s="425"/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280"/>
      <c r="E65" s="283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280"/>
      <c r="E66" s="283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280"/>
      <c r="E67" s="283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280"/>
      <c r="E68" s="283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280"/>
      <c r="E69" s="283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280"/>
      <c r="E70" s="283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417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282" t="s">
        <v>2</v>
      </c>
      <c r="D72" s="282" t="s">
        <v>37</v>
      </c>
      <c r="E72" s="282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281" t="s">
        <v>114</v>
      </c>
      <c r="D73" s="281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280"/>
      <c r="D74" s="280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280"/>
      <c r="D75" s="280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280"/>
      <c r="D76" s="280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280"/>
      <c r="D77" s="280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280"/>
      <c r="D78" s="280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280"/>
      <c r="D79" s="280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280"/>
      <c r="D80" s="280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280"/>
      <c r="D81" s="280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418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506-0D34-463B-9273-8A81464F2E02}">
  <sheetPr>
    <pageSetUpPr fitToPage="1"/>
  </sheetPr>
  <dimension ref="A1:AF87"/>
  <sheetViews>
    <sheetView zoomScale="72" zoomScaleNormal="72" zoomScaleSheetLayoutView="70" workbookViewId="0">
      <selection activeCell="L8" sqref="L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419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291" t="s">
        <v>17</v>
      </c>
      <c r="L5" s="291" t="s">
        <v>18</v>
      </c>
      <c r="M5" s="291" t="s">
        <v>19</v>
      </c>
      <c r="N5" s="29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0.3527777777777778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0.3527777777777778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2308</v>
      </c>
      <c r="K8" s="15">
        <f>L8+4226+6836+7688+6790+7670+5621+7015+7715+6622+7015+7123+7122+7421+6809+7012+7150+7008+7231+2308</f>
        <v>126382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0.3527777777777778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126</v>
      </c>
      <c r="D9" s="55" t="s">
        <v>338</v>
      </c>
      <c r="E9" s="57" t="s">
        <v>337</v>
      </c>
      <c r="F9" s="33" t="s">
        <v>116</v>
      </c>
      <c r="G9" s="36">
        <v>1</v>
      </c>
      <c r="H9" s="38">
        <v>24</v>
      </c>
      <c r="I9" s="7">
        <v>15000</v>
      </c>
      <c r="J9" s="14">
        <v>2787</v>
      </c>
      <c r="K9" s="15">
        <f>L9+2202+7225+2787+2523</f>
        <v>14737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>
        <v>24</v>
      </c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0.3527777777777778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6382</v>
      </c>
      <c r="K10" s="15">
        <f>L10+3648+6356+6488+6387+7137+3143+6382</f>
        <v>39541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0.3527777777777778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126</v>
      </c>
      <c r="D11" s="55" t="s">
        <v>121</v>
      </c>
      <c r="E11" s="57" t="s">
        <v>420</v>
      </c>
      <c r="F11" s="12" t="s">
        <v>421</v>
      </c>
      <c r="G11" s="12">
        <v>1</v>
      </c>
      <c r="H11" s="13">
        <v>25</v>
      </c>
      <c r="I11" s="7">
        <v>35000</v>
      </c>
      <c r="J11" s="14">
        <v>3530</v>
      </c>
      <c r="K11" s="15">
        <f>L11</f>
        <v>3530</v>
      </c>
      <c r="L11" s="15">
        <f>410+3120</f>
        <v>3530</v>
      </c>
      <c r="M11" s="16">
        <f t="shared" si="0"/>
        <v>3530</v>
      </c>
      <c r="N11" s="16">
        <v>0</v>
      </c>
      <c r="O11" s="62">
        <f t="shared" si="1"/>
        <v>0</v>
      </c>
      <c r="P11" s="42">
        <f t="shared" si="2"/>
        <v>18</v>
      </c>
      <c r="Q11" s="43">
        <f t="shared" si="3"/>
        <v>6</v>
      </c>
      <c r="R11" s="7"/>
      <c r="S11" s="6">
        <v>6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0.75</v>
      </c>
      <c r="AD11" s="10">
        <f t="shared" si="6"/>
        <v>0.75</v>
      </c>
      <c r="AE11" s="39">
        <f t="shared" si="7"/>
        <v>0.3527777777777778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394</v>
      </c>
      <c r="F12" s="33" t="s">
        <v>144</v>
      </c>
      <c r="G12" s="36">
        <v>1</v>
      </c>
      <c r="H12" s="38">
        <v>24</v>
      </c>
      <c r="I12" s="7">
        <v>35000</v>
      </c>
      <c r="J12" s="14">
        <v>5261</v>
      </c>
      <c r="K12" s="15">
        <f>L12+2181+2158</f>
        <v>9600</v>
      </c>
      <c r="L12" s="15">
        <f>2890+2371</f>
        <v>5261</v>
      </c>
      <c r="M12" s="16">
        <f t="shared" si="0"/>
        <v>5261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0.3527777777777778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117</v>
      </c>
      <c r="E13" s="57" t="s">
        <v>397</v>
      </c>
      <c r="F13" s="12">
        <v>7301</v>
      </c>
      <c r="G13" s="12">
        <v>1</v>
      </c>
      <c r="H13" s="13">
        <v>25</v>
      </c>
      <c r="I13" s="7">
        <v>1000</v>
      </c>
      <c r="J13" s="14">
        <v>646</v>
      </c>
      <c r="K13" s="15">
        <f>L13+550</f>
        <v>1196</v>
      </c>
      <c r="L13" s="15">
        <v>646</v>
      </c>
      <c r="M13" s="16">
        <f t="shared" si="0"/>
        <v>646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>
        <v>18</v>
      </c>
      <c r="X13" s="17"/>
      <c r="Y13" s="20"/>
      <c r="Z13" s="20"/>
      <c r="AA13" s="21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9">
        <f t="shared" si="7"/>
        <v>0.3527777777777778</v>
      </c>
      <c r="AF13" s="93">
        <f t="shared" si="8"/>
        <v>8</v>
      </c>
    </row>
    <row r="14" spans="1:32" ht="27" customHeight="1">
      <c r="A14" s="109">
        <v>8</v>
      </c>
      <c r="B14" s="11" t="s">
        <v>57</v>
      </c>
      <c r="C14" s="11" t="s">
        <v>126</v>
      </c>
      <c r="D14" s="55" t="s">
        <v>211</v>
      </c>
      <c r="E14" s="57" t="s">
        <v>210</v>
      </c>
      <c r="F14" s="12" t="s">
        <v>212</v>
      </c>
      <c r="G14" s="12">
        <v>4</v>
      </c>
      <c r="H14" s="13">
        <v>25</v>
      </c>
      <c r="I14" s="7">
        <v>30000</v>
      </c>
      <c r="J14" s="14">
        <v>22420</v>
      </c>
      <c r="K14" s="15">
        <f>L14</f>
        <v>22420</v>
      </c>
      <c r="L14" s="15">
        <f>1048*4+4557*4</f>
        <v>22420</v>
      </c>
      <c r="M14" s="16">
        <f t="shared" ref="M14" si="9">L14-N14</f>
        <v>22420</v>
      </c>
      <c r="N14" s="16">
        <v>0</v>
      </c>
      <c r="O14" s="62">
        <f t="shared" ref="O14" si="10">IF(L14=0,"0",N14/L14)</f>
        <v>0</v>
      </c>
      <c r="P14" s="42">
        <f t="shared" ref="P14" si="11">IF(L14=0,"0",(24-Q14))</f>
        <v>16</v>
      </c>
      <c r="Q14" s="43">
        <f t="shared" ref="Q14" si="12">SUM(R14:AA14)</f>
        <v>8</v>
      </c>
      <c r="R14" s="7"/>
      <c r="S14" s="6"/>
      <c r="T14" s="17">
        <v>8</v>
      </c>
      <c r="U14" s="17"/>
      <c r="V14" s="18"/>
      <c r="W14" s="19"/>
      <c r="X14" s="17"/>
      <c r="Y14" s="20"/>
      <c r="Z14" s="20"/>
      <c r="AA14" s="21"/>
      <c r="AB14" s="8">
        <f t="shared" ref="AB14" si="13">IF(J14=0,"0",(L14/J14))</f>
        <v>1</v>
      </c>
      <c r="AC14" s="9">
        <f t="shared" ref="AC14" si="14">IF(P14=0,"0",(P14/24))</f>
        <v>0.66666666666666663</v>
      </c>
      <c r="AD14" s="10">
        <f t="shared" ref="AD14" si="15">AC14*AB14*(1-O14)</f>
        <v>0.66666666666666663</v>
      </c>
      <c r="AE14" s="39">
        <f t="shared" si="7"/>
        <v>0.3527777777777778</v>
      </c>
      <c r="AF14" s="93">
        <f t="shared" ref="AF14" si="16">A14</f>
        <v>8</v>
      </c>
    </row>
    <row r="15" spans="1:32" ht="27" customHeight="1">
      <c r="A15" s="125">
        <v>9</v>
      </c>
      <c r="B15" s="11" t="s">
        <v>57</v>
      </c>
      <c r="C15" s="37" t="s">
        <v>204</v>
      </c>
      <c r="D15" s="55" t="s">
        <v>117</v>
      </c>
      <c r="E15" s="57" t="s">
        <v>317</v>
      </c>
      <c r="F15" s="33" t="s">
        <v>325</v>
      </c>
      <c r="G15" s="36">
        <v>1</v>
      </c>
      <c r="H15" s="38">
        <v>25</v>
      </c>
      <c r="I15" s="7">
        <v>500</v>
      </c>
      <c r="J15" s="5">
        <v>308</v>
      </c>
      <c r="K15" s="15">
        <f>L15+204+308</f>
        <v>512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0.3527777777777778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188</v>
      </c>
      <c r="D16" s="55" t="s">
        <v>197</v>
      </c>
      <c r="E16" s="57" t="s">
        <v>187</v>
      </c>
      <c r="F16" s="12" t="s">
        <v>198</v>
      </c>
      <c r="G16" s="12">
        <v>1</v>
      </c>
      <c r="H16" s="13">
        <v>24</v>
      </c>
      <c r="I16" s="34">
        <v>100000</v>
      </c>
      <c r="J16" s="14">
        <v>27965</v>
      </c>
      <c r="K16" s="15">
        <f>L16+32805+66430+67599+62860+19229</f>
        <v>276888</v>
      </c>
      <c r="L16" s="15">
        <f>3995*7</f>
        <v>27965</v>
      </c>
      <c r="M16" s="16">
        <f t="shared" si="0"/>
        <v>27965</v>
      </c>
      <c r="N16" s="16">
        <v>0</v>
      </c>
      <c r="O16" s="62">
        <f t="shared" si="1"/>
        <v>0</v>
      </c>
      <c r="P16" s="42">
        <f t="shared" si="2"/>
        <v>11</v>
      </c>
      <c r="Q16" s="43">
        <f t="shared" si="3"/>
        <v>13</v>
      </c>
      <c r="R16" s="7"/>
      <c r="S16" s="6"/>
      <c r="T16" s="17"/>
      <c r="U16" s="17"/>
      <c r="V16" s="18"/>
      <c r="W16" s="19">
        <v>13</v>
      </c>
      <c r="X16" s="17"/>
      <c r="Y16" s="20"/>
      <c r="Z16" s="20"/>
      <c r="AA16" s="21"/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9">
        <f t="shared" si="7"/>
        <v>0.3527777777777778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126</v>
      </c>
      <c r="D17" s="55" t="s">
        <v>120</v>
      </c>
      <c r="E17" s="57" t="s">
        <v>339</v>
      </c>
      <c r="F17" s="33" t="s">
        <v>199</v>
      </c>
      <c r="G17" s="36">
        <v>1</v>
      </c>
      <c r="H17" s="38">
        <v>24</v>
      </c>
      <c r="I17" s="7">
        <v>35000</v>
      </c>
      <c r="J17" s="5">
        <v>3617</v>
      </c>
      <c r="K17" s="15">
        <f>L17+4512+3969+4406+3892+1774</f>
        <v>22170</v>
      </c>
      <c r="L17" s="15">
        <f>1296+2321</f>
        <v>3617</v>
      </c>
      <c r="M17" s="16">
        <f t="shared" si="0"/>
        <v>3617</v>
      </c>
      <c r="N17" s="16">
        <v>0</v>
      </c>
      <c r="O17" s="62">
        <f t="shared" si="1"/>
        <v>0</v>
      </c>
      <c r="P17" s="42">
        <f t="shared" si="2"/>
        <v>18</v>
      </c>
      <c r="Q17" s="43">
        <f t="shared" si="3"/>
        <v>6</v>
      </c>
      <c r="R17" s="7"/>
      <c r="S17" s="6">
        <v>6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0.75</v>
      </c>
      <c r="AD17" s="10">
        <f t="shared" si="6"/>
        <v>0.75</v>
      </c>
      <c r="AE17" s="39">
        <f t="shared" si="7"/>
        <v>0.3527777777777778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126</v>
      </c>
      <c r="D18" s="55" t="s">
        <v>128</v>
      </c>
      <c r="E18" s="57" t="s">
        <v>148</v>
      </c>
      <c r="F18" s="12" t="s">
        <v>149</v>
      </c>
      <c r="G18" s="12">
        <v>1</v>
      </c>
      <c r="H18" s="13">
        <v>24</v>
      </c>
      <c r="I18" s="34">
        <v>70000</v>
      </c>
      <c r="J18" s="14">
        <v>6544</v>
      </c>
      <c r="K18" s="15">
        <f>L18+5530+6591+6555+7009+6234+3454+6385+6995+7383+4468+7061+7120+7112+7275+6698+6957+7074+6704+6858+2960+6544</f>
        <v>132967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/>
      <c r="X18" s="17"/>
      <c r="Y18" s="20"/>
      <c r="Z18" s="20"/>
      <c r="AA18" s="21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0.3527777777777778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126</v>
      </c>
      <c r="D19" s="55" t="s">
        <v>117</v>
      </c>
      <c r="E19" s="57" t="s">
        <v>142</v>
      </c>
      <c r="F19" s="12" t="s">
        <v>122</v>
      </c>
      <c r="G19" s="36">
        <v>1</v>
      </c>
      <c r="H19" s="38">
        <v>24</v>
      </c>
      <c r="I19" s="7">
        <v>70000</v>
      </c>
      <c r="J19" s="5">
        <v>5600</v>
      </c>
      <c r="K19" s="15">
        <f>L19+3442+4857+6103+3605+5831+5901+4875+6279+5633+5015+5887+5920+5827+5643+5849+5831+2164+3657+1002+4031+3549+3951+5799+2350</f>
        <v>118601</v>
      </c>
      <c r="L19" s="15">
        <f>3047+2553</f>
        <v>5600</v>
      </c>
      <c r="M19" s="16">
        <f t="shared" si="0"/>
        <v>5600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0.3527777777777778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126</v>
      </c>
      <c r="D20" s="55" t="s">
        <v>117</v>
      </c>
      <c r="E20" s="57" t="s">
        <v>247</v>
      </c>
      <c r="F20" s="12" t="s">
        <v>144</v>
      </c>
      <c r="G20" s="36">
        <v>1</v>
      </c>
      <c r="H20" s="13">
        <v>24</v>
      </c>
      <c r="I20" s="7">
        <v>20000</v>
      </c>
      <c r="J20" s="14">
        <v>1901</v>
      </c>
      <c r="K20" s="15">
        <f>L20</f>
        <v>1901</v>
      </c>
      <c r="L20" s="15">
        <f>637+1264</f>
        <v>1901</v>
      </c>
      <c r="M20" s="16">
        <f t="shared" si="0"/>
        <v>1901</v>
      </c>
      <c r="N20" s="16">
        <v>0</v>
      </c>
      <c r="O20" s="62">
        <f t="shared" si="1"/>
        <v>0</v>
      </c>
      <c r="P20" s="42">
        <f t="shared" si="2"/>
        <v>10</v>
      </c>
      <c r="Q20" s="43">
        <f t="shared" si="3"/>
        <v>14</v>
      </c>
      <c r="R20" s="7"/>
      <c r="S20" s="6">
        <v>14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9">
        <f t="shared" si="7"/>
        <v>0.3527777777777778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154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>
        <v>24</v>
      </c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0.3527777777777778</v>
      </c>
      <c r="AF21" s="93">
        <f t="shared" si="8"/>
        <v>15</v>
      </c>
    </row>
    <row r="22" spans="1:32" ht="31.5" customHeight="1" thickBot="1">
      <c r="A22" s="372" t="s">
        <v>34</v>
      </c>
      <c r="B22" s="373"/>
      <c r="C22" s="373"/>
      <c r="D22" s="373"/>
      <c r="E22" s="373"/>
      <c r="F22" s="373"/>
      <c r="G22" s="373"/>
      <c r="H22" s="374"/>
      <c r="I22" s="25">
        <f t="shared" ref="I22:N22" si="17">SUM(I6:I21)</f>
        <v>851500</v>
      </c>
      <c r="J22" s="22">
        <f t="shared" si="17"/>
        <v>99745</v>
      </c>
      <c r="K22" s="23">
        <f t="shared" si="17"/>
        <v>940137</v>
      </c>
      <c r="L22" s="24">
        <f t="shared" si="17"/>
        <v>70940</v>
      </c>
      <c r="M22" s="23">
        <f t="shared" si="17"/>
        <v>70940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127</v>
      </c>
      <c r="Q22" s="46">
        <f t="shared" si="18"/>
        <v>257</v>
      </c>
      <c r="R22" s="26">
        <f t="shared" si="18"/>
        <v>24</v>
      </c>
      <c r="S22" s="27">
        <f t="shared" si="18"/>
        <v>26</v>
      </c>
      <c r="T22" s="27">
        <f t="shared" si="18"/>
        <v>8</v>
      </c>
      <c r="U22" s="27">
        <f t="shared" si="18"/>
        <v>0</v>
      </c>
      <c r="V22" s="28">
        <f t="shared" si="18"/>
        <v>72</v>
      </c>
      <c r="W22" s="29">
        <f t="shared" si="18"/>
        <v>79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48</v>
      </c>
      <c r="AB22" s="31">
        <f>SUM(AB6:AB21)/15</f>
        <v>0.53333333333333333</v>
      </c>
      <c r="AC22" s="4">
        <f>SUM(AC6:AC21)/15</f>
        <v>0.3527777777777778</v>
      </c>
      <c r="AD22" s="4">
        <f>SUM(AD6:AD21)/15</f>
        <v>0.3527777777777778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5" t="s">
        <v>45</v>
      </c>
      <c r="B49" s="375"/>
      <c r="C49" s="375"/>
      <c r="D49" s="375"/>
      <c r="E49" s="37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6" t="s">
        <v>422</v>
      </c>
      <c r="B50" s="377"/>
      <c r="C50" s="377"/>
      <c r="D50" s="377"/>
      <c r="E50" s="377"/>
      <c r="F50" s="377"/>
      <c r="G50" s="377"/>
      <c r="H50" s="377"/>
      <c r="I50" s="377"/>
      <c r="J50" s="377"/>
      <c r="K50" s="377"/>
      <c r="L50" s="377"/>
      <c r="M50" s="378"/>
      <c r="N50" s="379" t="s">
        <v>425</v>
      </c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0"/>
      <c r="AA50" s="380"/>
      <c r="AB50" s="380"/>
      <c r="AC50" s="380"/>
      <c r="AD50" s="381"/>
    </row>
    <row r="51" spans="1:32" ht="27" customHeight="1">
      <c r="A51" s="382" t="s">
        <v>2</v>
      </c>
      <c r="B51" s="383"/>
      <c r="C51" s="292" t="s">
        <v>46</v>
      </c>
      <c r="D51" s="292" t="s">
        <v>47</v>
      </c>
      <c r="E51" s="292" t="s">
        <v>108</v>
      </c>
      <c r="F51" s="383" t="s">
        <v>107</v>
      </c>
      <c r="G51" s="383"/>
      <c r="H51" s="383"/>
      <c r="I51" s="383"/>
      <c r="J51" s="383"/>
      <c r="K51" s="383"/>
      <c r="L51" s="383"/>
      <c r="M51" s="384"/>
      <c r="N51" s="73" t="s">
        <v>112</v>
      </c>
      <c r="O51" s="292" t="s">
        <v>46</v>
      </c>
      <c r="P51" s="385" t="s">
        <v>47</v>
      </c>
      <c r="Q51" s="386"/>
      <c r="R51" s="385" t="s">
        <v>38</v>
      </c>
      <c r="S51" s="387"/>
      <c r="T51" s="387"/>
      <c r="U51" s="386"/>
      <c r="V51" s="385" t="s">
        <v>48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99" t="s">
        <v>126</v>
      </c>
      <c r="B52" s="400"/>
      <c r="C52" s="294" t="s">
        <v>125</v>
      </c>
      <c r="D52" s="294" t="s">
        <v>211</v>
      </c>
      <c r="E52" s="294" t="s">
        <v>210</v>
      </c>
      <c r="F52" s="401" t="s">
        <v>412</v>
      </c>
      <c r="G52" s="402"/>
      <c r="H52" s="402"/>
      <c r="I52" s="402"/>
      <c r="J52" s="402"/>
      <c r="K52" s="402"/>
      <c r="L52" s="402"/>
      <c r="M52" s="403"/>
      <c r="N52" s="293"/>
      <c r="O52" s="124"/>
      <c r="P52" s="404"/>
      <c r="Q52" s="405"/>
      <c r="R52" s="400"/>
      <c r="S52" s="400"/>
      <c r="T52" s="400"/>
      <c r="U52" s="400"/>
      <c r="V52" s="406"/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126</v>
      </c>
      <c r="B53" s="400"/>
      <c r="C53" s="294" t="s">
        <v>137</v>
      </c>
      <c r="D53" s="294" t="s">
        <v>117</v>
      </c>
      <c r="E53" s="294" t="s">
        <v>247</v>
      </c>
      <c r="F53" s="401" t="s">
        <v>423</v>
      </c>
      <c r="G53" s="402"/>
      <c r="H53" s="402"/>
      <c r="I53" s="402"/>
      <c r="J53" s="402"/>
      <c r="K53" s="402"/>
      <c r="L53" s="402"/>
      <c r="M53" s="403"/>
      <c r="N53" s="293"/>
      <c r="O53" s="124"/>
      <c r="P53" s="404"/>
      <c r="Q53" s="405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126</v>
      </c>
      <c r="B54" s="400"/>
      <c r="C54" s="294" t="s">
        <v>191</v>
      </c>
      <c r="D54" s="294" t="s">
        <v>120</v>
      </c>
      <c r="E54" s="294" t="s">
        <v>332</v>
      </c>
      <c r="F54" s="401" t="s">
        <v>424</v>
      </c>
      <c r="G54" s="402"/>
      <c r="H54" s="402"/>
      <c r="I54" s="402"/>
      <c r="J54" s="402"/>
      <c r="K54" s="402"/>
      <c r="L54" s="402"/>
      <c r="M54" s="403"/>
      <c r="N54" s="293"/>
      <c r="O54" s="124"/>
      <c r="P54" s="400"/>
      <c r="Q54" s="400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126</v>
      </c>
      <c r="B55" s="400"/>
      <c r="C55" s="294" t="s">
        <v>228</v>
      </c>
      <c r="D55" s="294" t="s">
        <v>121</v>
      </c>
      <c r="E55" s="294" t="s">
        <v>420</v>
      </c>
      <c r="F55" s="401" t="s">
        <v>119</v>
      </c>
      <c r="G55" s="402"/>
      <c r="H55" s="402"/>
      <c r="I55" s="402"/>
      <c r="J55" s="402"/>
      <c r="K55" s="402"/>
      <c r="L55" s="402"/>
      <c r="M55" s="403"/>
      <c r="N55" s="293"/>
      <c r="O55" s="124"/>
      <c r="P55" s="404"/>
      <c r="Q55" s="405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294"/>
      <c r="D56" s="294"/>
      <c r="E56" s="294"/>
      <c r="F56" s="401"/>
      <c r="G56" s="402"/>
      <c r="H56" s="402"/>
      <c r="I56" s="402"/>
      <c r="J56" s="402"/>
      <c r="K56" s="402"/>
      <c r="L56" s="402"/>
      <c r="M56" s="403"/>
      <c r="N56" s="293"/>
      <c r="O56" s="124"/>
      <c r="P56" s="400"/>
      <c r="Q56" s="400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294"/>
      <c r="D57" s="294"/>
      <c r="E57" s="294"/>
      <c r="F57" s="401"/>
      <c r="G57" s="402"/>
      <c r="H57" s="402"/>
      <c r="I57" s="402"/>
      <c r="J57" s="402"/>
      <c r="K57" s="402"/>
      <c r="L57" s="402"/>
      <c r="M57" s="403"/>
      <c r="N57" s="293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294"/>
      <c r="D58" s="294"/>
      <c r="E58" s="294"/>
      <c r="F58" s="406"/>
      <c r="G58" s="406"/>
      <c r="H58" s="406"/>
      <c r="I58" s="406"/>
      <c r="J58" s="406"/>
      <c r="K58" s="406"/>
      <c r="L58" s="406"/>
      <c r="M58" s="407"/>
      <c r="N58" s="293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294"/>
      <c r="D59" s="294"/>
      <c r="E59" s="294"/>
      <c r="F59" s="406"/>
      <c r="G59" s="406"/>
      <c r="H59" s="406"/>
      <c r="I59" s="406"/>
      <c r="J59" s="406"/>
      <c r="K59" s="406"/>
      <c r="L59" s="406"/>
      <c r="M59" s="407"/>
      <c r="N59" s="293"/>
      <c r="O59" s="124"/>
      <c r="P59" s="404"/>
      <c r="Q59" s="405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</row>
    <row r="60" spans="1:32" ht="27" customHeight="1">
      <c r="A60" s="399"/>
      <c r="B60" s="400"/>
      <c r="C60" s="294"/>
      <c r="D60" s="294"/>
      <c r="E60" s="294"/>
      <c r="F60" s="406"/>
      <c r="G60" s="406"/>
      <c r="H60" s="406"/>
      <c r="I60" s="406"/>
      <c r="J60" s="406"/>
      <c r="K60" s="406"/>
      <c r="L60" s="406"/>
      <c r="M60" s="407"/>
      <c r="N60" s="293"/>
      <c r="O60" s="124"/>
      <c r="P60" s="400"/>
      <c r="Q60" s="400"/>
      <c r="R60" s="400"/>
      <c r="S60" s="400"/>
      <c r="T60" s="400"/>
      <c r="U60" s="400"/>
      <c r="V60" s="406"/>
      <c r="W60" s="406"/>
      <c r="X60" s="406"/>
      <c r="Y60" s="406"/>
      <c r="Z60" s="406"/>
      <c r="AA60" s="406"/>
      <c r="AB60" s="406"/>
      <c r="AC60" s="406"/>
      <c r="AD60" s="407"/>
      <c r="AF60" s="93">
        <f>8*3000</f>
        <v>24000</v>
      </c>
    </row>
    <row r="61" spans="1:32" ht="27" customHeight="1" thickBot="1">
      <c r="A61" s="408"/>
      <c r="B61" s="409"/>
      <c r="C61" s="296"/>
      <c r="D61" s="296"/>
      <c r="E61" s="296"/>
      <c r="F61" s="410"/>
      <c r="G61" s="410"/>
      <c r="H61" s="410"/>
      <c r="I61" s="410"/>
      <c r="J61" s="410"/>
      <c r="K61" s="410"/>
      <c r="L61" s="410"/>
      <c r="M61" s="411"/>
      <c r="N61" s="295"/>
      <c r="O61" s="120"/>
      <c r="P61" s="409"/>
      <c r="Q61" s="409"/>
      <c r="R61" s="409"/>
      <c r="S61" s="409"/>
      <c r="T61" s="409"/>
      <c r="U61" s="409"/>
      <c r="V61" s="412"/>
      <c r="W61" s="412"/>
      <c r="X61" s="412"/>
      <c r="Y61" s="412"/>
      <c r="Z61" s="412"/>
      <c r="AA61" s="412"/>
      <c r="AB61" s="412"/>
      <c r="AC61" s="412"/>
      <c r="AD61" s="413"/>
      <c r="AF61" s="93">
        <f>16*3000</f>
        <v>48000</v>
      </c>
    </row>
    <row r="62" spans="1:32" ht="27.75" thickBot="1">
      <c r="A62" s="414" t="s">
        <v>426</v>
      </c>
      <c r="B62" s="414"/>
      <c r="C62" s="414"/>
      <c r="D62" s="414"/>
      <c r="E62" s="41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15" t="s">
        <v>113</v>
      </c>
      <c r="B63" s="416"/>
      <c r="C63" s="297" t="s">
        <v>2</v>
      </c>
      <c r="D63" s="297" t="s">
        <v>37</v>
      </c>
      <c r="E63" s="297" t="s">
        <v>3</v>
      </c>
      <c r="F63" s="416" t="s">
        <v>110</v>
      </c>
      <c r="G63" s="416"/>
      <c r="H63" s="416"/>
      <c r="I63" s="416"/>
      <c r="J63" s="416"/>
      <c r="K63" s="416" t="s">
        <v>39</v>
      </c>
      <c r="L63" s="416"/>
      <c r="M63" s="297" t="s">
        <v>40</v>
      </c>
      <c r="N63" s="416" t="s">
        <v>41</v>
      </c>
      <c r="O63" s="416"/>
      <c r="P63" s="417" t="s">
        <v>42</v>
      </c>
      <c r="Q63" s="418"/>
      <c r="R63" s="417" t="s">
        <v>43</v>
      </c>
      <c r="S63" s="419"/>
      <c r="T63" s="419"/>
      <c r="U63" s="419"/>
      <c r="V63" s="419"/>
      <c r="W63" s="419"/>
      <c r="X63" s="419"/>
      <c r="Y63" s="419"/>
      <c r="Z63" s="419"/>
      <c r="AA63" s="418"/>
      <c r="AB63" s="416" t="s">
        <v>44</v>
      </c>
      <c r="AC63" s="416"/>
      <c r="AD63" s="420"/>
      <c r="AF63" s="93">
        <f>SUM(AF60:AF62)</f>
        <v>96000</v>
      </c>
    </row>
    <row r="64" spans="1:32" ht="25.5" customHeight="1">
      <c r="A64" s="421">
        <v>1</v>
      </c>
      <c r="B64" s="422"/>
      <c r="C64" s="123" t="s">
        <v>114</v>
      </c>
      <c r="D64" s="300"/>
      <c r="E64" s="298" t="s">
        <v>173</v>
      </c>
      <c r="F64" s="423" t="s">
        <v>385</v>
      </c>
      <c r="G64" s="424"/>
      <c r="H64" s="424"/>
      <c r="I64" s="424"/>
      <c r="J64" s="424"/>
      <c r="K64" s="424" t="s">
        <v>427</v>
      </c>
      <c r="L64" s="424"/>
      <c r="M64" s="54" t="s">
        <v>428</v>
      </c>
      <c r="N64" s="424">
        <v>4</v>
      </c>
      <c r="O64" s="424"/>
      <c r="P64" s="425" t="s">
        <v>429</v>
      </c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2</v>
      </c>
      <c r="B65" s="422"/>
      <c r="C65" s="123"/>
      <c r="D65" s="300"/>
      <c r="E65" s="298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3</v>
      </c>
      <c r="B66" s="422"/>
      <c r="C66" s="123"/>
      <c r="D66" s="300"/>
      <c r="E66" s="298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4</v>
      </c>
      <c r="B67" s="422"/>
      <c r="C67" s="123"/>
      <c r="D67" s="300"/>
      <c r="E67" s="298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5</v>
      </c>
      <c r="B68" s="422"/>
      <c r="C68" s="123"/>
      <c r="D68" s="300"/>
      <c r="E68" s="298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6</v>
      </c>
      <c r="B69" s="422"/>
      <c r="C69" s="123"/>
      <c r="D69" s="300"/>
      <c r="E69" s="298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7</v>
      </c>
      <c r="B70" s="422"/>
      <c r="C70" s="123"/>
      <c r="D70" s="300"/>
      <c r="E70" s="298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5.5" customHeight="1">
      <c r="A71" s="421">
        <v>8</v>
      </c>
      <c r="B71" s="422"/>
      <c r="C71" s="123"/>
      <c r="D71" s="300"/>
      <c r="E71" s="298"/>
      <c r="F71" s="423"/>
      <c r="G71" s="424"/>
      <c r="H71" s="424"/>
      <c r="I71" s="424"/>
      <c r="J71" s="424"/>
      <c r="K71" s="424"/>
      <c r="L71" s="424"/>
      <c r="M71" s="54"/>
      <c r="N71" s="424"/>
      <c r="O71" s="424"/>
      <c r="P71" s="425"/>
      <c r="Q71" s="425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24"/>
      <c r="AC71" s="424"/>
      <c r="AD71" s="426"/>
      <c r="AF71" s="53"/>
    </row>
    <row r="72" spans="1:32" ht="26.25" customHeight="1" thickBot="1">
      <c r="A72" s="427" t="s">
        <v>430</v>
      </c>
      <c r="B72" s="427"/>
      <c r="C72" s="427"/>
      <c r="D72" s="427"/>
      <c r="E72" s="427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8" t="s">
        <v>113</v>
      </c>
      <c r="B73" s="429"/>
      <c r="C73" s="299" t="s">
        <v>2</v>
      </c>
      <c r="D73" s="299" t="s">
        <v>37</v>
      </c>
      <c r="E73" s="299" t="s">
        <v>3</v>
      </c>
      <c r="F73" s="429" t="s">
        <v>38</v>
      </c>
      <c r="G73" s="429"/>
      <c r="H73" s="429"/>
      <c r="I73" s="429"/>
      <c r="J73" s="429"/>
      <c r="K73" s="430" t="s">
        <v>58</v>
      </c>
      <c r="L73" s="431"/>
      <c r="M73" s="431"/>
      <c r="N73" s="431"/>
      <c r="O73" s="431"/>
      <c r="P73" s="431"/>
      <c r="Q73" s="431"/>
      <c r="R73" s="431"/>
      <c r="S73" s="432"/>
      <c r="T73" s="429" t="s">
        <v>49</v>
      </c>
      <c r="U73" s="429"/>
      <c r="V73" s="430" t="s">
        <v>50</v>
      </c>
      <c r="W73" s="432"/>
      <c r="X73" s="431" t="s">
        <v>51</v>
      </c>
      <c r="Y73" s="431"/>
      <c r="Z73" s="431"/>
      <c r="AA73" s="431"/>
      <c r="AB73" s="431"/>
      <c r="AC73" s="431"/>
      <c r="AD73" s="433"/>
      <c r="AF73" s="53"/>
    </row>
    <row r="74" spans="1:32" ht="33.75" customHeight="1">
      <c r="A74" s="442">
        <v>1</v>
      </c>
      <c r="B74" s="443"/>
      <c r="C74" s="301" t="s">
        <v>114</v>
      </c>
      <c r="D74" s="301"/>
      <c r="E74" s="71" t="s">
        <v>133</v>
      </c>
      <c r="F74" s="444" t="s">
        <v>132</v>
      </c>
      <c r="G74" s="445"/>
      <c r="H74" s="445"/>
      <c r="I74" s="445"/>
      <c r="J74" s="446"/>
      <c r="K74" s="447" t="s">
        <v>135</v>
      </c>
      <c r="L74" s="448"/>
      <c r="M74" s="448"/>
      <c r="N74" s="448"/>
      <c r="O74" s="448"/>
      <c r="P74" s="448"/>
      <c r="Q74" s="448"/>
      <c r="R74" s="448"/>
      <c r="S74" s="449"/>
      <c r="T74" s="450">
        <v>43384</v>
      </c>
      <c r="U74" s="451"/>
      <c r="V74" s="452"/>
      <c r="W74" s="452"/>
      <c r="X74" s="453"/>
      <c r="Y74" s="453"/>
      <c r="Z74" s="453"/>
      <c r="AA74" s="453"/>
      <c r="AB74" s="453"/>
      <c r="AC74" s="453"/>
      <c r="AD74" s="454"/>
      <c r="AF74" s="53"/>
    </row>
    <row r="75" spans="1:32" ht="30" customHeight="1">
      <c r="A75" s="434">
        <f>A74+1</f>
        <v>2</v>
      </c>
      <c r="B75" s="435"/>
      <c r="C75" s="300"/>
      <c r="D75" s="300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ref="A76:A82" si="19">A75+1</f>
        <v>3</v>
      </c>
      <c r="B76" s="435"/>
      <c r="C76" s="300"/>
      <c r="D76" s="300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9"/>
        <v>4</v>
      </c>
      <c r="B77" s="435"/>
      <c r="C77" s="300"/>
      <c r="D77" s="300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9"/>
        <v>5</v>
      </c>
      <c r="B78" s="435"/>
      <c r="C78" s="300"/>
      <c r="D78" s="300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9"/>
        <v>6</v>
      </c>
      <c r="B79" s="435"/>
      <c r="C79" s="300"/>
      <c r="D79" s="300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9"/>
        <v>7</v>
      </c>
      <c r="B80" s="435"/>
      <c r="C80" s="300"/>
      <c r="D80" s="300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9"/>
        <v>8</v>
      </c>
      <c r="B81" s="435"/>
      <c r="C81" s="300"/>
      <c r="D81" s="300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0" customHeight="1">
      <c r="A82" s="434">
        <f t="shared" si="19"/>
        <v>9</v>
      </c>
      <c r="B82" s="435"/>
      <c r="C82" s="300"/>
      <c r="D82" s="300"/>
      <c r="E82" s="35"/>
      <c r="F82" s="435"/>
      <c r="G82" s="435"/>
      <c r="H82" s="435"/>
      <c r="I82" s="435"/>
      <c r="J82" s="435"/>
      <c r="K82" s="436"/>
      <c r="L82" s="437"/>
      <c r="M82" s="437"/>
      <c r="N82" s="437"/>
      <c r="O82" s="437"/>
      <c r="P82" s="437"/>
      <c r="Q82" s="437"/>
      <c r="R82" s="437"/>
      <c r="S82" s="438"/>
      <c r="T82" s="439"/>
      <c r="U82" s="439"/>
      <c r="V82" s="439"/>
      <c r="W82" s="439"/>
      <c r="X82" s="440"/>
      <c r="Y82" s="440"/>
      <c r="Z82" s="440"/>
      <c r="AA82" s="440"/>
      <c r="AB82" s="440"/>
      <c r="AC82" s="440"/>
      <c r="AD82" s="441"/>
      <c r="AF82" s="53"/>
    </row>
    <row r="83" spans="1:32" ht="36" thickBot="1">
      <c r="A83" s="427" t="s">
        <v>431</v>
      </c>
      <c r="B83" s="427"/>
      <c r="C83" s="427"/>
      <c r="D83" s="427"/>
      <c r="E83" s="427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8" t="s">
        <v>113</v>
      </c>
      <c r="B84" s="429"/>
      <c r="C84" s="455" t="s">
        <v>52</v>
      </c>
      <c r="D84" s="455"/>
      <c r="E84" s="455" t="s">
        <v>53</v>
      </c>
      <c r="F84" s="455"/>
      <c r="G84" s="455"/>
      <c r="H84" s="455"/>
      <c r="I84" s="455"/>
      <c r="J84" s="455"/>
      <c r="K84" s="455" t="s">
        <v>54</v>
      </c>
      <c r="L84" s="455"/>
      <c r="M84" s="455"/>
      <c r="N84" s="455"/>
      <c r="O84" s="455"/>
      <c r="P84" s="455"/>
      <c r="Q84" s="455"/>
      <c r="R84" s="455"/>
      <c r="S84" s="455"/>
      <c r="T84" s="455" t="s">
        <v>55</v>
      </c>
      <c r="U84" s="455"/>
      <c r="V84" s="455" t="s">
        <v>56</v>
      </c>
      <c r="W84" s="455"/>
      <c r="X84" s="455"/>
      <c r="Y84" s="455" t="s">
        <v>51</v>
      </c>
      <c r="Z84" s="455"/>
      <c r="AA84" s="455"/>
      <c r="AB84" s="455"/>
      <c r="AC84" s="455"/>
      <c r="AD84" s="456"/>
      <c r="AF84" s="53"/>
    </row>
    <row r="85" spans="1:32" ht="30.75" customHeight="1">
      <c r="A85" s="442">
        <v>1</v>
      </c>
      <c r="B85" s="443"/>
      <c r="C85" s="457"/>
      <c r="D85" s="457"/>
      <c r="E85" s="457"/>
      <c r="F85" s="457"/>
      <c r="G85" s="457"/>
      <c r="H85" s="457"/>
      <c r="I85" s="457"/>
      <c r="J85" s="457"/>
      <c r="K85" s="457"/>
      <c r="L85" s="457"/>
      <c r="M85" s="457"/>
      <c r="N85" s="457"/>
      <c r="O85" s="457"/>
      <c r="P85" s="457"/>
      <c r="Q85" s="457"/>
      <c r="R85" s="457"/>
      <c r="S85" s="457"/>
      <c r="T85" s="457"/>
      <c r="U85" s="457"/>
      <c r="V85" s="458"/>
      <c r="W85" s="458"/>
      <c r="X85" s="458"/>
      <c r="Y85" s="459"/>
      <c r="Z85" s="459"/>
      <c r="AA85" s="459"/>
      <c r="AB85" s="459"/>
      <c r="AC85" s="459"/>
      <c r="AD85" s="460"/>
      <c r="AF85" s="53"/>
    </row>
    <row r="86" spans="1:32" ht="30.75" customHeight="1">
      <c r="A86" s="434">
        <v>2</v>
      </c>
      <c r="B86" s="435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9"/>
      <c r="U86" s="469"/>
      <c r="V86" s="470"/>
      <c r="W86" s="470"/>
      <c r="X86" s="470"/>
      <c r="Y86" s="461"/>
      <c r="Z86" s="461"/>
      <c r="AA86" s="461"/>
      <c r="AB86" s="461"/>
      <c r="AC86" s="461"/>
      <c r="AD86" s="462"/>
      <c r="AF86" s="53"/>
    </row>
    <row r="87" spans="1:32" ht="30.75" customHeight="1" thickBot="1">
      <c r="A87" s="463">
        <v>3</v>
      </c>
      <c r="B87" s="464"/>
      <c r="C87" s="465"/>
      <c r="D87" s="465"/>
      <c r="E87" s="465"/>
      <c r="F87" s="465"/>
      <c r="G87" s="465"/>
      <c r="H87" s="465"/>
      <c r="I87" s="465"/>
      <c r="J87" s="465"/>
      <c r="K87" s="465"/>
      <c r="L87" s="465"/>
      <c r="M87" s="465"/>
      <c r="N87" s="465"/>
      <c r="O87" s="465"/>
      <c r="P87" s="465"/>
      <c r="Q87" s="465"/>
      <c r="R87" s="465"/>
      <c r="S87" s="465"/>
      <c r="T87" s="465"/>
      <c r="U87" s="465"/>
      <c r="V87" s="465"/>
      <c r="W87" s="465"/>
      <c r="X87" s="465"/>
      <c r="Y87" s="466"/>
      <c r="Z87" s="466"/>
      <c r="AA87" s="466"/>
      <c r="AB87" s="466"/>
      <c r="AC87" s="466"/>
      <c r="AD87" s="467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0BF6-4BF0-4526-9EB8-3AB043A19932}">
  <sheetPr>
    <pageSetUpPr fitToPage="1"/>
  </sheetPr>
  <dimension ref="A1:AF86"/>
  <sheetViews>
    <sheetView topLeftCell="A49" zoomScale="72" zoomScaleNormal="72" zoomScaleSheetLayoutView="70" workbookViewId="0">
      <selection activeCell="F65" sqref="F65:J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432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312" t="s">
        <v>17</v>
      </c>
      <c r="L5" s="312" t="s">
        <v>18</v>
      </c>
      <c r="M5" s="312" t="s">
        <v>19</v>
      </c>
      <c r="N5" s="31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0.3305555555555556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0.3305555555555556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150</v>
      </c>
      <c r="F8" s="33" t="s">
        <v>122</v>
      </c>
      <c r="G8" s="36">
        <v>1</v>
      </c>
      <c r="H8" s="38">
        <v>25</v>
      </c>
      <c r="I8" s="7">
        <v>70000</v>
      </c>
      <c r="J8" s="5">
        <v>2308</v>
      </c>
      <c r="K8" s="15">
        <f>L8+4226+6836+7688+6790+7670+5621+7015+7715+6622+7015+7123+7122+7421+6809+7012+7150+7008+7231+2308</f>
        <v>126382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>
        <v>24</v>
      </c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0.3305555555555556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126</v>
      </c>
      <c r="D9" s="55" t="s">
        <v>338</v>
      </c>
      <c r="E9" s="57" t="s">
        <v>337</v>
      </c>
      <c r="F9" s="33" t="s">
        <v>116</v>
      </c>
      <c r="G9" s="36">
        <v>1</v>
      </c>
      <c r="H9" s="38">
        <v>24</v>
      </c>
      <c r="I9" s="7">
        <v>15000</v>
      </c>
      <c r="J9" s="14">
        <v>2787</v>
      </c>
      <c r="K9" s="15">
        <f>L9+2202+7225+2787+2523</f>
        <v>14737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>
        <v>24</v>
      </c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0.3305555555555556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147</v>
      </c>
      <c r="F10" s="12" t="s">
        <v>122</v>
      </c>
      <c r="G10" s="12">
        <v>1</v>
      </c>
      <c r="H10" s="13">
        <v>25</v>
      </c>
      <c r="I10" s="7">
        <v>70000</v>
      </c>
      <c r="J10" s="14">
        <v>6382</v>
      </c>
      <c r="K10" s="15">
        <f>L10+3648+6356+6488+6387+7137+3143+6382</f>
        <v>39541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0.3305555555555556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126</v>
      </c>
      <c r="D11" s="55" t="s">
        <v>121</v>
      </c>
      <c r="E11" s="57" t="s">
        <v>420</v>
      </c>
      <c r="F11" s="12" t="s">
        <v>421</v>
      </c>
      <c r="G11" s="12">
        <v>1</v>
      </c>
      <c r="H11" s="13">
        <v>25</v>
      </c>
      <c r="I11" s="7">
        <v>35000</v>
      </c>
      <c r="J11" s="14">
        <v>5736</v>
      </c>
      <c r="K11" s="15">
        <f>L11+3530</f>
        <v>9266</v>
      </c>
      <c r="L11" s="15">
        <f>2998+2738</f>
        <v>5736</v>
      </c>
      <c r="M11" s="16">
        <f t="shared" si="0"/>
        <v>5736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0.3305555555555556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394</v>
      </c>
      <c r="F12" s="33" t="s">
        <v>144</v>
      </c>
      <c r="G12" s="36">
        <v>1</v>
      </c>
      <c r="H12" s="38">
        <v>24</v>
      </c>
      <c r="I12" s="7">
        <v>35000</v>
      </c>
      <c r="J12" s="14">
        <v>5417</v>
      </c>
      <c r="K12" s="15">
        <f>L12+2181+2158+5261</f>
        <v>15017</v>
      </c>
      <c r="L12" s="15">
        <f>2852+2565</f>
        <v>5417</v>
      </c>
      <c r="M12" s="16">
        <f t="shared" si="0"/>
        <v>5417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0.3305555555555556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211</v>
      </c>
      <c r="E13" s="57" t="s">
        <v>210</v>
      </c>
      <c r="F13" s="12" t="s">
        <v>212</v>
      </c>
      <c r="G13" s="12">
        <v>4</v>
      </c>
      <c r="H13" s="13">
        <v>25</v>
      </c>
      <c r="I13" s="7">
        <v>30000</v>
      </c>
      <c r="J13" s="14">
        <v>10540</v>
      </c>
      <c r="K13" s="15">
        <f>L13+22420</f>
        <v>32960</v>
      </c>
      <c r="L13" s="15">
        <f>2635*4</f>
        <v>10540</v>
      </c>
      <c r="M13" s="16">
        <f t="shared" si="0"/>
        <v>10540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/>
      <c r="T13" s="17"/>
      <c r="U13" s="17"/>
      <c r="V13" s="18"/>
      <c r="W13" s="19">
        <v>12</v>
      </c>
      <c r="X13" s="17"/>
      <c r="Y13" s="20"/>
      <c r="Z13" s="20"/>
      <c r="AA13" s="21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9">
        <f t="shared" si="7"/>
        <v>0.3305555555555556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204</v>
      </c>
      <c r="D14" s="55" t="s">
        <v>117</v>
      </c>
      <c r="E14" s="57" t="s">
        <v>317</v>
      </c>
      <c r="F14" s="33" t="s">
        <v>325</v>
      </c>
      <c r="G14" s="36">
        <v>1</v>
      </c>
      <c r="H14" s="38">
        <v>25</v>
      </c>
      <c r="I14" s="7">
        <v>500</v>
      </c>
      <c r="J14" s="5">
        <v>308</v>
      </c>
      <c r="K14" s="15">
        <f>L14+204+308</f>
        <v>512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0.3305555555555556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27965</v>
      </c>
      <c r="K15" s="15">
        <f>L15+32805+66430+67599+62860+19229+27965</f>
        <v>276888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0.3305555555555556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120</v>
      </c>
      <c r="E16" s="57" t="s">
        <v>339</v>
      </c>
      <c r="F16" s="33" t="s">
        <v>199</v>
      </c>
      <c r="G16" s="36">
        <v>1</v>
      </c>
      <c r="H16" s="38">
        <v>24</v>
      </c>
      <c r="I16" s="7">
        <v>35000</v>
      </c>
      <c r="J16" s="5">
        <v>2504</v>
      </c>
      <c r="K16" s="15">
        <f>L16+4512+3969+4406+3892+1774+3617</f>
        <v>24674</v>
      </c>
      <c r="L16" s="15">
        <v>2504</v>
      </c>
      <c r="M16" s="16">
        <f t="shared" si="0"/>
        <v>2504</v>
      </c>
      <c r="N16" s="16">
        <v>0</v>
      </c>
      <c r="O16" s="62">
        <f t="shared" si="1"/>
        <v>0</v>
      </c>
      <c r="P16" s="42">
        <f t="shared" si="2"/>
        <v>11</v>
      </c>
      <c r="Q16" s="43">
        <f t="shared" si="3"/>
        <v>13</v>
      </c>
      <c r="R16" s="7"/>
      <c r="S16" s="6">
        <v>13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9">
        <f t="shared" si="7"/>
        <v>0.3305555555555556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148</v>
      </c>
      <c r="F17" s="12" t="s">
        <v>149</v>
      </c>
      <c r="G17" s="12">
        <v>1</v>
      </c>
      <c r="H17" s="13">
        <v>24</v>
      </c>
      <c r="I17" s="34">
        <v>70000</v>
      </c>
      <c r="J17" s="14">
        <v>6544</v>
      </c>
      <c r="K17" s="15">
        <f>L17+5530+6591+6555+7009+6234+3454+6385+6995+7383+4468+7061+7120+7112+7275+6698+6957+7074+6704+6858+2960+6544</f>
        <v>132967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0.3305555555555556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142</v>
      </c>
      <c r="F18" s="12" t="s">
        <v>122</v>
      </c>
      <c r="G18" s="36">
        <v>1</v>
      </c>
      <c r="H18" s="38">
        <v>24</v>
      </c>
      <c r="I18" s="7">
        <v>70000</v>
      </c>
      <c r="J18" s="5">
        <v>5853</v>
      </c>
      <c r="K18" s="15">
        <f>L18+3442+4857+6103+3605+5831+5901+4875+6279+5633+5015+5887+5920+5827+5643+5849+5831+2164+3657+1002+4031+3549+3951+5799+2350+5600</f>
        <v>124454</v>
      </c>
      <c r="L18" s="15">
        <f>3077+2776</f>
        <v>5853</v>
      </c>
      <c r="M18" s="16">
        <f t="shared" si="0"/>
        <v>5853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0.3305555555555556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247</v>
      </c>
      <c r="F19" s="12" t="s">
        <v>144</v>
      </c>
      <c r="G19" s="36">
        <v>1</v>
      </c>
      <c r="H19" s="13">
        <v>24</v>
      </c>
      <c r="I19" s="7">
        <v>20000</v>
      </c>
      <c r="J19" s="14">
        <v>4853</v>
      </c>
      <c r="K19" s="15">
        <f>L19+1901</f>
        <v>6754</v>
      </c>
      <c r="L19" s="15">
        <f>2094+2759</f>
        <v>4853</v>
      </c>
      <c r="M19" s="16">
        <f t="shared" si="0"/>
        <v>4853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0.3305555555555556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0.3305555555555556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850500</v>
      </c>
      <c r="J21" s="22">
        <f t="shared" si="9"/>
        <v>91673</v>
      </c>
      <c r="K21" s="23">
        <f t="shared" si="9"/>
        <v>973844</v>
      </c>
      <c r="L21" s="24">
        <f t="shared" si="9"/>
        <v>34903</v>
      </c>
      <c r="M21" s="23">
        <f t="shared" si="9"/>
        <v>34903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119</v>
      </c>
      <c r="Q21" s="46">
        <f t="shared" si="10"/>
        <v>241</v>
      </c>
      <c r="R21" s="26">
        <f t="shared" si="10"/>
        <v>24</v>
      </c>
      <c r="S21" s="27">
        <f t="shared" si="10"/>
        <v>13</v>
      </c>
      <c r="T21" s="27">
        <f t="shared" si="10"/>
        <v>0</v>
      </c>
      <c r="U21" s="27">
        <f t="shared" si="10"/>
        <v>0</v>
      </c>
      <c r="V21" s="28">
        <f t="shared" si="10"/>
        <v>72</v>
      </c>
      <c r="W21" s="29">
        <f t="shared" si="10"/>
        <v>84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48</v>
      </c>
      <c r="AB21" s="31">
        <f>SUM(AB6:AB20)/15</f>
        <v>0.4</v>
      </c>
      <c r="AC21" s="4">
        <f>SUM(AC6:AC20)/15</f>
        <v>0.3305555555555556</v>
      </c>
      <c r="AD21" s="4">
        <f>SUM(AD6:AD20)/15</f>
        <v>0.3305555555555556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433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435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311" t="s">
        <v>46</v>
      </c>
      <c r="D50" s="311" t="s">
        <v>47</v>
      </c>
      <c r="E50" s="311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311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126</v>
      </c>
      <c r="B51" s="400"/>
      <c r="C51" s="308" t="s">
        <v>191</v>
      </c>
      <c r="D51" s="308" t="s">
        <v>120</v>
      </c>
      <c r="E51" s="308" t="s">
        <v>332</v>
      </c>
      <c r="F51" s="401" t="s">
        <v>434</v>
      </c>
      <c r="G51" s="402"/>
      <c r="H51" s="402"/>
      <c r="I51" s="402"/>
      <c r="J51" s="402"/>
      <c r="K51" s="402"/>
      <c r="L51" s="402"/>
      <c r="M51" s="403"/>
      <c r="N51" s="307"/>
      <c r="O51" s="124"/>
      <c r="P51" s="404"/>
      <c r="Q51" s="405"/>
      <c r="R51" s="400"/>
      <c r="S51" s="400"/>
      <c r="T51" s="400"/>
      <c r="U51" s="400"/>
      <c r="V51" s="406"/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/>
      <c r="B52" s="400"/>
      <c r="C52" s="308"/>
      <c r="D52" s="308"/>
      <c r="E52" s="308"/>
      <c r="F52" s="401"/>
      <c r="G52" s="402"/>
      <c r="H52" s="402"/>
      <c r="I52" s="402"/>
      <c r="J52" s="402"/>
      <c r="K52" s="402"/>
      <c r="L52" s="402"/>
      <c r="M52" s="403"/>
      <c r="N52" s="307"/>
      <c r="O52" s="124"/>
      <c r="P52" s="404"/>
      <c r="Q52" s="405"/>
      <c r="R52" s="400"/>
      <c r="S52" s="400"/>
      <c r="T52" s="400"/>
      <c r="U52" s="400"/>
      <c r="V52" s="406"/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/>
      <c r="B53" s="400"/>
      <c r="C53" s="308"/>
      <c r="D53" s="308"/>
      <c r="E53" s="308"/>
      <c r="F53" s="401"/>
      <c r="G53" s="402"/>
      <c r="H53" s="402"/>
      <c r="I53" s="402"/>
      <c r="J53" s="402"/>
      <c r="K53" s="402"/>
      <c r="L53" s="402"/>
      <c r="M53" s="403"/>
      <c r="N53" s="307"/>
      <c r="O53" s="124"/>
      <c r="P53" s="400"/>
      <c r="Q53" s="400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308"/>
      <c r="D54" s="308"/>
      <c r="E54" s="308"/>
      <c r="F54" s="401"/>
      <c r="G54" s="402"/>
      <c r="H54" s="402"/>
      <c r="I54" s="402"/>
      <c r="J54" s="402"/>
      <c r="K54" s="402"/>
      <c r="L54" s="402"/>
      <c r="M54" s="403"/>
      <c r="N54" s="307" t="s">
        <v>126</v>
      </c>
      <c r="O54" s="124" t="s">
        <v>191</v>
      </c>
      <c r="P54" s="404" t="s">
        <v>120</v>
      </c>
      <c r="Q54" s="405"/>
      <c r="R54" s="400" t="s">
        <v>332</v>
      </c>
      <c r="S54" s="400"/>
      <c r="T54" s="400"/>
      <c r="U54" s="400"/>
      <c r="V54" s="406" t="s">
        <v>124</v>
      </c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308"/>
      <c r="D55" s="308"/>
      <c r="E55" s="308"/>
      <c r="F55" s="401"/>
      <c r="G55" s="402"/>
      <c r="H55" s="402"/>
      <c r="I55" s="402"/>
      <c r="J55" s="402"/>
      <c r="K55" s="402"/>
      <c r="L55" s="402"/>
      <c r="M55" s="403"/>
      <c r="N55" s="307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308"/>
      <c r="D56" s="308"/>
      <c r="E56" s="308"/>
      <c r="F56" s="401"/>
      <c r="G56" s="402"/>
      <c r="H56" s="402"/>
      <c r="I56" s="402"/>
      <c r="J56" s="402"/>
      <c r="K56" s="402"/>
      <c r="L56" s="402"/>
      <c r="M56" s="403"/>
      <c r="N56" s="307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308"/>
      <c r="D57" s="308"/>
      <c r="E57" s="308"/>
      <c r="F57" s="406"/>
      <c r="G57" s="406"/>
      <c r="H57" s="406"/>
      <c r="I57" s="406"/>
      <c r="J57" s="406"/>
      <c r="K57" s="406"/>
      <c r="L57" s="406"/>
      <c r="M57" s="407"/>
      <c r="N57" s="307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308"/>
      <c r="D58" s="308"/>
      <c r="E58" s="308"/>
      <c r="F58" s="406"/>
      <c r="G58" s="406"/>
      <c r="H58" s="406"/>
      <c r="I58" s="406"/>
      <c r="J58" s="406"/>
      <c r="K58" s="406"/>
      <c r="L58" s="406"/>
      <c r="M58" s="407"/>
      <c r="N58" s="307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308"/>
      <c r="D59" s="308"/>
      <c r="E59" s="308"/>
      <c r="F59" s="406"/>
      <c r="G59" s="406"/>
      <c r="H59" s="406"/>
      <c r="I59" s="406"/>
      <c r="J59" s="406"/>
      <c r="K59" s="406"/>
      <c r="L59" s="406"/>
      <c r="M59" s="407"/>
      <c r="N59" s="307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310"/>
      <c r="D60" s="310"/>
      <c r="E60" s="310"/>
      <c r="F60" s="410"/>
      <c r="G60" s="410"/>
      <c r="H60" s="410"/>
      <c r="I60" s="410"/>
      <c r="J60" s="410"/>
      <c r="K60" s="410"/>
      <c r="L60" s="410"/>
      <c r="M60" s="411"/>
      <c r="N60" s="309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436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306" t="s">
        <v>2</v>
      </c>
      <c r="D62" s="306" t="s">
        <v>37</v>
      </c>
      <c r="E62" s="306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306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/>
      <c r="D63" s="302"/>
      <c r="E63" s="305"/>
      <c r="F63" s="423"/>
      <c r="G63" s="424"/>
      <c r="H63" s="424"/>
      <c r="I63" s="424"/>
      <c r="J63" s="424"/>
      <c r="K63" s="424"/>
      <c r="L63" s="424"/>
      <c r="M63" s="54"/>
      <c r="N63" s="424"/>
      <c r="O63" s="424"/>
      <c r="P63" s="425"/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/>
      <c r="D64" s="302"/>
      <c r="E64" s="305"/>
      <c r="F64" s="423"/>
      <c r="G64" s="424"/>
      <c r="H64" s="424"/>
      <c r="I64" s="424"/>
      <c r="J64" s="424"/>
      <c r="K64" s="424"/>
      <c r="L64" s="424"/>
      <c r="M64" s="54"/>
      <c r="N64" s="424"/>
      <c r="O64" s="424"/>
      <c r="P64" s="425"/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302"/>
      <c r="E65" s="305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302"/>
      <c r="E66" s="305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302"/>
      <c r="E67" s="305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302"/>
      <c r="E68" s="305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302"/>
      <c r="E69" s="305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302"/>
      <c r="E70" s="305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437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304" t="s">
        <v>2</v>
      </c>
      <c r="D72" s="304" t="s">
        <v>37</v>
      </c>
      <c r="E72" s="304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303" t="s">
        <v>114</v>
      </c>
      <c r="D73" s="303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302"/>
      <c r="D74" s="302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302"/>
      <c r="D75" s="302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302"/>
      <c r="D76" s="302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302"/>
      <c r="D77" s="302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302"/>
      <c r="D78" s="302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302"/>
      <c r="D79" s="302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302"/>
      <c r="D80" s="302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302"/>
      <c r="D81" s="302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438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1F1B-C81C-45A2-B387-A5FED339725C}">
  <sheetPr>
    <pageSetUpPr fitToPage="1"/>
  </sheetPr>
  <dimension ref="A1:AF86"/>
  <sheetViews>
    <sheetView zoomScale="72" zoomScaleNormal="72" zoomScaleSheetLayoutView="70" workbookViewId="0">
      <selection activeCell="F56" sqref="F56:M5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439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313" t="s">
        <v>17</v>
      </c>
      <c r="L5" s="313" t="s">
        <v>18</v>
      </c>
      <c r="M5" s="313" t="s">
        <v>19</v>
      </c>
      <c r="N5" s="31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0.50275252525252523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0.50275252525252523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345</v>
      </c>
      <c r="F8" s="33" t="s">
        <v>122</v>
      </c>
      <c r="G8" s="36">
        <v>4</v>
      </c>
      <c r="H8" s="38">
        <v>25</v>
      </c>
      <c r="I8" s="7">
        <v>400000</v>
      </c>
      <c r="J8" s="5">
        <v>16608</v>
      </c>
      <c r="K8" s="15">
        <f>L8</f>
        <v>16608</v>
      </c>
      <c r="L8" s="15">
        <f>1672*4+2480*4</f>
        <v>16608</v>
      </c>
      <c r="M8" s="16">
        <f t="shared" si="0"/>
        <v>16608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>
        <v>3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9">
        <f t="shared" si="7"/>
        <v>0.50275252525252523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173</v>
      </c>
      <c r="E9" s="57" t="s">
        <v>440</v>
      </c>
      <c r="F9" s="33" t="s">
        <v>122</v>
      </c>
      <c r="G9" s="36">
        <v>1</v>
      </c>
      <c r="H9" s="38">
        <v>24</v>
      </c>
      <c r="I9" s="7">
        <v>300</v>
      </c>
      <c r="J9" s="14">
        <v>440</v>
      </c>
      <c r="K9" s="15">
        <f>L9</f>
        <v>439</v>
      </c>
      <c r="L9" s="15">
        <v>439</v>
      </c>
      <c r="M9" s="16">
        <f t="shared" si="0"/>
        <v>439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0.99772727272727268</v>
      </c>
      <c r="AC9" s="9">
        <f t="shared" si="5"/>
        <v>0.16666666666666666</v>
      </c>
      <c r="AD9" s="10">
        <f t="shared" si="6"/>
        <v>0.16628787878787876</v>
      </c>
      <c r="AE9" s="39">
        <f t="shared" si="7"/>
        <v>0.50275252525252523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358</v>
      </c>
      <c r="F10" s="12" t="s">
        <v>122</v>
      </c>
      <c r="G10" s="12">
        <v>4</v>
      </c>
      <c r="H10" s="13">
        <v>25</v>
      </c>
      <c r="I10" s="7">
        <v>400000</v>
      </c>
      <c r="J10" s="14">
        <v>23776</v>
      </c>
      <c r="K10" s="15">
        <f>L10</f>
        <v>23776</v>
      </c>
      <c r="L10" s="15">
        <f>2598*4+3346*4</f>
        <v>23776</v>
      </c>
      <c r="M10" s="16">
        <f t="shared" si="0"/>
        <v>23776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0.50275252525252523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126</v>
      </c>
      <c r="D11" s="55" t="s">
        <v>121</v>
      </c>
      <c r="E11" s="57" t="s">
        <v>420</v>
      </c>
      <c r="F11" s="12" t="s">
        <v>421</v>
      </c>
      <c r="G11" s="12">
        <v>1</v>
      </c>
      <c r="H11" s="13">
        <v>25</v>
      </c>
      <c r="I11" s="7">
        <v>35000</v>
      </c>
      <c r="J11" s="14">
        <v>6036</v>
      </c>
      <c r="K11" s="15">
        <f>L11+3530+5736</f>
        <v>15302</v>
      </c>
      <c r="L11" s="15">
        <f>2880+3156</f>
        <v>6036</v>
      </c>
      <c r="M11" s="16">
        <f t="shared" si="0"/>
        <v>6036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0.50275252525252523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394</v>
      </c>
      <c r="F12" s="33" t="s">
        <v>144</v>
      </c>
      <c r="G12" s="36">
        <v>1</v>
      </c>
      <c r="H12" s="38">
        <v>24</v>
      </c>
      <c r="I12" s="7">
        <v>35000</v>
      </c>
      <c r="J12" s="14">
        <v>5567</v>
      </c>
      <c r="K12" s="15">
        <f>L12+2181+2158+5261+5417</f>
        <v>20584</v>
      </c>
      <c r="L12" s="15">
        <f>2684+2883</f>
        <v>5567</v>
      </c>
      <c r="M12" s="16">
        <f t="shared" si="0"/>
        <v>5567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0.50275252525252523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211</v>
      </c>
      <c r="E13" s="57" t="s">
        <v>210</v>
      </c>
      <c r="F13" s="12" t="s">
        <v>212</v>
      </c>
      <c r="G13" s="12">
        <v>4</v>
      </c>
      <c r="H13" s="13">
        <v>25</v>
      </c>
      <c r="I13" s="7">
        <v>30000</v>
      </c>
      <c r="J13" s="14">
        <v>10540</v>
      </c>
      <c r="K13" s="15">
        <f>L13+22420+10540</f>
        <v>32960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0.50275252525252523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204</v>
      </c>
      <c r="D14" s="55" t="s">
        <v>117</v>
      </c>
      <c r="E14" s="57" t="s">
        <v>317</v>
      </c>
      <c r="F14" s="33" t="s">
        <v>325</v>
      </c>
      <c r="G14" s="36">
        <v>1</v>
      </c>
      <c r="H14" s="38">
        <v>25</v>
      </c>
      <c r="I14" s="7">
        <v>500</v>
      </c>
      <c r="J14" s="5">
        <v>308</v>
      </c>
      <c r="K14" s="15">
        <f>L14+204+308</f>
        <v>512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0.50275252525252523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27965</v>
      </c>
      <c r="K15" s="15">
        <f>L15+32805+66430+67599+62860+19229+27965</f>
        <v>276888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0.50275252525252523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120</v>
      </c>
      <c r="E16" s="57" t="s">
        <v>339</v>
      </c>
      <c r="F16" s="33" t="s">
        <v>199</v>
      </c>
      <c r="G16" s="36">
        <v>1</v>
      </c>
      <c r="H16" s="38">
        <v>24</v>
      </c>
      <c r="I16" s="7">
        <v>35000</v>
      </c>
      <c r="J16" s="5">
        <v>3561</v>
      </c>
      <c r="K16" s="15">
        <f>L16+4512+3969+4406+3892+1774+3617+2504</f>
        <v>28235</v>
      </c>
      <c r="L16" s="15">
        <f>589+2972</f>
        <v>3561</v>
      </c>
      <c r="M16" s="16">
        <f t="shared" si="0"/>
        <v>3561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9">
        <f t="shared" si="7"/>
        <v>0.50275252525252523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359</v>
      </c>
      <c r="F17" s="12" t="s">
        <v>149</v>
      </c>
      <c r="G17" s="12">
        <v>4</v>
      </c>
      <c r="H17" s="13">
        <v>24</v>
      </c>
      <c r="I17" s="34">
        <v>400000</v>
      </c>
      <c r="J17" s="14">
        <v>19964</v>
      </c>
      <c r="K17" s="15">
        <f>L17</f>
        <v>19964</v>
      </c>
      <c r="L17" s="15">
        <f>2038*4+2953*4</f>
        <v>19964</v>
      </c>
      <c r="M17" s="16">
        <f t="shared" si="0"/>
        <v>19964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0.50275252525252523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441</v>
      </c>
      <c r="F18" s="12" t="s">
        <v>144</v>
      </c>
      <c r="G18" s="36">
        <v>4</v>
      </c>
      <c r="H18" s="38">
        <v>24</v>
      </c>
      <c r="I18" s="7">
        <v>400000</v>
      </c>
      <c r="J18" s="5">
        <v>12380</v>
      </c>
      <c r="K18" s="15">
        <f>L18</f>
        <v>12380</v>
      </c>
      <c r="L18" s="15">
        <f>1671*4+1424*4</f>
        <v>12380</v>
      </c>
      <c r="M18" s="16">
        <f t="shared" si="0"/>
        <v>12380</v>
      </c>
      <c r="N18" s="16">
        <v>0</v>
      </c>
      <c r="O18" s="62">
        <f t="shared" si="1"/>
        <v>0</v>
      </c>
      <c r="P18" s="42">
        <f t="shared" si="2"/>
        <v>17</v>
      </c>
      <c r="Q18" s="43">
        <f t="shared" si="3"/>
        <v>7</v>
      </c>
      <c r="R18" s="7"/>
      <c r="S18" s="6">
        <v>5</v>
      </c>
      <c r="T18" s="17">
        <v>2</v>
      </c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0.70833333333333337</v>
      </c>
      <c r="AD18" s="10">
        <f t="shared" si="6"/>
        <v>0.70833333333333337</v>
      </c>
      <c r="AE18" s="39">
        <f t="shared" si="7"/>
        <v>0.50275252525252523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247</v>
      </c>
      <c r="F19" s="12" t="s">
        <v>144</v>
      </c>
      <c r="G19" s="36">
        <v>1</v>
      </c>
      <c r="H19" s="13">
        <v>24</v>
      </c>
      <c r="I19" s="7">
        <v>20000</v>
      </c>
      <c r="J19" s="14">
        <v>5354</v>
      </c>
      <c r="K19" s="15">
        <f>L19+1901+4853</f>
        <v>12108</v>
      </c>
      <c r="L19" s="15">
        <f>2560+2794</f>
        <v>5354</v>
      </c>
      <c r="M19" s="16">
        <f t="shared" si="0"/>
        <v>5354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0.50275252525252523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0.50275252525252523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2155800</v>
      </c>
      <c r="J21" s="22">
        <f t="shared" si="9"/>
        <v>142975</v>
      </c>
      <c r="K21" s="23">
        <f t="shared" si="9"/>
        <v>629448</v>
      </c>
      <c r="L21" s="24">
        <f t="shared" si="9"/>
        <v>93685</v>
      </c>
      <c r="M21" s="23">
        <f t="shared" si="9"/>
        <v>93685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181</v>
      </c>
      <c r="Q21" s="46">
        <f t="shared" si="10"/>
        <v>179</v>
      </c>
      <c r="R21" s="26">
        <f t="shared" si="10"/>
        <v>24</v>
      </c>
      <c r="S21" s="27">
        <f t="shared" si="10"/>
        <v>13</v>
      </c>
      <c r="T21" s="27">
        <f t="shared" si="10"/>
        <v>2</v>
      </c>
      <c r="U21" s="27">
        <f t="shared" si="10"/>
        <v>0</v>
      </c>
      <c r="V21" s="28">
        <f t="shared" si="10"/>
        <v>24</v>
      </c>
      <c r="W21" s="29">
        <f t="shared" si="10"/>
        <v>116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0.59984848484848485</v>
      </c>
      <c r="AC21" s="4">
        <f>SUM(AC6:AC20)/15</f>
        <v>0.50277777777777777</v>
      </c>
      <c r="AD21" s="4">
        <f>SUM(AD6:AD20)/15</f>
        <v>0.50275252525252523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442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444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314" t="s">
        <v>46</v>
      </c>
      <c r="D50" s="314" t="s">
        <v>47</v>
      </c>
      <c r="E50" s="314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314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126</v>
      </c>
      <c r="B51" s="400"/>
      <c r="C51" s="316" t="s">
        <v>191</v>
      </c>
      <c r="D51" s="316" t="s">
        <v>120</v>
      </c>
      <c r="E51" s="316" t="s">
        <v>332</v>
      </c>
      <c r="F51" s="401" t="s">
        <v>124</v>
      </c>
      <c r="G51" s="402"/>
      <c r="H51" s="402"/>
      <c r="I51" s="402"/>
      <c r="J51" s="402"/>
      <c r="K51" s="402"/>
      <c r="L51" s="402"/>
      <c r="M51" s="403"/>
      <c r="N51" s="315" t="s">
        <v>126</v>
      </c>
      <c r="O51" s="124" t="s">
        <v>184</v>
      </c>
      <c r="P51" s="404" t="s">
        <v>117</v>
      </c>
      <c r="Q51" s="405"/>
      <c r="R51" s="400" t="s">
        <v>441</v>
      </c>
      <c r="S51" s="400"/>
      <c r="T51" s="400"/>
      <c r="U51" s="400"/>
      <c r="V51" s="406" t="s">
        <v>443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114</v>
      </c>
      <c r="B52" s="400"/>
      <c r="C52" s="316" t="s">
        <v>130</v>
      </c>
      <c r="D52" s="316" t="s">
        <v>173</v>
      </c>
      <c r="E52" s="316" t="s">
        <v>440</v>
      </c>
      <c r="F52" s="401" t="s">
        <v>119</v>
      </c>
      <c r="G52" s="402"/>
      <c r="H52" s="402"/>
      <c r="I52" s="402"/>
      <c r="J52" s="402"/>
      <c r="K52" s="402"/>
      <c r="L52" s="402"/>
      <c r="M52" s="403"/>
      <c r="N52" s="315" t="s">
        <v>114</v>
      </c>
      <c r="O52" s="124" t="s">
        <v>130</v>
      </c>
      <c r="P52" s="404" t="s">
        <v>173</v>
      </c>
      <c r="Q52" s="405"/>
      <c r="R52" s="400" t="s">
        <v>445</v>
      </c>
      <c r="S52" s="400"/>
      <c r="T52" s="400"/>
      <c r="U52" s="400"/>
      <c r="V52" s="406" t="s">
        <v>119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/>
      <c r="B53" s="400"/>
      <c r="C53" s="316"/>
      <c r="D53" s="316"/>
      <c r="E53" s="316"/>
      <c r="F53" s="401"/>
      <c r="G53" s="402"/>
      <c r="H53" s="402"/>
      <c r="I53" s="402"/>
      <c r="J53" s="402"/>
      <c r="K53" s="402"/>
      <c r="L53" s="402"/>
      <c r="M53" s="403"/>
      <c r="N53" s="315"/>
      <c r="O53" s="124"/>
      <c r="P53" s="400"/>
      <c r="Q53" s="400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316"/>
      <c r="D54" s="316"/>
      <c r="E54" s="316"/>
      <c r="F54" s="401"/>
      <c r="G54" s="402"/>
      <c r="H54" s="402"/>
      <c r="I54" s="402"/>
      <c r="J54" s="402"/>
      <c r="K54" s="402"/>
      <c r="L54" s="402"/>
      <c r="M54" s="403"/>
      <c r="N54" s="315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316"/>
      <c r="D55" s="316"/>
      <c r="E55" s="316"/>
      <c r="F55" s="401"/>
      <c r="G55" s="402"/>
      <c r="H55" s="402"/>
      <c r="I55" s="402"/>
      <c r="J55" s="402"/>
      <c r="K55" s="402"/>
      <c r="L55" s="402"/>
      <c r="M55" s="403"/>
      <c r="N55" s="315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316"/>
      <c r="D56" s="316"/>
      <c r="E56" s="316"/>
      <c r="F56" s="401"/>
      <c r="G56" s="402"/>
      <c r="H56" s="402"/>
      <c r="I56" s="402"/>
      <c r="J56" s="402"/>
      <c r="K56" s="402"/>
      <c r="L56" s="402"/>
      <c r="M56" s="403"/>
      <c r="N56" s="315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316"/>
      <c r="D57" s="316"/>
      <c r="E57" s="316"/>
      <c r="F57" s="406"/>
      <c r="G57" s="406"/>
      <c r="H57" s="406"/>
      <c r="I57" s="406"/>
      <c r="J57" s="406"/>
      <c r="K57" s="406"/>
      <c r="L57" s="406"/>
      <c r="M57" s="407"/>
      <c r="N57" s="315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316"/>
      <c r="D58" s="316"/>
      <c r="E58" s="316"/>
      <c r="F58" s="406"/>
      <c r="G58" s="406"/>
      <c r="H58" s="406"/>
      <c r="I58" s="406"/>
      <c r="J58" s="406"/>
      <c r="K58" s="406"/>
      <c r="L58" s="406"/>
      <c r="M58" s="407"/>
      <c r="N58" s="315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316"/>
      <c r="D59" s="316"/>
      <c r="E59" s="316"/>
      <c r="F59" s="406"/>
      <c r="G59" s="406"/>
      <c r="H59" s="406"/>
      <c r="I59" s="406"/>
      <c r="J59" s="406"/>
      <c r="K59" s="406"/>
      <c r="L59" s="406"/>
      <c r="M59" s="407"/>
      <c r="N59" s="315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318"/>
      <c r="D60" s="318"/>
      <c r="E60" s="318"/>
      <c r="F60" s="410"/>
      <c r="G60" s="410"/>
      <c r="H60" s="410"/>
      <c r="I60" s="410"/>
      <c r="J60" s="410"/>
      <c r="K60" s="410"/>
      <c r="L60" s="410"/>
      <c r="M60" s="411"/>
      <c r="N60" s="317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446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319" t="s">
        <v>2</v>
      </c>
      <c r="D62" s="319" t="s">
        <v>37</v>
      </c>
      <c r="E62" s="319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319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114</v>
      </c>
      <c r="D63" s="322"/>
      <c r="E63" s="320" t="s">
        <v>128</v>
      </c>
      <c r="F63" s="423" t="s">
        <v>402</v>
      </c>
      <c r="G63" s="424"/>
      <c r="H63" s="424"/>
      <c r="I63" s="424"/>
      <c r="J63" s="424"/>
      <c r="K63" s="424" t="s">
        <v>218</v>
      </c>
      <c r="L63" s="424"/>
      <c r="M63" s="54" t="s">
        <v>170</v>
      </c>
      <c r="N63" s="424">
        <v>8</v>
      </c>
      <c r="O63" s="424"/>
      <c r="P63" s="425">
        <v>50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114</v>
      </c>
      <c r="D64" s="322"/>
      <c r="E64" s="320" t="s">
        <v>120</v>
      </c>
      <c r="F64" s="423" t="s">
        <v>366</v>
      </c>
      <c r="G64" s="424"/>
      <c r="H64" s="424"/>
      <c r="I64" s="424"/>
      <c r="J64" s="424"/>
      <c r="K64" s="424" t="s">
        <v>139</v>
      </c>
      <c r="L64" s="424"/>
      <c r="M64" s="54" t="s">
        <v>447</v>
      </c>
      <c r="N64" s="424">
        <v>4</v>
      </c>
      <c r="O64" s="424"/>
      <c r="P64" s="425">
        <v>20</v>
      </c>
      <c r="Q64" s="425"/>
      <c r="R64" s="406" t="s">
        <v>448</v>
      </c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/>
      <c r="D65" s="322"/>
      <c r="E65" s="320"/>
      <c r="F65" s="423"/>
      <c r="G65" s="424"/>
      <c r="H65" s="424"/>
      <c r="I65" s="424"/>
      <c r="J65" s="424"/>
      <c r="K65" s="424"/>
      <c r="L65" s="424"/>
      <c r="M65" s="54"/>
      <c r="N65" s="424"/>
      <c r="O65" s="424"/>
      <c r="P65" s="425"/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322"/>
      <c r="E66" s="320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322"/>
      <c r="E67" s="320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322"/>
      <c r="E68" s="320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322"/>
      <c r="E69" s="320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322"/>
      <c r="E70" s="320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449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321" t="s">
        <v>2</v>
      </c>
      <c r="D72" s="321" t="s">
        <v>37</v>
      </c>
      <c r="E72" s="321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323" t="s">
        <v>114</v>
      </c>
      <c r="D73" s="323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322"/>
      <c r="D74" s="322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322"/>
      <c r="D75" s="322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322"/>
      <c r="D76" s="322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322"/>
      <c r="D77" s="322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322"/>
      <c r="D78" s="322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322"/>
      <c r="D79" s="322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322"/>
      <c r="D80" s="322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322"/>
      <c r="D81" s="322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450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6BAE-BF9B-4FFC-8C1E-CBD39ADEF8C0}">
  <sheetPr>
    <pageSetUpPr fitToPage="1"/>
  </sheetPr>
  <dimension ref="A1:AF86"/>
  <sheetViews>
    <sheetView topLeftCell="A43" zoomScale="72" zoomScaleNormal="72" zoomScaleSheetLayoutView="70" workbookViewId="0">
      <selection activeCell="C65" sqref="C65:Q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451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334" t="s">
        <v>17</v>
      </c>
      <c r="L5" s="334" t="s">
        <v>18</v>
      </c>
      <c r="M5" s="334" t="s">
        <v>19</v>
      </c>
      <c r="N5" s="33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0.5444444444444444</v>
      </c>
      <c r="AF6" s="93">
        <f t="shared" ref="AF6:AF20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0.5444444444444444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345</v>
      </c>
      <c r="F8" s="33" t="s">
        <v>122</v>
      </c>
      <c r="G8" s="36">
        <v>4</v>
      </c>
      <c r="H8" s="38">
        <v>25</v>
      </c>
      <c r="I8" s="7">
        <v>400000</v>
      </c>
      <c r="J8" s="5">
        <v>16844</v>
      </c>
      <c r="K8" s="15">
        <f>L8+16608</f>
        <v>33452</v>
      </c>
      <c r="L8" s="15">
        <f>2435*4+1776*4</f>
        <v>16844</v>
      </c>
      <c r="M8" s="16">
        <f t="shared" si="0"/>
        <v>16844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>
        <v>2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9">
        <f t="shared" si="7"/>
        <v>0.5444444444444444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173</v>
      </c>
      <c r="E9" s="57" t="s">
        <v>445</v>
      </c>
      <c r="F9" s="33" t="s">
        <v>122</v>
      </c>
      <c r="G9" s="36">
        <v>1</v>
      </c>
      <c r="H9" s="38">
        <v>24</v>
      </c>
      <c r="I9" s="7">
        <v>20000</v>
      </c>
      <c r="J9" s="14">
        <v>3108</v>
      </c>
      <c r="K9" s="15">
        <f>L9</f>
        <v>3108</v>
      </c>
      <c r="L9" s="15">
        <f>631+2477</f>
        <v>3108</v>
      </c>
      <c r="M9" s="16">
        <f t="shared" si="0"/>
        <v>3108</v>
      </c>
      <c r="N9" s="16">
        <v>0</v>
      </c>
      <c r="O9" s="62">
        <f t="shared" si="1"/>
        <v>0</v>
      </c>
      <c r="P9" s="42">
        <f t="shared" si="2"/>
        <v>16</v>
      </c>
      <c r="Q9" s="43">
        <f t="shared" si="3"/>
        <v>8</v>
      </c>
      <c r="R9" s="7"/>
      <c r="S9" s="6">
        <v>8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0.66666666666666663</v>
      </c>
      <c r="AD9" s="10">
        <f t="shared" si="6"/>
        <v>0.66666666666666663</v>
      </c>
      <c r="AE9" s="39">
        <f t="shared" si="7"/>
        <v>0.5444444444444444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358</v>
      </c>
      <c r="F10" s="12" t="s">
        <v>122</v>
      </c>
      <c r="G10" s="12">
        <v>4</v>
      </c>
      <c r="H10" s="13">
        <v>25</v>
      </c>
      <c r="I10" s="7">
        <v>400000</v>
      </c>
      <c r="J10" s="14">
        <v>26072</v>
      </c>
      <c r="K10" s="15">
        <f>L10+23776</f>
        <v>49848</v>
      </c>
      <c r="L10" s="15">
        <f>3299*4+3219*4</f>
        <v>26072</v>
      </c>
      <c r="M10" s="16">
        <f t="shared" si="0"/>
        <v>26072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0.5444444444444444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126</v>
      </c>
      <c r="D11" s="55" t="s">
        <v>121</v>
      </c>
      <c r="E11" s="57" t="s">
        <v>420</v>
      </c>
      <c r="F11" s="12" t="s">
        <v>421</v>
      </c>
      <c r="G11" s="12">
        <v>1</v>
      </c>
      <c r="H11" s="13">
        <v>25</v>
      </c>
      <c r="I11" s="7">
        <v>35000</v>
      </c>
      <c r="J11" s="14">
        <v>5863</v>
      </c>
      <c r="K11" s="15">
        <f>L11+3530+5736+6036</f>
        <v>21165</v>
      </c>
      <c r="L11" s="15">
        <f>2883+2980</f>
        <v>5863</v>
      </c>
      <c r="M11" s="16">
        <f t="shared" si="0"/>
        <v>5863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0.5444444444444444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394</v>
      </c>
      <c r="F12" s="33" t="s">
        <v>144</v>
      </c>
      <c r="G12" s="36">
        <v>1</v>
      </c>
      <c r="H12" s="38">
        <v>24</v>
      </c>
      <c r="I12" s="7">
        <v>35000</v>
      </c>
      <c r="J12" s="14">
        <v>3991</v>
      </c>
      <c r="K12" s="15">
        <f>L12+2181+2158+5261+5417+5567</f>
        <v>24575</v>
      </c>
      <c r="L12" s="15">
        <f>1417+2574</f>
        <v>3991</v>
      </c>
      <c r="M12" s="16">
        <f t="shared" si="0"/>
        <v>3991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>
        <v>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9">
        <f t="shared" si="7"/>
        <v>0.5444444444444444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211</v>
      </c>
      <c r="E13" s="57" t="s">
        <v>210</v>
      </c>
      <c r="F13" s="12" t="s">
        <v>212</v>
      </c>
      <c r="G13" s="12">
        <v>4</v>
      </c>
      <c r="H13" s="13">
        <v>25</v>
      </c>
      <c r="I13" s="7">
        <v>30000</v>
      </c>
      <c r="J13" s="14">
        <v>10540</v>
      </c>
      <c r="K13" s="15">
        <f>L13+22420+10540</f>
        <v>32960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0.5444444444444444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204</v>
      </c>
      <c r="D14" s="55" t="s">
        <v>117</v>
      </c>
      <c r="E14" s="57" t="s">
        <v>317</v>
      </c>
      <c r="F14" s="33" t="s">
        <v>325</v>
      </c>
      <c r="G14" s="36">
        <v>1</v>
      </c>
      <c r="H14" s="38">
        <v>25</v>
      </c>
      <c r="I14" s="7">
        <v>500</v>
      </c>
      <c r="J14" s="5">
        <v>308</v>
      </c>
      <c r="K14" s="15">
        <f>L14+204+308</f>
        <v>512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0.5444444444444444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27965</v>
      </c>
      <c r="K15" s="15">
        <f>L15+32805+66430+67599+62860+19229+27965</f>
        <v>276888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0.5444444444444444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120</v>
      </c>
      <c r="E16" s="57" t="s">
        <v>339</v>
      </c>
      <c r="F16" s="33" t="s">
        <v>199</v>
      </c>
      <c r="G16" s="36">
        <v>1</v>
      </c>
      <c r="H16" s="38">
        <v>24</v>
      </c>
      <c r="I16" s="7">
        <v>35000</v>
      </c>
      <c r="J16" s="5">
        <v>4272</v>
      </c>
      <c r="K16" s="15">
        <f>L16+4512+3969+4406+3892+1774+3617+2504+3561</f>
        <v>32507</v>
      </c>
      <c r="L16" s="15">
        <f>1754+2518</f>
        <v>4272</v>
      </c>
      <c r="M16" s="16">
        <f t="shared" si="0"/>
        <v>4272</v>
      </c>
      <c r="N16" s="16">
        <v>0</v>
      </c>
      <c r="O16" s="62">
        <f t="shared" si="1"/>
        <v>0</v>
      </c>
      <c r="P16" s="42">
        <f t="shared" si="2"/>
        <v>21</v>
      </c>
      <c r="Q16" s="43">
        <f t="shared" si="3"/>
        <v>3</v>
      </c>
      <c r="R16" s="7"/>
      <c r="S16" s="6">
        <v>3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0.875</v>
      </c>
      <c r="AD16" s="10">
        <f t="shared" si="6"/>
        <v>0.875</v>
      </c>
      <c r="AE16" s="39">
        <f t="shared" si="7"/>
        <v>0.5444444444444444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359</v>
      </c>
      <c r="F17" s="12" t="s">
        <v>149</v>
      </c>
      <c r="G17" s="12">
        <v>4</v>
      </c>
      <c r="H17" s="13">
        <v>24</v>
      </c>
      <c r="I17" s="34">
        <v>400000</v>
      </c>
      <c r="J17" s="14">
        <v>21928</v>
      </c>
      <c r="K17" s="15">
        <f>L17+19964</f>
        <v>41892</v>
      </c>
      <c r="L17" s="15">
        <f>3097*4+2385*4</f>
        <v>21928</v>
      </c>
      <c r="M17" s="16">
        <f t="shared" si="0"/>
        <v>21928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0.5444444444444444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441</v>
      </c>
      <c r="F18" s="12" t="s">
        <v>144</v>
      </c>
      <c r="G18" s="36">
        <v>4</v>
      </c>
      <c r="H18" s="38">
        <v>24</v>
      </c>
      <c r="I18" s="7">
        <v>400000</v>
      </c>
      <c r="J18" s="5">
        <v>14384</v>
      </c>
      <c r="K18" s="15">
        <f>L18+12380</f>
        <v>26764</v>
      </c>
      <c r="L18" s="15">
        <f>2862*4+734*4</f>
        <v>14384</v>
      </c>
      <c r="M18" s="16">
        <f t="shared" si="0"/>
        <v>14384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0.5444444444444444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126</v>
      </c>
      <c r="D19" s="55" t="s">
        <v>117</v>
      </c>
      <c r="E19" s="57" t="s">
        <v>247</v>
      </c>
      <c r="F19" s="12" t="s">
        <v>144</v>
      </c>
      <c r="G19" s="36">
        <v>1</v>
      </c>
      <c r="H19" s="13">
        <v>24</v>
      </c>
      <c r="I19" s="7">
        <v>20000</v>
      </c>
      <c r="J19" s="14">
        <v>5003</v>
      </c>
      <c r="K19" s="15">
        <f>L19+1901+4853+5354</f>
        <v>17111</v>
      </c>
      <c r="L19" s="15">
        <f>2354+2649</f>
        <v>5003</v>
      </c>
      <c r="M19" s="16">
        <f t="shared" si="0"/>
        <v>5003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0.5444444444444444</v>
      </c>
      <c r="AF19" s="93">
        <f t="shared" si="8"/>
        <v>14</v>
      </c>
    </row>
    <row r="20" spans="1:32" ht="27" customHeight="1" thickBot="1">
      <c r="A20" s="109">
        <v>15</v>
      </c>
      <c r="B20" s="11" t="s">
        <v>57</v>
      </c>
      <c r="C20" s="11" t="s">
        <v>115</v>
      </c>
      <c r="D20" s="55"/>
      <c r="E20" s="56" t="s">
        <v>154</v>
      </c>
      <c r="F20" s="12" t="s">
        <v>116</v>
      </c>
      <c r="G20" s="12">
        <v>4</v>
      </c>
      <c r="H20" s="38">
        <v>20</v>
      </c>
      <c r="I20" s="7">
        <v>300000</v>
      </c>
      <c r="J20" s="14">
        <v>10476</v>
      </c>
      <c r="K20" s="15">
        <f>L20+39648+30712+45256+43600+10476</f>
        <v>169692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>
        <v>24</v>
      </c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0.5444444444444444</v>
      </c>
      <c r="AF20" s="93">
        <f t="shared" si="8"/>
        <v>15</v>
      </c>
    </row>
    <row r="21" spans="1:32" ht="31.5" customHeight="1" thickBot="1">
      <c r="A21" s="372" t="s">
        <v>34</v>
      </c>
      <c r="B21" s="373"/>
      <c r="C21" s="373"/>
      <c r="D21" s="373"/>
      <c r="E21" s="373"/>
      <c r="F21" s="373"/>
      <c r="G21" s="373"/>
      <c r="H21" s="374"/>
      <c r="I21" s="25">
        <f t="shared" ref="I21:N21" si="9">SUM(I6:I20)</f>
        <v>2175500</v>
      </c>
      <c r="J21" s="22">
        <f t="shared" si="9"/>
        <v>150754</v>
      </c>
      <c r="K21" s="23">
        <f t="shared" si="9"/>
        <v>730474</v>
      </c>
      <c r="L21" s="24">
        <f t="shared" si="9"/>
        <v>101465</v>
      </c>
      <c r="M21" s="23">
        <f t="shared" si="9"/>
        <v>101465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196</v>
      </c>
      <c r="Q21" s="46">
        <f t="shared" si="10"/>
        <v>164</v>
      </c>
      <c r="R21" s="26">
        <f t="shared" si="10"/>
        <v>24</v>
      </c>
      <c r="S21" s="27">
        <f t="shared" si="10"/>
        <v>20</v>
      </c>
      <c r="T21" s="27">
        <f t="shared" si="10"/>
        <v>0</v>
      </c>
      <c r="U21" s="27">
        <f t="shared" si="10"/>
        <v>0</v>
      </c>
      <c r="V21" s="28">
        <f t="shared" si="10"/>
        <v>24</v>
      </c>
      <c r="W21" s="29">
        <f t="shared" si="10"/>
        <v>96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</v>
      </c>
      <c r="AC21" s="4">
        <f>SUM(AC6:AC20)/15</f>
        <v>0.5444444444444444</v>
      </c>
      <c r="AD21" s="4">
        <f>SUM(AD6:AD20)/15</f>
        <v>0.5444444444444444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4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5" t="s">
        <v>45</v>
      </c>
      <c r="B48" s="375"/>
      <c r="C48" s="375"/>
      <c r="D48" s="375"/>
      <c r="E48" s="375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6" t="s">
        <v>452</v>
      </c>
      <c r="B49" s="377"/>
      <c r="C49" s="377"/>
      <c r="D49" s="377"/>
      <c r="E49" s="377"/>
      <c r="F49" s="377"/>
      <c r="G49" s="377"/>
      <c r="H49" s="377"/>
      <c r="I49" s="377"/>
      <c r="J49" s="377"/>
      <c r="K49" s="377"/>
      <c r="L49" s="377"/>
      <c r="M49" s="378"/>
      <c r="N49" s="379" t="s">
        <v>459</v>
      </c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1"/>
    </row>
    <row r="50" spans="1:32" ht="27" customHeight="1">
      <c r="A50" s="382" t="s">
        <v>2</v>
      </c>
      <c r="B50" s="383"/>
      <c r="C50" s="333" t="s">
        <v>46</v>
      </c>
      <c r="D50" s="333" t="s">
        <v>47</v>
      </c>
      <c r="E50" s="333" t="s">
        <v>108</v>
      </c>
      <c r="F50" s="383" t="s">
        <v>107</v>
      </c>
      <c r="G50" s="383"/>
      <c r="H50" s="383"/>
      <c r="I50" s="383"/>
      <c r="J50" s="383"/>
      <c r="K50" s="383"/>
      <c r="L50" s="383"/>
      <c r="M50" s="384"/>
      <c r="N50" s="73" t="s">
        <v>112</v>
      </c>
      <c r="O50" s="333" t="s">
        <v>46</v>
      </c>
      <c r="P50" s="385" t="s">
        <v>47</v>
      </c>
      <c r="Q50" s="386"/>
      <c r="R50" s="385" t="s">
        <v>38</v>
      </c>
      <c r="S50" s="387"/>
      <c r="T50" s="387"/>
      <c r="U50" s="386"/>
      <c r="V50" s="385" t="s">
        <v>48</v>
      </c>
      <c r="W50" s="387"/>
      <c r="X50" s="387"/>
      <c r="Y50" s="387"/>
      <c r="Z50" s="387"/>
      <c r="AA50" s="387"/>
      <c r="AB50" s="387"/>
      <c r="AC50" s="387"/>
      <c r="AD50" s="388"/>
    </row>
    <row r="51" spans="1:32" ht="27" customHeight="1">
      <c r="A51" s="399" t="s">
        <v>126</v>
      </c>
      <c r="B51" s="400"/>
      <c r="C51" s="330" t="s">
        <v>191</v>
      </c>
      <c r="D51" s="330" t="s">
        <v>120</v>
      </c>
      <c r="E51" s="330" t="s">
        <v>332</v>
      </c>
      <c r="F51" s="401" t="s">
        <v>368</v>
      </c>
      <c r="G51" s="402"/>
      <c r="H51" s="402"/>
      <c r="I51" s="402"/>
      <c r="J51" s="402"/>
      <c r="K51" s="402"/>
      <c r="L51" s="402"/>
      <c r="M51" s="403"/>
      <c r="N51" s="329" t="s">
        <v>126</v>
      </c>
      <c r="O51" s="124" t="s">
        <v>230</v>
      </c>
      <c r="P51" s="404" t="s">
        <v>117</v>
      </c>
      <c r="Q51" s="405"/>
      <c r="R51" s="400" t="s">
        <v>379</v>
      </c>
      <c r="S51" s="400"/>
      <c r="T51" s="400"/>
      <c r="U51" s="400"/>
      <c r="V51" s="406" t="s">
        <v>146</v>
      </c>
      <c r="W51" s="406"/>
      <c r="X51" s="406"/>
      <c r="Y51" s="406"/>
      <c r="Z51" s="406"/>
      <c r="AA51" s="406"/>
      <c r="AB51" s="406"/>
      <c r="AC51" s="406"/>
      <c r="AD51" s="407"/>
    </row>
    <row r="52" spans="1:32" ht="27" customHeight="1">
      <c r="A52" s="399" t="s">
        <v>114</v>
      </c>
      <c r="B52" s="400"/>
      <c r="C52" s="330" t="s">
        <v>130</v>
      </c>
      <c r="D52" s="330" t="s">
        <v>173</v>
      </c>
      <c r="E52" s="330" t="s">
        <v>445</v>
      </c>
      <c r="F52" s="401" t="s">
        <v>453</v>
      </c>
      <c r="G52" s="402"/>
      <c r="H52" s="402"/>
      <c r="I52" s="402"/>
      <c r="J52" s="402"/>
      <c r="K52" s="402"/>
      <c r="L52" s="402"/>
      <c r="M52" s="403"/>
      <c r="N52" s="329" t="s">
        <v>118</v>
      </c>
      <c r="O52" s="124" t="s">
        <v>137</v>
      </c>
      <c r="P52" s="404" t="s">
        <v>460</v>
      </c>
      <c r="Q52" s="405"/>
      <c r="R52" s="400" t="s">
        <v>461</v>
      </c>
      <c r="S52" s="400"/>
      <c r="T52" s="400"/>
      <c r="U52" s="400"/>
      <c r="V52" s="406" t="s">
        <v>119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126</v>
      </c>
      <c r="B53" s="400"/>
      <c r="C53" s="330" t="s">
        <v>454</v>
      </c>
      <c r="D53" s="330" t="s">
        <v>131</v>
      </c>
      <c r="E53" s="330" t="s">
        <v>455</v>
      </c>
      <c r="F53" s="401" t="s">
        <v>456</v>
      </c>
      <c r="G53" s="402"/>
      <c r="H53" s="402"/>
      <c r="I53" s="402"/>
      <c r="J53" s="402"/>
      <c r="K53" s="402"/>
      <c r="L53" s="402"/>
      <c r="M53" s="403"/>
      <c r="N53" s="329"/>
      <c r="O53" s="124"/>
      <c r="P53" s="400"/>
      <c r="Q53" s="400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126</v>
      </c>
      <c r="B54" s="400"/>
      <c r="C54" s="330" t="s">
        <v>141</v>
      </c>
      <c r="D54" s="330" t="s">
        <v>128</v>
      </c>
      <c r="E54" s="330" t="s">
        <v>457</v>
      </c>
      <c r="F54" s="401" t="s">
        <v>456</v>
      </c>
      <c r="G54" s="402"/>
      <c r="H54" s="402"/>
      <c r="I54" s="402"/>
      <c r="J54" s="402"/>
      <c r="K54" s="402"/>
      <c r="L54" s="402"/>
      <c r="M54" s="403"/>
      <c r="N54" s="329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126</v>
      </c>
      <c r="B55" s="400"/>
      <c r="C55" s="330" t="s">
        <v>184</v>
      </c>
      <c r="D55" s="330" t="s">
        <v>117</v>
      </c>
      <c r="E55" s="330" t="s">
        <v>311</v>
      </c>
      <c r="F55" s="401" t="s">
        <v>458</v>
      </c>
      <c r="G55" s="402"/>
      <c r="H55" s="402"/>
      <c r="I55" s="402"/>
      <c r="J55" s="402"/>
      <c r="K55" s="402"/>
      <c r="L55" s="402"/>
      <c r="M55" s="403"/>
      <c r="N55" s="329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330"/>
      <c r="D56" s="330"/>
      <c r="E56" s="330"/>
      <c r="F56" s="401"/>
      <c r="G56" s="402"/>
      <c r="H56" s="402"/>
      <c r="I56" s="402"/>
      <c r="J56" s="402"/>
      <c r="K56" s="402"/>
      <c r="L56" s="402"/>
      <c r="M56" s="403"/>
      <c r="N56" s="329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330"/>
      <c r="D57" s="330"/>
      <c r="E57" s="330"/>
      <c r="F57" s="406"/>
      <c r="G57" s="406"/>
      <c r="H57" s="406"/>
      <c r="I57" s="406"/>
      <c r="J57" s="406"/>
      <c r="K57" s="406"/>
      <c r="L57" s="406"/>
      <c r="M57" s="407"/>
      <c r="N57" s="329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330"/>
      <c r="D58" s="330"/>
      <c r="E58" s="330"/>
      <c r="F58" s="406"/>
      <c r="G58" s="406"/>
      <c r="H58" s="406"/>
      <c r="I58" s="406"/>
      <c r="J58" s="406"/>
      <c r="K58" s="406"/>
      <c r="L58" s="406"/>
      <c r="M58" s="407"/>
      <c r="N58" s="329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330"/>
      <c r="D59" s="330"/>
      <c r="E59" s="330"/>
      <c r="F59" s="406"/>
      <c r="G59" s="406"/>
      <c r="H59" s="406"/>
      <c r="I59" s="406"/>
      <c r="J59" s="406"/>
      <c r="K59" s="406"/>
      <c r="L59" s="406"/>
      <c r="M59" s="407"/>
      <c r="N59" s="329"/>
      <c r="O59" s="124"/>
      <c r="P59" s="400"/>
      <c r="Q59" s="400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  <c r="AF59" s="93">
        <f>8*3000</f>
        <v>24000</v>
      </c>
    </row>
    <row r="60" spans="1:32" ht="27" customHeight="1" thickBot="1">
      <c r="A60" s="408"/>
      <c r="B60" s="409"/>
      <c r="C60" s="332"/>
      <c r="D60" s="332"/>
      <c r="E60" s="332"/>
      <c r="F60" s="410"/>
      <c r="G60" s="410"/>
      <c r="H60" s="410"/>
      <c r="I60" s="410"/>
      <c r="J60" s="410"/>
      <c r="K60" s="410"/>
      <c r="L60" s="410"/>
      <c r="M60" s="411"/>
      <c r="N60" s="331"/>
      <c r="O60" s="120"/>
      <c r="P60" s="409"/>
      <c r="Q60" s="409"/>
      <c r="R60" s="409"/>
      <c r="S60" s="409"/>
      <c r="T60" s="409"/>
      <c r="U60" s="409"/>
      <c r="V60" s="412"/>
      <c r="W60" s="412"/>
      <c r="X60" s="412"/>
      <c r="Y60" s="412"/>
      <c r="Z60" s="412"/>
      <c r="AA60" s="412"/>
      <c r="AB60" s="412"/>
      <c r="AC60" s="412"/>
      <c r="AD60" s="413"/>
      <c r="AF60" s="93">
        <f>16*3000</f>
        <v>48000</v>
      </c>
    </row>
    <row r="61" spans="1:32" ht="27.75" thickBot="1">
      <c r="A61" s="414" t="s">
        <v>462</v>
      </c>
      <c r="B61" s="414"/>
      <c r="C61" s="414"/>
      <c r="D61" s="414"/>
      <c r="E61" s="41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3">
        <v>24000</v>
      </c>
    </row>
    <row r="62" spans="1:32" ht="29.25" customHeight="1" thickBot="1">
      <c r="A62" s="415" t="s">
        <v>113</v>
      </c>
      <c r="B62" s="416"/>
      <c r="C62" s="328" t="s">
        <v>2</v>
      </c>
      <c r="D62" s="328" t="s">
        <v>37</v>
      </c>
      <c r="E62" s="328" t="s">
        <v>3</v>
      </c>
      <c r="F62" s="416" t="s">
        <v>110</v>
      </c>
      <c r="G62" s="416"/>
      <c r="H62" s="416"/>
      <c r="I62" s="416"/>
      <c r="J62" s="416"/>
      <c r="K62" s="416" t="s">
        <v>39</v>
      </c>
      <c r="L62" s="416"/>
      <c r="M62" s="328" t="s">
        <v>40</v>
      </c>
      <c r="N62" s="416" t="s">
        <v>41</v>
      </c>
      <c r="O62" s="416"/>
      <c r="P62" s="417" t="s">
        <v>42</v>
      </c>
      <c r="Q62" s="418"/>
      <c r="R62" s="417" t="s">
        <v>43</v>
      </c>
      <c r="S62" s="419"/>
      <c r="T62" s="419"/>
      <c r="U62" s="419"/>
      <c r="V62" s="419"/>
      <c r="W62" s="419"/>
      <c r="X62" s="419"/>
      <c r="Y62" s="419"/>
      <c r="Z62" s="419"/>
      <c r="AA62" s="418"/>
      <c r="AB62" s="416" t="s">
        <v>44</v>
      </c>
      <c r="AC62" s="416"/>
      <c r="AD62" s="420"/>
      <c r="AF62" s="93">
        <f>SUM(AF59:AF61)</f>
        <v>96000</v>
      </c>
    </row>
    <row r="63" spans="1:32" ht="25.5" customHeight="1">
      <c r="A63" s="421">
        <v>1</v>
      </c>
      <c r="B63" s="422"/>
      <c r="C63" s="123" t="s">
        <v>126</v>
      </c>
      <c r="D63" s="324"/>
      <c r="E63" s="327" t="s">
        <v>463</v>
      </c>
      <c r="F63" s="423"/>
      <c r="G63" s="424"/>
      <c r="H63" s="424"/>
      <c r="I63" s="424"/>
      <c r="J63" s="424"/>
      <c r="K63" s="424" t="s">
        <v>212</v>
      </c>
      <c r="L63" s="424"/>
      <c r="M63" s="54" t="s">
        <v>170</v>
      </c>
      <c r="N63" s="424">
        <v>8</v>
      </c>
      <c r="O63" s="424"/>
      <c r="P63" s="425">
        <v>200</v>
      </c>
      <c r="Q63" s="425"/>
      <c r="R63" s="406"/>
      <c r="S63" s="406"/>
      <c r="T63" s="406"/>
      <c r="U63" s="406"/>
      <c r="V63" s="406"/>
      <c r="W63" s="406"/>
      <c r="X63" s="406"/>
      <c r="Y63" s="406"/>
      <c r="Z63" s="406"/>
      <c r="AA63" s="406"/>
      <c r="AB63" s="424"/>
      <c r="AC63" s="424"/>
      <c r="AD63" s="426"/>
      <c r="AF63" s="53"/>
    </row>
    <row r="64" spans="1:32" ht="25.5" customHeight="1">
      <c r="A64" s="421">
        <v>2</v>
      </c>
      <c r="B64" s="422"/>
      <c r="C64" s="123" t="s">
        <v>126</v>
      </c>
      <c r="D64" s="324"/>
      <c r="E64" s="327" t="s">
        <v>465</v>
      </c>
      <c r="F64" s="423" t="s">
        <v>464</v>
      </c>
      <c r="G64" s="424"/>
      <c r="H64" s="424"/>
      <c r="I64" s="424"/>
      <c r="J64" s="424"/>
      <c r="K64" s="424" t="s">
        <v>466</v>
      </c>
      <c r="L64" s="424"/>
      <c r="M64" s="54" t="s">
        <v>175</v>
      </c>
      <c r="N64" s="424">
        <v>10</v>
      </c>
      <c r="O64" s="424"/>
      <c r="P64" s="425">
        <v>500</v>
      </c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3</v>
      </c>
      <c r="B65" s="422"/>
      <c r="C65" s="123" t="s">
        <v>126</v>
      </c>
      <c r="D65" s="324"/>
      <c r="E65" s="327" t="s">
        <v>469</v>
      </c>
      <c r="F65" s="423" t="s">
        <v>467</v>
      </c>
      <c r="G65" s="424"/>
      <c r="H65" s="424"/>
      <c r="I65" s="424"/>
      <c r="J65" s="424"/>
      <c r="K65" s="424" t="s">
        <v>144</v>
      </c>
      <c r="L65" s="424"/>
      <c r="M65" s="54" t="s">
        <v>175</v>
      </c>
      <c r="N65" s="424">
        <v>8</v>
      </c>
      <c r="O65" s="424"/>
      <c r="P65" s="425" t="s">
        <v>468</v>
      </c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4</v>
      </c>
      <c r="B66" s="422"/>
      <c r="C66" s="123"/>
      <c r="D66" s="324"/>
      <c r="E66" s="327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5</v>
      </c>
      <c r="B67" s="422"/>
      <c r="C67" s="123"/>
      <c r="D67" s="324"/>
      <c r="E67" s="327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6</v>
      </c>
      <c r="B68" s="422"/>
      <c r="C68" s="123"/>
      <c r="D68" s="324"/>
      <c r="E68" s="327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7</v>
      </c>
      <c r="B69" s="422"/>
      <c r="C69" s="123"/>
      <c r="D69" s="324"/>
      <c r="E69" s="327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8</v>
      </c>
      <c r="B70" s="422"/>
      <c r="C70" s="123"/>
      <c r="D70" s="324"/>
      <c r="E70" s="327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6.25" customHeight="1" thickBot="1">
      <c r="A71" s="427" t="s">
        <v>470</v>
      </c>
      <c r="B71" s="427"/>
      <c r="C71" s="427"/>
      <c r="D71" s="427"/>
      <c r="E71" s="427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8" t="s">
        <v>113</v>
      </c>
      <c r="B72" s="429"/>
      <c r="C72" s="326" t="s">
        <v>2</v>
      </c>
      <c r="D72" s="326" t="s">
        <v>37</v>
      </c>
      <c r="E72" s="326" t="s">
        <v>3</v>
      </c>
      <c r="F72" s="429" t="s">
        <v>38</v>
      </c>
      <c r="G72" s="429"/>
      <c r="H72" s="429"/>
      <c r="I72" s="429"/>
      <c r="J72" s="429"/>
      <c r="K72" s="430" t="s">
        <v>58</v>
      </c>
      <c r="L72" s="431"/>
      <c r="M72" s="431"/>
      <c r="N72" s="431"/>
      <c r="O72" s="431"/>
      <c r="P72" s="431"/>
      <c r="Q72" s="431"/>
      <c r="R72" s="431"/>
      <c r="S72" s="432"/>
      <c r="T72" s="429" t="s">
        <v>49</v>
      </c>
      <c r="U72" s="429"/>
      <c r="V72" s="430" t="s">
        <v>50</v>
      </c>
      <c r="W72" s="432"/>
      <c r="X72" s="431" t="s">
        <v>51</v>
      </c>
      <c r="Y72" s="431"/>
      <c r="Z72" s="431"/>
      <c r="AA72" s="431"/>
      <c r="AB72" s="431"/>
      <c r="AC72" s="431"/>
      <c r="AD72" s="433"/>
      <c r="AF72" s="53"/>
    </row>
    <row r="73" spans="1:32" ht="33.75" customHeight="1">
      <c r="A73" s="442">
        <v>1</v>
      </c>
      <c r="B73" s="443"/>
      <c r="C73" s="325" t="s">
        <v>114</v>
      </c>
      <c r="D73" s="325"/>
      <c r="E73" s="71" t="s">
        <v>133</v>
      </c>
      <c r="F73" s="444" t="s">
        <v>132</v>
      </c>
      <c r="G73" s="445"/>
      <c r="H73" s="445"/>
      <c r="I73" s="445"/>
      <c r="J73" s="446"/>
      <c r="K73" s="447" t="s">
        <v>135</v>
      </c>
      <c r="L73" s="448"/>
      <c r="M73" s="448"/>
      <c r="N73" s="448"/>
      <c r="O73" s="448"/>
      <c r="P73" s="448"/>
      <c r="Q73" s="448"/>
      <c r="R73" s="448"/>
      <c r="S73" s="449"/>
      <c r="T73" s="450">
        <v>43384</v>
      </c>
      <c r="U73" s="451"/>
      <c r="V73" s="452"/>
      <c r="W73" s="452"/>
      <c r="X73" s="453"/>
      <c r="Y73" s="453"/>
      <c r="Z73" s="453"/>
      <c r="AA73" s="453"/>
      <c r="AB73" s="453"/>
      <c r="AC73" s="453"/>
      <c r="AD73" s="454"/>
      <c r="AF73" s="53"/>
    </row>
    <row r="74" spans="1:32" ht="30" customHeight="1">
      <c r="A74" s="434">
        <f>A73+1</f>
        <v>2</v>
      </c>
      <c r="B74" s="435"/>
      <c r="C74" s="324"/>
      <c r="D74" s="324"/>
      <c r="E74" s="35"/>
      <c r="F74" s="435"/>
      <c r="G74" s="435"/>
      <c r="H74" s="435"/>
      <c r="I74" s="435"/>
      <c r="J74" s="435"/>
      <c r="K74" s="436"/>
      <c r="L74" s="437"/>
      <c r="M74" s="437"/>
      <c r="N74" s="437"/>
      <c r="O74" s="437"/>
      <c r="P74" s="437"/>
      <c r="Q74" s="437"/>
      <c r="R74" s="437"/>
      <c r="S74" s="438"/>
      <c r="T74" s="439"/>
      <c r="U74" s="439"/>
      <c r="V74" s="439"/>
      <c r="W74" s="439"/>
      <c r="X74" s="440"/>
      <c r="Y74" s="440"/>
      <c r="Z74" s="440"/>
      <c r="AA74" s="440"/>
      <c r="AB74" s="440"/>
      <c r="AC74" s="440"/>
      <c r="AD74" s="441"/>
      <c r="AF74" s="53"/>
    </row>
    <row r="75" spans="1:32" ht="30" customHeight="1">
      <c r="A75" s="434">
        <f t="shared" ref="A75:A81" si="11">A74+1</f>
        <v>3</v>
      </c>
      <c r="B75" s="435"/>
      <c r="C75" s="324"/>
      <c r="D75" s="324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si="11"/>
        <v>4</v>
      </c>
      <c r="B76" s="435"/>
      <c r="C76" s="324"/>
      <c r="D76" s="324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5</v>
      </c>
      <c r="B77" s="435"/>
      <c r="C77" s="324"/>
      <c r="D77" s="324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6</v>
      </c>
      <c r="B78" s="435"/>
      <c r="C78" s="324"/>
      <c r="D78" s="324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7</v>
      </c>
      <c r="B79" s="435"/>
      <c r="C79" s="324"/>
      <c r="D79" s="324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8</v>
      </c>
      <c r="B80" s="435"/>
      <c r="C80" s="324"/>
      <c r="D80" s="324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9</v>
      </c>
      <c r="B81" s="435"/>
      <c r="C81" s="324"/>
      <c r="D81" s="324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6" thickBot="1">
      <c r="A82" s="427" t="s">
        <v>471</v>
      </c>
      <c r="B82" s="427"/>
      <c r="C82" s="427"/>
      <c r="D82" s="427"/>
      <c r="E82" s="427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8" t="s">
        <v>113</v>
      </c>
      <c r="B83" s="429"/>
      <c r="C83" s="455" t="s">
        <v>52</v>
      </c>
      <c r="D83" s="455"/>
      <c r="E83" s="455" t="s">
        <v>53</v>
      </c>
      <c r="F83" s="455"/>
      <c r="G83" s="455"/>
      <c r="H83" s="455"/>
      <c r="I83" s="455"/>
      <c r="J83" s="455"/>
      <c r="K83" s="455" t="s">
        <v>54</v>
      </c>
      <c r="L83" s="455"/>
      <c r="M83" s="455"/>
      <c r="N83" s="455"/>
      <c r="O83" s="455"/>
      <c r="P83" s="455"/>
      <c r="Q83" s="455"/>
      <c r="R83" s="455"/>
      <c r="S83" s="455"/>
      <c r="T83" s="455" t="s">
        <v>55</v>
      </c>
      <c r="U83" s="455"/>
      <c r="V83" s="455" t="s">
        <v>56</v>
      </c>
      <c r="W83" s="455"/>
      <c r="X83" s="455"/>
      <c r="Y83" s="455" t="s">
        <v>51</v>
      </c>
      <c r="Z83" s="455"/>
      <c r="AA83" s="455"/>
      <c r="AB83" s="455"/>
      <c r="AC83" s="455"/>
      <c r="AD83" s="456"/>
      <c r="AF83" s="53"/>
    </row>
    <row r="84" spans="1:32" ht="30.75" customHeight="1">
      <c r="A84" s="442">
        <v>1</v>
      </c>
      <c r="B84" s="443"/>
      <c r="C84" s="457"/>
      <c r="D84" s="457"/>
      <c r="E84" s="457"/>
      <c r="F84" s="457"/>
      <c r="G84" s="457"/>
      <c r="H84" s="457"/>
      <c r="I84" s="457"/>
      <c r="J84" s="457"/>
      <c r="K84" s="457"/>
      <c r="L84" s="457"/>
      <c r="M84" s="457"/>
      <c r="N84" s="457"/>
      <c r="O84" s="457"/>
      <c r="P84" s="457"/>
      <c r="Q84" s="457"/>
      <c r="R84" s="457"/>
      <c r="S84" s="457"/>
      <c r="T84" s="457"/>
      <c r="U84" s="457"/>
      <c r="V84" s="458"/>
      <c r="W84" s="458"/>
      <c r="X84" s="458"/>
      <c r="Y84" s="459"/>
      <c r="Z84" s="459"/>
      <c r="AA84" s="459"/>
      <c r="AB84" s="459"/>
      <c r="AC84" s="459"/>
      <c r="AD84" s="460"/>
      <c r="AF84" s="53"/>
    </row>
    <row r="85" spans="1:32" ht="30.75" customHeight="1">
      <c r="A85" s="434">
        <v>2</v>
      </c>
      <c r="B85" s="435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9"/>
      <c r="U85" s="469"/>
      <c r="V85" s="470"/>
      <c r="W85" s="470"/>
      <c r="X85" s="470"/>
      <c r="Y85" s="461"/>
      <c r="Z85" s="461"/>
      <c r="AA85" s="461"/>
      <c r="AB85" s="461"/>
      <c r="AC85" s="461"/>
      <c r="AD85" s="462"/>
      <c r="AF85" s="53"/>
    </row>
    <row r="86" spans="1:32" ht="30.75" customHeight="1" thickBot="1">
      <c r="A86" s="463">
        <v>3</v>
      </c>
      <c r="B86" s="464"/>
      <c r="C86" s="465"/>
      <c r="D86" s="465"/>
      <c r="E86" s="465"/>
      <c r="F86" s="465"/>
      <c r="G86" s="465"/>
      <c r="H86" s="465"/>
      <c r="I86" s="465"/>
      <c r="J86" s="465"/>
      <c r="K86" s="465"/>
      <c r="L86" s="465"/>
      <c r="M86" s="465"/>
      <c r="N86" s="465"/>
      <c r="O86" s="465"/>
      <c r="P86" s="465"/>
      <c r="Q86" s="465"/>
      <c r="R86" s="465"/>
      <c r="S86" s="465"/>
      <c r="T86" s="465"/>
      <c r="U86" s="465"/>
      <c r="V86" s="465"/>
      <c r="W86" s="465"/>
      <c r="X86" s="465"/>
      <c r="Y86" s="466"/>
      <c r="Z86" s="466"/>
      <c r="AA86" s="466"/>
      <c r="AB86" s="466"/>
      <c r="AC86" s="466"/>
      <c r="AD86" s="467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40C5-E1DA-495C-8F5E-7D0C3F4788E9}">
  <sheetPr>
    <pageSetUpPr fitToPage="1"/>
  </sheetPr>
  <dimension ref="A1:AF88"/>
  <sheetViews>
    <sheetView topLeftCell="A43"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472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335" t="s">
        <v>17</v>
      </c>
      <c r="L5" s="335" t="s">
        <v>18</v>
      </c>
      <c r="M5" s="335" t="s">
        <v>19</v>
      </c>
      <c r="N5" s="3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0.58424445332800323</v>
      </c>
      <c r="AF6" s="93">
        <f t="shared" ref="AF6:AF22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0.58424445332800323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345</v>
      </c>
      <c r="F8" s="33" t="s">
        <v>122</v>
      </c>
      <c r="G8" s="36">
        <v>4</v>
      </c>
      <c r="H8" s="38">
        <v>25</v>
      </c>
      <c r="I8" s="7">
        <v>400000</v>
      </c>
      <c r="J8" s="5">
        <v>19920</v>
      </c>
      <c r="K8" s="15">
        <f>L8+16608+16844</f>
        <v>53372</v>
      </c>
      <c r="L8" s="15">
        <f>3218*4+1762*4</f>
        <v>19920</v>
      </c>
      <c r="M8" s="16">
        <f t="shared" si="0"/>
        <v>19920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>
        <v>2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9">
        <f t="shared" si="7"/>
        <v>0.58424445332800323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173</v>
      </c>
      <c r="E9" s="57" t="s">
        <v>445</v>
      </c>
      <c r="F9" s="33" t="s">
        <v>122</v>
      </c>
      <c r="G9" s="36">
        <v>1</v>
      </c>
      <c r="H9" s="38">
        <v>24</v>
      </c>
      <c r="I9" s="7">
        <v>20000</v>
      </c>
      <c r="J9" s="14">
        <v>2014</v>
      </c>
      <c r="K9" s="15">
        <f>L9+3108</f>
        <v>5122</v>
      </c>
      <c r="L9" s="15">
        <v>2014</v>
      </c>
      <c r="M9" s="16">
        <f t="shared" si="0"/>
        <v>2014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/>
      <c r="W9" s="19">
        <v>14</v>
      </c>
      <c r="X9" s="17"/>
      <c r="Y9" s="20"/>
      <c r="Z9" s="20"/>
      <c r="AA9" s="21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9">
        <f t="shared" si="7"/>
        <v>0.58424445332800323</v>
      </c>
      <c r="AF9" s="93">
        <f t="shared" si="8"/>
        <v>4</v>
      </c>
    </row>
    <row r="10" spans="1:32" ht="27" customHeight="1">
      <c r="A10" s="109">
        <v>4</v>
      </c>
      <c r="B10" s="11" t="s">
        <v>57</v>
      </c>
      <c r="C10" s="11" t="s">
        <v>114</v>
      </c>
      <c r="D10" s="55" t="s">
        <v>173</v>
      </c>
      <c r="E10" s="57" t="s">
        <v>440</v>
      </c>
      <c r="F10" s="33" t="s">
        <v>122</v>
      </c>
      <c r="G10" s="36">
        <v>1</v>
      </c>
      <c r="H10" s="38">
        <v>24</v>
      </c>
      <c r="I10" s="7">
        <v>16000</v>
      </c>
      <c r="J10" s="14">
        <v>1505</v>
      </c>
      <c r="K10" s="15">
        <f>L10</f>
        <v>1505</v>
      </c>
      <c r="L10" s="15">
        <v>1505</v>
      </c>
      <c r="M10" s="16">
        <f t="shared" ref="M10" si="9">L10-N10</f>
        <v>1505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9</v>
      </c>
      <c r="Q10" s="43">
        <f t="shared" ref="Q10" si="12">SUM(R10:AA10)</f>
        <v>15</v>
      </c>
      <c r="R10" s="7"/>
      <c r="S10" s="6">
        <v>3</v>
      </c>
      <c r="T10" s="17">
        <v>12</v>
      </c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0.375</v>
      </c>
      <c r="AD10" s="10">
        <f t="shared" ref="AD10" si="15">AC10*AB10*(1-O10)</f>
        <v>0.375</v>
      </c>
      <c r="AE10" s="39">
        <f t="shared" si="7"/>
        <v>0.58424445332800323</v>
      </c>
      <c r="AF10" s="93">
        <f t="shared" ref="AF10" si="16">A10</f>
        <v>4</v>
      </c>
    </row>
    <row r="11" spans="1:32" ht="27" customHeight="1">
      <c r="A11" s="109">
        <v>5</v>
      </c>
      <c r="B11" s="11" t="s">
        <v>57</v>
      </c>
      <c r="C11" s="11" t="s">
        <v>126</v>
      </c>
      <c r="D11" s="55" t="s">
        <v>120</v>
      </c>
      <c r="E11" s="57" t="s">
        <v>358</v>
      </c>
      <c r="F11" s="12" t="s">
        <v>122</v>
      </c>
      <c r="G11" s="12">
        <v>4</v>
      </c>
      <c r="H11" s="13">
        <v>25</v>
      </c>
      <c r="I11" s="7">
        <v>400000</v>
      </c>
      <c r="J11" s="14">
        <v>26756</v>
      </c>
      <c r="K11" s="15">
        <f>L11+23776+26072</f>
        <v>76604</v>
      </c>
      <c r="L11" s="15">
        <f>3729*4+2960*4</f>
        <v>26756</v>
      </c>
      <c r="M11" s="16">
        <f t="shared" si="0"/>
        <v>26756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0.58424445332800323</v>
      </c>
      <c r="AF11" s="93">
        <f t="shared" si="8"/>
        <v>5</v>
      </c>
    </row>
    <row r="12" spans="1:32" ht="27" customHeight="1">
      <c r="A12" s="109">
        <v>6</v>
      </c>
      <c r="B12" s="11" t="s">
        <v>57</v>
      </c>
      <c r="C12" s="11" t="s">
        <v>126</v>
      </c>
      <c r="D12" s="55" t="s">
        <v>121</v>
      </c>
      <c r="E12" s="57" t="s">
        <v>420</v>
      </c>
      <c r="F12" s="12" t="s">
        <v>421</v>
      </c>
      <c r="G12" s="12">
        <v>1</v>
      </c>
      <c r="H12" s="13">
        <v>25</v>
      </c>
      <c r="I12" s="7">
        <v>35000</v>
      </c>
      <c r="J12" s="14">
        <v>4843</v>
      </c>
      <c r="K12" s="15">
        <f>L12+3530+5736+6036+5863</f>
        <v>26008</v>
      </c>
      <c r="L12" s="15">
        <f>2108+2735</f>
        <v>4843</v>
      </c>
      <c r="M12" s="16">
        <f t="shared" si="0"/>
        <v>4843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0.58424445332800323</v>
      </c>
      <c r="AF12" s="93">
        <f t="shared" si="8"/>
        <v>6</v>
      </c>
    </row>
    <row r="13" spans="1:32" ht="27" customHeight="1">
      <c r="A13" s="109">
        <v>7</v>
      </c>
      <c r="B13" s="11" t="s">
        <v>57</v>
      </c>
      <c r="C13" s="11" t="s">
        <v>126</v>
      </c>
      <c r="D13" s="55" t="s">
        <v>117</v>
      </c>
      <c r="E13" s="57" t="s">
        <v>394</v>
      </c>
      <c r="F13" s="33" t="s">
        <v>144</v>
      </c>
      <c r="G13" s="36">
        <v>1</v>
      </c>
      <c r="H13" s="38">
        <v>24</v>
      </c>
      <c r="I13" s="7">
        <v>35000</v>
      </c>
      <c r="J13" s="14">
        <v>3627</v>
      </c>
      <c r="K13" s="15">
        <f>L13+2181+2158+5261+5417+5567+3991</f>
        <v>28202</v>
      </c>
      <c r="L13" s="15">
        <v>3627</v>
      </c>
      <c r="M13" s="16">
        <f t="shared" si="0"/>
        <v>3627</v>
      </c>
      <c r="N13" s="16">
        <v>0</v>
      </c>
      <c r="O13" s="62">
        <f t="shared" si="1"/>
        <v>0</v>
      </c>
      <c r="P13" s="42">
        <f t="shared" si="2"/>
        <v>16</v>
      </c>
      <c r="Q13" s="43">
        <f t="shared" si="3"/>
        <v>8</v>
      </c>
      <c r="R13" s="7"/>
      <c r="S13" s="6">
        <v>8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0.66666666666666663</v>
      </c>
      <c r="AD13" s="10">
        <f t="shared" si="6"/>
        <v>0.66666666666666663</v>
      </c>
      <c r="AE13" s="39">
        <f t="shared" si="7"/>
        <v>0.58424445332800323</v>
      </c>
      <c r="AF13" s="93">
        <f t="shared" si="8"/>
        <v>7</v>
      </c>
    </row>
    <row r="14" spans="1:32" ht="27" customHeight="1">
      <c r="A14" s="109">
        <v>8</v>
      </c>
      <c r="B14" s="11" t="s">
        <v>57</v>
      </c>
      <c r="C14" s="11" t="s">
        <v>126</v>
      </c>
      <c r="D14" s="55" t="s">
        <v>211</v>
      </c>
      <c r="E14" s="57" t="s">
        <v>210</v>
      </c>
      <c r="F14" s="12" t="s">
        <v>212</v>
      </c>
      <c r="G14" s="12">
        <v>4</v>
      </c>
      <c r="H14" s="13">
        <v>25</v>
      </c>
      <c r="I14" s="7">
        <v>30000</v>
      </c>
      <c r="J14" s="14">
        <v>10540</v>
      </c>
      <c r="K14" s="15">
        <f>L14+22420+10540</f>
        <v>32960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0.58424445332800323</v>
      </c>
      <c r="AF14" s="93">
        <f t="shared" si="8"/>
        <v>8</v>
      </c>
    </row>
    <row r="15" spans="1:32" ht="27" customHeight="1">
      <c r="A15" s="125">
        <v>9</v>
      </c>
      <c r="B15" s="11" t="s">
        <v>57</v>
      </c>
      <c r="C15" s="37" t="s">
        <v>204</v>
      </c>
      <c r="D15" s="55" t="s">
        <v>117</v>
      </c>
      <c r="E15" s="57" t="s">
        <v>317</v>
      </c>
      <c r="F15" s="33" t="s">
        <v>325</v>
      </c>
      <c r="G15" s="36">
        <v>1</v>
      </c>
      <c r="H15" s="38">
        <v>25</v>
      </c>
      <c r="I15" s="7">
        <v>500</v>
      </c>
      <c r="J15" s="5">
        <v>308</v>
      </c>
      <c r="K15" s="15">
        <f>L15+204+308</f>
        <v>512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0.58424445332800323</v>
      </c>
      <c r="AF15" s="93">
        <f t="shared" si="8"/>
        <v>9</v>
      </c>
    </row>
    <row r="16" spans="1:32" ht="27" customHeight="1">
      <c r="A16" s="108">
        <v>10</v>
      </c>
      <c r="B16" s="11" t="s">
        <v>57</v>
      </c>
      <c r="C16" s="37" t="s">
        <v>188</v>
      </c>
      <c r="D16" s="55" t="s">
        <v>197</v>
      </c>
      <c r="E16" s="57" t="s">
        <v>187</v>
      </c>
      <c r="F16" s="12" t="s">
        <v>198</v>
      </c>
      <c r="G16" s="12">
        <v>1</v>
      </c>
      <c r="H16" s="13">
        <v>24</v>
      </c>
      <c r="I16" s="34">
        <v>100000</v>
      </c>
      <c r="J16" s="14">
        <v>27965</v>
      </c>
      <c r="K16" s="15">
        <f>L16+32805+66430+67599+62860+19229+27965</f>
        <v>276888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0.58424445332800323</v>
      </c>
      <c r="AF16" s="93">
        <f t="shared" si="8"/>
        <v>10</v>
      </c>
    </row>
    <row r="17" spans="1:32" ht="27" customHeight="1">
      <c r="A17" s="108">
        <v>11</v>
      </c>
      <c r="B17" s="11" t="s">
        <v>57</v>
      </c>
      <c r="C17" s="37" t="s">
        <v>126</v>
      </c>
      <c r="D17" s="55" t="s">
        <v>120</v>
      </c>
      <c r="E17" s="57" t="s">
        <v>339</v>
      </c>
      <c r="F17" s="33" t="s">
        <v>199</v>
      </c>
      <c r="G17" s="36">
        <v>1</v>
      </c>
      <c r="H17" s="38">
        <v>24</v>
      </c>
      <c r="I17" s="7">
        <v>35000</v>
      </c>
      <c r="J17" s="5">
        <v>5733</v>
      </c>
      <c r="K17" s="15">
        <f>L17+4512+3969+4406+3892+1774+3617+2504+3561+4272</f>
        <v>38240</v>
      </c>
      <c r="L17" s="15">
        <f>3391+2342</f>
        <v>5733</v>
      </c>
      <c r="M17" s="16">
        <f t="shared" si="0"/>
        <v>5733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0.58424445332800323</v>
      </c>
      <c r="AF17" s="93">
        <f t="shared" si="8"/>
        <v>11</v>
      </c>
    </row>
    <row r="18" spans="1:32" ht="27" customHeight="1">
      <c r="A18" s="108">
        <v>12</v>
      </c>
      <c r="B18" s="11" t="s">
        <v>57</v>
      </c>
      <c r="C18" s="37" t="s">
        <v>126</v>
      </c>
      <c r="D18" s="55" t="s">
        <v>128</v>
      </c>
      <c r="E18" s="57" t="s">
        <v>359</v>
      </c>
      <c r="F18" s="12" t="s">
        <v>149</v>
      </c>
      <c r="G18" s="12">
        <v>4</v>
      </c>
      <c r="H18" s="13">
        <v>24</v>
      </c>
      <c r="I18" s="34">
        <v>400000</v>
      </c>
      <c r="J18" s="14">
        <v>25296</v>
      </c>
      <c r="K18" s="15">
        <f>L18+19964+21928</f>
        <v>67188</v>
      </c>
      <c r="L18" s="15">
        <f>3484*4+2840*4</f>
        <v>25296</v>
      </c>
      <c r="M18" s="16">
        <f t="shared" si="0"/>
        <v>25296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7"/>
        <v>0.58424445332800323</v>
      </c>
      <c r="AF18" s="93">
        <f t="shared" si="8"/>
        <v>12</v>
      </c>
    </row>
    <row r="19" spans="1:32" ht="27" customHeight="1">
      <c r="A19" s="109">
        <v>13</v>
      </c>
      <c r="B19" s="11" t="s">
        <v>57</v>
      </c>
      <c r="C19" s="37" t="s">
        <v>126</v>
      </c>
      <c r="D19" s="55" t="s">
        <v>117</v>
      </c>
      <c r="E19" s="57" t="s">
        <v>441</v>
      </c>
      <c r="F19" s="12" t="s">
        <v>144</v>
      </c>
      <c r="G19" s="36">
        <v>4</v>
      </c>
      <c r="H19" s="38">
        <v>24</v>
      </c>
      <c r="I19" s="7">
        <v>400000</v>
      </c>
      <c r="J19" s="5">
        <v>22568</v>
      </c>
      <c r="K19" s="15">
        <f>L19+12380+14384</f>
        <v>49332</v>
      </c>
      <c r="L19" s="15">
        <f>3115*4+2527*4</f>
        <v>22568</v>
      </c>
      <c r="M19" s="16">
        <f t="shared" si="0"/>
        <v>22568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0.58424445332800323</v>
      </c>
      <c r="AF19" s="93">
        <f t="shared" si="8"/>
        <v>13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120</v>
      </c>
      <c r="E20" s="57" t="s">
        <v>475</v>
      </c>
      <c r="F20" s="12" t="s">
        <v>474</v>
      </c>
      <c r="G20" s="36">
        <v>1</v>
      </c>
      <c r="H20" s="13">
        <v>24</v>
      </c>
      <c r="I20" s="7">
        <v>16000</v>
      </c>
      <c r="J20" s="14">
        <v>5003</v>
      </c>
      <c r="K20" s="15">
        <f>L20</f>
        <v>3970</v>
      </c>
      <c r="L20" s="15">
        <f>1527+2443</f>
        <v>3970</v>
      </c>
      <c r="M20" s="16">
        <f t="shared" ref="M20" si="17">L20-N20</f>
        <v>3970</v>
      </c>
      <c r="N20" s="16">
        <v>0</v>
      </c>
      <c r="O20" s="62">
        <f t="shared" ref="O20" si="18">IF(L20=0,"0",N20/L20)</f>
        <v>0</v>
      </c>
      <c r="P20" s="42">
        <f t="shared" ref="P20" si="19">IF(L20=0,"0",(24-Q20))</f>
        <v>21</v>
      </c>
      <c r="Q20" s="43">
        <f t="shared" ref="Q20" si="20">SUM(R20:AA20)</f>
        <v>3</v>
      </c>
      <c r="R20" s="7"/>
      <c r="S20" s="6">
        <v>3</v>
      </c>
      <c r="T20" s="17"/>
      <c r="U20" s="17"/>
      <c r="V20" s="18"/>
      <c r="W20" s="19"/>
      <c r="X20" s="17"/>
      <c r="Y20" s="20"/>
      <c r="Z20" s="20"/>
      <c r="AA20" s="21"/>
      <c r="AB20" s="8">
        <f t="shared" ref="AB20" si="21">IF(J20=0,"0",(L20/J20))</f>
        <v>0.79352388566859888</v>
      </c>
      <c r="AC20" s="9">
        <f t="shared" ref="AC20" si="22">IF(P20=0,"0",(P20/24))</f>
        <v>0.875</v>
      </c>
      <c r="AD20" s="10">
        <f t="shared" ref="AD20" si="23">AC20*AB20*(1-O20)</f>
        <v>0.69433339996002408</v>
      </c>
      <c r="AE20" s="39">
        <f t="shared" si="7"/>
        <v>0.58424445332800323</v>
      </c>
      <c r="AF20" s="93">
        <f t="shared" ref="AF20" si="24">A20</f>
        <v>14</v>
      </c>
    </row>
    <row r="21" spans="1:32" ht="27" customHeight="1">
      <c r="A21" s="109">
        <v>14</v>
      </c>
      <c r="B21" s="11" t="s">
        <v>57</v>
      </c>
      <c r="C21" s="11" t="s">
        <v>118</v>
      </c>
      <c r="D21" s="55" t="s">
        <v>473</v>
      </c>
      <c r="E21" s="57" t="s">
        <v>476</v>
      </c>
      <c r="F21" s="12" t="s">
        <v>474</v>
      </c>
      <c r="G21" s="36">
        <v>1</v>
      </c>
      <c r="H21" s="13">
        <v>24</v>
      </c>
      <c r="I21" s="7">
        <v>16000</v>
      </c>
      <c r="J21" s="14">
        <v>5003</v>
      </c>
      <c r="K21" s="15">
        <f>L21</f>
        <v>3970</v>
      </c>
      <c r="L21" s="15">
        <v>3970</v>
      </c>
      <c r="M21" s="16">
        <f t="shared" si="0"/>
        <v>3970</v>
      </c>
      <c r="N21" s="16">
        <v>0</v>
      </c>
      <c r="O21" s="62">
        <f t="shared" si="1"/>
        <v>0</v>
      </c>
      <c r="P21" s="42">
        <f t="shared" si="2"/>
        <v>21</v>
      </c>
      <c r="Q21" s="43">
        <f t="shared" si="3"/>
        <v>3</v>
      </c>
      <c r="R21" s="7"/>
      <c r="S21" s="6">
        <v>3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0.79352388566859888</v>
      </c>
      <c r="AC21" s="9">
        <f t="shared" si="5"/>
        <v>0.875</v>
      </c>
      <c r="AD21" s="10">
        <f t="shared" si="6"/>
        <v>0.69433339996002408</v>
      </c>
      <c r="AE21" s="39">
        <f t="shared" si="7"/>
        <v>0.58424445332800323</v>
      </c>
      <c r="AF21" s="93">
        <f t="shared" si="8"/>
        <v>14</v>
      </c>
    </row>
    <row r="22" spans="1:32" ht="27" customHeight="1" thickBot="1">
      <c r="A22" s="109">
        <v>15</v>
      </c>
      <c r="B22" s="11" t="s">
        <v>57</v>
      </c>
      <c r="C22" s="11" t="s">
        <v>115</v>
      </c>
      <c r="D22" s="55"/>
      <c r="E22" s="56" t="s">
        <v>154</v>
      </c>
      <c r="F22" s="12" t="s">
        <v>116</v>
      </c>
      <c r="G22" s="12">
        <v>4</v>
      </c>
      <c r="H22" s="38">
        <v>20</v>
      </c>
      <c r="I22" s="7">
        <v>300000</v>
      </c>
      <c r="J22" s="14">
        <v>10476</v>
      </c>
      <c r="K22" s="15">
        <f>L22+39648+30712+45256+43600+10476</f>
        <v>169692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>
        <v>24</v>
      </c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0.58424445332800323</v>
      </c>
      <c r="AF22" s="93">
        <f t="shared" si="8"/>
        <v>15</v>
      </c>
    </row>
    <row r="23" spans="1:32" ht="31.5" customHeight="1" thickBot="1">
      <c r="A23" s="372" t="s">
        <v>34</v>
      </c>
      <c r="B23" s="373"/>
      <c r="C23" s="373"/>
      <c r="D23" s="373"/>
      <c r="E23" s="373"/>
      <c r="F23" s="373"/>
      <c r="G23" s="373"/>
      <c r="H23" s="374"/>
      <c r="I23" s="25">
        <f t="shared" ref="I23:N23" si="25">SUM(I6:I22)</f>
        <v>2203500</v>
      </c>
      <c r="J23" s="22">
        <f t="shared" si="25"/>
        <v>171557</v>
      </c>
      <c r="K23" s="23">
        <f t="shared" si="25"/>
        <v>833565</v>
      </c>
      <c r="L23" s="24">
        <f t="shared" si="25"/>
        <v>120202</v>
      </c>
      <c r="M23" s="23">
        <f t="shared" si="25"/>
        <v>120202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219</v>
      </c>
      <c r="Q23" s="46">
        <f t="shared" si="26"/>
        <v>189</v>
      </c>
      <c r="R23" s="26">
        <f t="shared" si="26"/>
        <v>24</v>
      </c>
      <c r="S23" s="27">
        <f t="shared" si="26"/>
        <v>19</v>
      </c>
      <c r="T23" s="27">
        <f t="shared" si="26"/>
        <v>12</v>
      </c>
      <c r="U23" s="27">
        <f t="shared" si="26"/>
        <v>0</v>
      </c>
      <c r="V23" s="28">
        <f t="shared" si="26"/>
        <v>24</v>
      </c>
      <c r="W23" s="29">
        <f t="shared" si="26"/>
        <v>110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0.70580318475581316</v>
      </c>
      <c r="AC23" s="4">
        <f>SUM(AC6:AC22)/15</f>
        <v>0.60833333333333328</v>
      </c>
      <c r="AD23" s="4">
        <f>SUM(AD6:AD22)/15</f>
        <v>0.58424445332800323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4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75" t="s">
        <v>45</v>
      </c>
      <c r="B50" s="375"/>
      <c r="C50" s="375"/>
      <c r="D50" s="375"/>
      <c r="E50" s="375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76" t="s">
        <v>477</v>
      </c>
      <c r="B51" s="377"/>
      <c r="C51" s="377"/>
      <c r="D51" s="377"/>
      <c r="E51" s="377"/>
      <c r="F51" s="377"/>
      <c r="G51" s="377"/>
      <c r="H51" s="377"/>
      <c r="I51" s="377"/>
      <c r="J51" s="377"/>
      <c r="K51" s="377"/>
      <c r="L51" s="377"/>
      <c r="M51" s="378"/>
      <c r="N51" s="379" t="s">
        <v>479</v>
      </c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380"/>
      <c r="AC51" s="380"/>
      <c r="AD51" s="381"/>
    </row>
    <row r="52" spans="1:32" ht="27" customHeight="1">
      <c r="A52" s="382" t="s">
        <v>2</v>
      </c>
      <c r="B52" s="383"/>
      <c r="C52" s="336" t="s">
        <v>46</v>
      </c>
      <c r="D52" s="336" t="s">
        <v>47</v>
      </c>
      <c r="E52" s="336" t="s">
        <v>108</v>
      </c>
      <c r="F52" s="383" t="s">
        <v>107</v>
      </c>
      <c r="G52" s="383"/>
      <c r="H52" s="383"/>
      <c r="I52" s="383"/>
      <c r="J52" s="383"/>
      <c r="K52" s="383"/>
      <c r="L52" s="383"/>
      <c r="M52" s="384"/>
      <c r="N52" s="73" t="s">
        <v>112</v>
      </c>
      <c r="O52" s="336" t="s">
        <v>46</v>
      </c>
      <c r="P52" s="385" t="s">
        <v>47</v>
      </c>
      <c r="Q52" s="386"/>
      <c r="R52" s="385" t="s">
        <v>38</v>
      </c>
      <c r="S52" s="387"/>
      <c r="T52" s="387"/>
      <c r="U52" s="386"/>
      <c r="V52" s="385" t="s">
        <v>48</v>
      </c>
      <c r="W52" s="387"/>
      <c r="X52" s="387"/>
      <c r="Y52" s="387"/>
      <c r="Z52" s="387"/>
      <c r="AA52" s="387"/>
      <c r="AB52" s="387"/>
      <c r="AC52" s="387"/>
      <c r="AD52" s="388"/>
    </row>
    <row r="53" spans="1:32" ht="27" customHeight="1">
      <c r="A53" s="399" t="s">
        <v>118</v>
      </c>
      <c r="B53" s="400"/>
      <c r="C53" s="338" t="s">
        <v>137</v>
      </c>
      <c r="D53" s="338" t="s">
        <v>460</v>
      </c>
      <c r="E53" s="338" t="s">
        <v>478</v>
      </c>
      <c r="F53" s="401" t="s">
        <v>119</v>
      </c>
      <c r="G53" s="402"/>
      <c r="H53" s="402"/>
      <c r="I53" s="402"/>
      <c r="J53" s="402"/>
      <c r="K53" s="402"/>
      <c r="L53" s="402"/>
      <c r="M53" s="403"/>
      <c r="N53" s="337"/>
      <c r="O53" s="124"/>
      <c r="P53" s="404"/>
      <c r="Q53" s="405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 t="s">
        <v>114</v>
      </c>
      <c r="B54" s="400"/>
      <c r="C54" s="338" t="s">
        <v>130</v>
      </c>
      <c r="D54" s="338" t="s">
        <v>173</v>
      </c>
      <c r="E54" s="338" t="s">
        <v>440</v>
      </c>
      <c r="F54" s="401" t="s">
        <v>119</v>
      </c>
      <c r="G54" s="402"/>
      <c r="H54" s="402"/>
      <c r="I54" s="402"/>
      <c r="J54" s="402"/>
      <c r="K54" s="402"/>
      <c r="L54" s="402"/>
      <c r="M54" s="403"/>
      <c r="N54" s="337"/>
      <c r="O54" s="124"/>
      <c r="P54" s="404"/>
      <c r="Q54" s="405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 t="s">
        <v>126</v>
      </c>
      <c r="B55" s="400"/>
      <c r="C55" s="338" t="s">
        <v>454</v>
      </c>
      <c r="D55" s="338" t="s">
        <v>131</v>
      </c>
      <c r="E55" s="338" t="s">
        <v>455</v>
      </c>
      <c r="F55" s="401" t="s">
        <v>458</v>
      </c>
      <c r="G55" s="402"/>
      <c r="H55" s="402"/>
      <c r="I55" s="402"/>
      <c r="J55" s="402"/>
      <c r="K55" s="402"/>
      <c r="L55" s="402"/>
      <c r="M55" s="403"/>
      <c r="N55" s="337"/>
      <c r="O55" s="124"/>
      <c r="P55" s="400"/>
      <c r="Q55" s="400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338"/>
      <c r="D56" s="338"/>
      <c r="E56" s="338"/>
      <c r="F56" s="401"/>
      <c r="G56" s="402"/>
      <c r="H56" s="402"/>
      <c r="I56" s="402"/>
      <c r="J56" s="402"/>
      <c r="K56" s="402"/>
      <c r="L56" s="402"/>
      <c r="M56" s="403"/>
      <c r="N56" s="337"/>
      <c r="O56" s="124"/>
      <c r="P56" s="404"/>
      <c r="Q56" s="405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338"/>
      <c r="D57" s="338"/>
      <c r="E57" s="338"/>
      <c r="F57" s="401"/>
      <c r="G57" s="402"/>
      <c r="H57" s="402"/>
      <c r="I57" s="402"/>
      <c r="J57" s="402"/>
      <c r="K57" s="402"/>
      <c r="L57" s="402"/>
      <c r="M57" s="403"/>
      <c r="N57" s="337"/>
      <c r="O57" s="124"/>
      <c r="P57" s="400"/>
      <c r="Q57" s="400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338"/>
      <c r="D58" s="338"/>
      <c r="E58" s="338"/>
      <c r="F58" s="401"/>
      <c r="G58" s="402"/>
      <c r="H58" s="402"/>
      <c r="I58" s="402"/>
      <c r="J58" s="402"/>
      <c r="K58" s="402"/>
      <c r="L58" s="402"/>
      <c r="M58" s="403"/>
      <c r="N58" s="337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338"/>
      <c r="D59" s="338"/>
      <c r="E59" s="338"/>
      <c r="F59" s="406"/>
      <c r="G59" s="406"/>
      <c r="H59" s="406"/>
      <c r="I59" s="406"/>
      <c r="J59" s="406"/>
      <c r="K59" s="406"/>
      <c r="L59" s="406"/>
      <c r="M59" s="407"/>
      <c r="N59" s="337"/>
      <c r="O59" s="124"/>
      <c r="P59" s="404"/>
      <c r="Q59" s="405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</row>
    <row r="60" spans="1:32" ht="27" customHeight="1">
      <c r="A60" s="399"/>
      <c r="B60" s="400"/>
      <c r="C60" s="338"/>
      <c r="D60" s="338"/>
      <c r="E60" s="338"/>
      <c r="F60" s="406"/>
      <c r="G60" s="406"/>
      <c r="H60" s="406"/>
      <c r="I60" s="406"/>
      <c r="J60" s="406"/>
      <c r="K60" s="406"/>
      <c r="L60" s="406"/>
      <c r="M60" s="407"/>
      <c r="N60" s="337"/>
      <c r="O60" s="124"/>
      <c r="P60" s="404"/>
      <c r="Q60" s="405"/>
      <c r="R60" s="400"/>
      <c r="S60" s="400"/>
      <c r="T60" s="400"/>
      <c r="U60" s="400"/>
      <c r="V60" s="406"/>
      <c r="W60" s="406"/>
      <c r="X60" s="406"/>
      <c r="Y60" s="406"/>
      <c r="Z60" s="406"/>
      <c r="AA60" s="406"/>
      <c r="AB60" s="406"/>
      <c r="AC60" s="406"/>
      <c r="AD60" s="407"/>
    </row>
    <row r="61" spans="1:32" ht="27" customHeight="1">
      <c r="A61" s="399"/>
      <c r="B61" s="400"/>
      <c r="C61" s="338"/>
      <c r="D61" s="338"/>
      <c r="E61" s="338"/>
      <c r="F61" s="406"/>
      <c r="G61" s="406"/>
      <c r="H61" s="406"/>
      <c r="I61" s="406"/>
      <c r="J61" s="406"/>
      <c r="K61" s="406"/>
      <c r="L61" s="406"/>
      <c r="M61" s="407"/>
      <c r="N61" s="337"/>
      <c r="O61" s="124"/>
      <c r="P61" s="400"/>
      <c r="Q61" s="400"/>
      <c r="R61" s="400"/>
      <c r="S61" s="400"/>
      <c r="T61" s="400"/>
      <c r="U61" s="400"/>
      <c r="V61" s="406"/>
      <c r="W61" s="406"/>
      <c r="X61" s="406"/>
      <c r="Y61" s="406"/>
      <c r="Z61" s="406"/>
      <c r="AA61" s="406"/>
      <c r="AB61" s="406"/>
      <c r="AC61" s="406"/>
      <c r="AD61" s="407"/>
      <c r="AF61" s="93">
        <f>8*3000</f>
        <v>24000</v>
      </c>
    </row>
    <row r="62" spans="1:32" ht="27" customHeight="1" thickBot="1">
      <c r="A62" s="408"/>
      <c r="B62" s="409"/>
      <c r="C62" s="340"/>
      <c r="D62" s="340"/>
      <c r="E62" s="340"/>
      <c r="F62" s="410"/>
      <c r="G62" s="410"/>
      <c r="H62" s="410"/>
      <c r="I62" s="410"/>
      <c r="J62" s="410"/>
      <c r="K62" s="410"/>
      <c r="L62" s="410"/>
      <c r="M62" s="411"/>
      <c r="N62" s="339"/>
      <c r="O62" s="120"/>
      <c r="P62" s="409"/>
      <c r="Q62" s="409"/>
      <c r="R62" s="409"/>
      <c r="S62" s="409"/>
      <c r="T62" s="409"/>
      <c r="U62" s="409"/>
      <c r="V62" s="412"/>
      <c r="W62" s="412"/>
      <c r="X62" s="412"/>
      <c r="Y62" s="412"/>
      <c r="Z62" s="412"/>
      <c r="AA62" s="412"/>
      <c r="AB62" s="412"/>
      <c r="AC62" s="412"/>
      <c r="AD62" s="413"/>
      <c r="AF62" s="93">
        <f>16*3000</f>
        <v>48000</v>
      </c>
    </row>
    <row r="63" spans="1:32" ht="27.75" thickBot="1">
      <c r="A63" s="414" t="s">
        <v>480</v>
      </c>
      <c r="B63" s="414"/>
      <c r="C63" s="414"/>
      <c r="D63" s="414"/>
      <c r="E63" s="414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3">
        <v>24000</v>
      </c>
    </row>
    <row r="64" spans="1:32" ht="29.25" customHeight="1" thickBot="1">
      <c r="A64" s="415" t="s">
        <v>113</v>
      </c>
      <c r="B64" s="416"/>
      <c r="C64" s="341" t="s">
        <v>2</v>
      </c>
      <c r="D64" s="341" t="s">
        <v>37</v>
      </c>
      <c r="E64" s="341" t="s">
        <v>3</v>
      </c>
      <c r="F64" s="416" t="s">
        <v>110</v>
      </c>
      <c r="G64" s="416"/>
      <c r="H64" s="416"/>
      <c r="I64" s="416"/>
      <c r="J64" s="416"/>
      <c r="K64" s="416" t="s">
        <v>39</v>
      </c>
      <c r="L64" s="416"/>
      <c r="M64" s="341" t="s">
        <v>40</v>
      </c>
      <c r="N64" s="416" t="s">
        <v>41</v>
      </c>
      <c r="O64" s="416"/>
      <c r="P64" s="417" t="s">
        <v>42</v>
      </c>
      <c r="Q64" s="418"/>
      <c r="R64" s="417" t="s">
        <v>43</v>
      </c>
      <c r="S64" s="419"/>
      <c r="T64" s="419"/>
      <c r="U64" s="419"/>
      <c r="V64" s="419"/>
      <c r="W64" s="419"/>
      <c r="X64" s="419"/>
      <c r="Y64" s="419"/>
      <c r="Z64" s="419"/>
      <c r="AA64" s="418"/>
      <c r="AB64" s="416" t="s">
        <v>44</v>
      </c>
      <c r="AC64" s="416"/>
      <c r="AD64" s="420"/>
      <c r="AF64" s="93">
        <f>SUM(AF61:AF63)</f>
        <v>96000</v>
      </c>
    </row>
    <row r="65" spans="1:32" ht="25.5" customHeight="1">
      <c r="A65" s="421">
        <v>1</v>
      </c>
      <c r="B65" s="422"/>
      <c r="C65" s="123" t="s">
        <v>126</v>
      </c>
      <c r="D65" s="344"/>
      <c r="E65" s="342" t="s">
        <v>463</v>
      </c>
      <c r="F65" s="423"/>
      <c r="G65" s="424"/>
      <c r="H65" s="424"/>
      <c r="I65" s="424"/>
      <c r="J65" s="424"/>
      <c r="K65" s="424" t="s">
        <v>116</v>
      </c>
      <c r="L65" s="424"/>
      <c r="M65" s="54" t="s">
        <v>428</v>
      </c>
      <c r="N65" s="424">
        <v>8</v>
      </c>
      <c r="O65" s="424"/>
      <c r="P65" s="425">
        <v>200</v>
      </c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2</v>
      </c>
      <c r="B66" s="422"/>
      <c r="C66" s="123" t="s">
        <v>118</v>
      </c>
      <c r="D66" s="344"/>
      <c r="E66" s="342" t="s">
        <v>134</v>
      </c>
      <c r="F66" s="423" t="s">
        <v>481</v>
      </c>
      <c r="G66" s="424"/>
      <c r="H66" s="424"/>
      <c r="I66" s="424"/>
      <c r="J66" s="424"/>
      <c r="K66" s="424" t="s">
        <v>122</v>
      </c>
      <c r="L66" s="424"/>
      <c r="M66" s="54" t="s">
        <v>175</v>
      </c>
      <c r="N66" s="424">
        <v>7</v>
      </c>
      <c r="O66" s="424"/>
      <c r="P66" s="425">
        <v>50</v>
      </c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3</v>
      </c>
      <c r="B67" s="422"/>
      <c r="C67" s="123"/>
      <c r="D67" s="344"/>
      <c r="E67" s="342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4</v>
      </c>
      <c r="B68" s="422"/>
      <c r="C68" s="123"/>
      <c r="D68" s="344"/>
      <c r="E68" s="342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5</v>
      </c>
      <c r="B69" s="422"/>
      <c r="C69" s="123"/>
      <c r="D69" s="344"/>
      <c r="E69" s="342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6</v>
      </c>
      <c r="B70" s="422"/>
      <c r="C70" s="123"/>
      <c r="D70" s="344"/>
      <c r="E70" s="342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5.5" customHeight="1">
      <c r="A71" s="421">
        <v>7</v>
      </c>
      <c r="B71" s="422"/>
      <c r="C71" s="123"/>
      <c r="D71" s="344"/>
      <c r="E71" s="342"/>
      <c r="F71" s="423"/>
      <c r="G71" s="424"/>
      <c r="H71" s="424"/>
      <c r="I71" s="424"/>
      <c r="J71" s="424"/>
      <c r="K71" s="424"/>
      <c r="L71" s="424"/>
      <c r="M71" s="54"/>
      <c r="N71" s="424"/>
      <c r="O71" s="424"/>
      <c r="P71" s="425"/>
      <c r="Q71" s="425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24"/>
      <c r="AC71" s="424"/>
      <c r="AD71" s="426"/>
      <c r="AF71" s="53"/>
    </row>
    <row r="72" spans="1:32" ht="25.5" customHeight="1">
      <c r="A72" s="421">
        <v>8</v>
      </c>
      <c r="B72" s="422"/>
      <c r="C72" s="123"/>
      <c r="D72" s="344"/>
      <c r="E72" s="342"/>
      <c r="F72" s="423"/>
      <c r="G72" s="424"/>
      <c r="H72" s="424"/>
      <c r="I72" s="424"/>
      <c r="J72" s="424"/>
      <c r="K72" s="424"/>
      <c r="L72" s="424"/>
      <c r="M72" s="54"/>
      <c r="N72" s="424"/>
      <c r="O72" s="424"/>
      <c r="P72" s="425"/>
      <c r="Q72" s="425"/>
      <c r="R72" s="406"/>
      <c r="S72" s="406"/>
      <c r="T72" s="406"/>
      <c r="U72" s="406"/>
      <c r="V72" s="406"/>
      <c r="W72" s="406"/>
      <c r="X72" s="406"/>
      <c r="Y72" s="406"/>
      <c r="Z72" s="406"/>
      <c r="AA72" s="406"/>
      <c r="AB72" s="424"/>
      <c r="AC72" s="424"/>
      <c r="AD72" s="426"/>
      <c r="AF72" s="53"/>
    </row>
    <row r="73" spans="1:32" ht="26.25" customHeight="1" thickBot="1">
      <c r="A73" s="427" t="s">
        <v>482</v>
      </c>
      <c r="B73" s="427"/>
      <c r="C73" s="427"/>
      <c r="D73" s="427"/>
      <c r="E73" s="427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8" t="s">
        <v>113</v>
      </c>
      <c r="B74" s="429"/>
      <c r="C74" s="343" t="s">
        <v>2</v>
      </c>
      <c r="D74" s="343" t="s">
        <v>37</v>
      </c>
      <c r="E74" s="343" t="s">
        <v>3</v>
      </c>
      <c r="F74" s="429" t="s">
        <v>38</v>
      </c>
      <c r="G74" s="429"/>
      <c r="H74" s="429"/>
      <c r="I74" s="429"/>
      <c r="J74" s="429"/>
      <c r="K74" s="430" t="s">
        <v>58</v>
      </c>
      <c r="L74" s="431"/>
      <c r="M74" s="431"/>
      <c r="N74" s="431"/>
      <c r="O74" s="431"/>
      <c r="P74" s="431"/>
      <c r="Q74" s="431"/>
      <c r="R74" s="431"/>
      <c r="S74" s="432"/>
      <c r="T74" s="429" t="s">
        <v>49</v>
      </c>
      <c r="U74" s="429"/>
      <c r="V74" s="430" t="s">
        <v>50</v>
      </c>
      <c r="W74" s="432"/>
      <c r="X74" s="431" t="s">
        <v>51</v>
      </c>
      <c r="Y74" s="431"/>
      <c r="Z74" s="431"/>
      <c r="AA74" s="431"/>
      <c r="AB74" s="431"/>
      <c r="AC74" s="431"/>
      <c r="AD74" s="433"/>
      <c r="AF74" s="53"/>
    </row>
    <row r="75" spans="1:32" ht="33.75" customHeight="1">
      <c r="A75" s="442">
        <v>1</v>
      </c>
      <c r="B75" s="443"/>
      <c r="C75" s="345" t="s">
        <v>114</v>
      </c>
      <c r="D75" s="345"/>
      <c r="E75" s="71" t="s">
        <v>133</v>
      </c>
      <c r="F75" s="444" t="s">
        <v>132</v>
      </c>
      <c r="G75" s="445"/>
      <c r="H75" s="445"/>
      <c r="I75" s="445"/>
      <c r="J75" s="446"/>
      <c r="K75" s="447" t="s">
        <v>135</v>
      </c>
      <c r="L75" s="448"/>
      <c r="M75" s="448"/>
      <c r="N75" s="448"/>
      <c r="O75" s="448"/>
      <c r="P75" s="448"/>
      <c r="Q75" s="448"/>
      <c r="R75" s="448"/>
      <c r="S75" s="449"/>
      <c r="T75" s="450">
        <v>43384</v>
      </c>
      <c r="U75" s="451"/>
      <c r="V75" s="452"/>
      <c r="W75" s="452"/>
      <c r="X75" s="453"/>
      <c r="Y75" s="453"/>
      <c r="Z75" s="453"/>
      <c r="AA75" s="453"/>
      <c r="AB75" s="453"/>
      <c r="AC75" s="453"/>
      <c r="AD75" s="454"/>
      <c r="AF75" s="53"/>
    </row>
    <row r="76" spans="1:32" ht="30" customHeight="1">
      <c r="A76" s="434">
        <f>A75+1</f>
        <v>2</v>
      </c>
      <c r="B76" s="435"/>
      <c r="C76" s="344"/>
      <c r="D76" s="344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ref="A77:A83" si="27">A76+1</f>
        <v>3</v>
      </c>
      <c r="B77" s="435"/>
      <c r="C77" s="344"/>
      <c r="D77" s="344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27"/>
        <v>4</v>
      </c>
      <c r="B78" s="435"/>
      <c r="C78" s="344"/>
      <c r="D78" s="344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27"/>
        <v>5</v>
      </c>
      <c r="B79" s="435"/>
      <c r="C79" s="344"/>
      <c r="D79" s="344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27"/>
        <v>6</v>
      </c>
      <c r="B80" s="435"/>
      <c r="C80" s="344"/>
      <c r="D80" s="344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27"/>
        <v>7</v>
      </c>
      <c r="B81" s="435"/>
      <c r="C81" s="344"/>
      <c r="D81" s="344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0" customHeight="1">
      <c r="A82" s="434">
        <f t="shared" si="27"/>
        <v>8</v>
      </c>
      <c r="B82" s="435"/>
      <c r="C82" s="344"/>
      <c r="D82" s="344"/>
      <c r="E82" s="35"/>
      <c r="F82" s="435"/>
      <c r="G82" s="435"/>
      <c r="H82" s="435"/>
      <c r="I82" s="435"/>
      <c r="J82" s="435"/>
      <c r="K82" s="436"/>
      <c r="L82" s="437"/>
      <c r="M82" s="437"/>
      <c r="N82" s="437"/>
      <c r="O82" s="437"/>
      <c r="P82" s="437"/>
      <c r="Q82" s="437"/>
      <c r="R82" s="437"/>
      <c r="S82" s="438"/>
      <c r="T82" s="439"/>
      <c r="U82" s="439"/>
      <c r="V82" s="439"/>
      <c r="W82" s="439"/>
      <c r="X82" s="440"/>
      <c r="Y82" s="440"/>
      <c r="Z82" s="440"/>
      <c r="AA82" s="440"/>
      <c r="AB82" s="440"/>
      <c r="AC82" s="440"/>
      <c r="AD82" s="441"/>
      <c r="AF82" s="53"/>
    </row>
    <row r="83" spans="1:32" ht="30" customHeight="1">
      <c r="A83" s="434">
        <f t="shared" si="27"/>
        <v>9</v>
      </c>
      <c r="B83" s="435"/>
      <c r="C83" s="344"/>
      <c r="D83" s="344"/>
      <c r="E83" s="35"/>
      <c r="F83" s="435"/>
      <c r="G83" s="435"/>
      <c r="H83" s="435"/>
      <c r="I83" s="435"/>
      <c r="J83" s="435"/>
      <c r="K83" s="436"/>
      <c r="L83" s="437"/>
      <c r="M83" s="437"/>
      <c r="N83" s="437"/>
      <c r="O83" s="437"/>
      <c r="P83" s="437"/>
      <c r="Q83" s="437"/>
      <c r="R83" s="437"/>
      <c r="S83" s="438"/>
      <c r="T83" s="439"/>
      <c r="U83" s="439"/>
      <c r="V83" s="439"/>
      <c r="W83" s="439"/>
      <c r="X83" s="440"/>
      <c r="Y83" s="440"/>
      <c r="Z83" s="440"/>
      <c r="AA83" s="440"/>
      <c r="AB83" s="440"/>
      <c r="AC83" s="440"/>
      <c r="AD83" s="441"/>
      <c r="AF83" s="53"/>
    </row>
    <row r="84" spans="1:32" ht="36" thickBot="1">
      <c r="A84" s="427" t="s">
        <v>483</v>
      </c>
      <c r="B84" s="427"/>
      <c r="C84" s="427"/>
      <c r="D84" s="427"/>
      <c r="E84" s="427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28" t="s">
        <v>113</v>
      </c>
      <c r="B85" s="429"/>
      <c r="C85" s="455" t="s">
        <v>52</v>
      </c>
      <c r="D85" s="455"/>
      <c r="E85" s="455" t="s">
        <v>53</v>
      </c>
      <c r="F85" s="455"/>
      <c r="G85" s="455"/>
      <c r="H85" s="455"/>
      <c r="I85" s="455"/>
      <c r="J85" s="455"/>
      <c r="K85" s="455" t="s">
        <v>54</v>
      </c>
      <c r="L85" s="455"/>
      <c r="M85" s="455"/>
      <c r="N85" s="455"/>
      <c r="O85" s="455"/>
      <c r="P85" s="455"/>
      <c r="Q85" s="455"/>
      <c r="R85" s="455"/>
      <c r="S85" s="455"/>
      <c r="T85" s="455" t="s">
        <v>55</v>
      </c>
      <c r="U85" s="455"/>
      <c r="V85" s="455" t="s">
        <v>56</v>
      </c>
      <c r="W85" s="455"/>
      <c r="X85" s="455"/>
      <c r="Y85" s="455" t="s">
        <v>51</v>
      </c>
      <c r="Z85" s="455"/>
      <c r="AA85" s="455"/>
      <c r="AB85" s="455"/>
      <c r="AC85" s="455"/>
      <c r="AD85" s="456"/>
      <c r="AF85" s="53"/>
    </row>
    <row r="86" spans="1:32" ht="30.75" customHeight="1">
      <c r="A86" s="442">
        <v>1</v>
      </c>
      <c r="B86" s="443"/>
      <c r="C86" s="457"/>
      <c r="D86" s="457"/>
      <c r="E86" s="457"/>
      <c r="F86" s="457"/>
      <c r="G86" s="457"/>
      <c r="H86" s="457"/>
      <c r="I86" s="457"/>
      <c r="J86" s="457"/>
      <c r="K86" s="457"/>
      <c r="L86" s="457"/>
      <c r="M86" s="457"/>
      <c r="N86" s="457"/>
      <c r="O86" s="457"/>
      <c r="P86" s="457"/>
      <c r="Q86" s="457"/>
      <c r="R86" s="457"/>
      <c r="S86" s="457"/>
      <c r="T86" s="457"/>
      <c r="U86" s="457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  <row r="87" spans="1:32" ht="30.75" customHeight="1">
      <c r="A87" s="434">
        <v>2</v>
      </c>
      <c r="B87" s="435"/>
      <c r="C87" s="468"/>
      <c r="D87" s="468"/>
      <c r="E87" s="468"/>
      <c r="F87" s="468"/>
      <c r="G87" s="468"/>
      <c r="H87" s="468"/>
      <c r="I87" s="468"/>
      <c r="J87" s="468"/>
      <c r="K87" s="468"/>
      <c r="L87" s="468"/>
      <c r="M87" s="468"/>
      <c r="N87" s="468"/>
      <c r="O87" s="468"/>
      <c r="P87" s="468"/>
      <c r="Q87" s="468"/>
      <c r="R87" s="468"/>
      <c r="S87" s="468"/>
      <c r="T87" s="469"/>
      <c r="U87" s="469"/>
      <c r="V87" s="470"/>
      <c r="W87" s="470"/>
      <c r="X87" s="470"/>
      <c r="Y87" s="461"/>
      <c r="Z87" s="461"/>
      <c r="AA87" s="461"/>
      <c r="AB87" s="461"/>
      <c r="AC87" s="461"/>
      <c r="AD87" s="462"/>
      <c r="AF87" s="53"/>
    </row>
    <row r="88" spans="1:32" ht="30.75" customHeight="1" thickBot="1">
      <c r="A88" s="463">
        <v>3</v>
      </c>
      <c r="B88" s="464"/>
      <c r="C88" s="465"/>
      <c r="D88" s="465"/>
      <c r="E88" s="465"/>
      <c r="F88" s="465"/>
      <c r="G88" s="465"/>
      <c r="H88" s="465"/>
      <c r="I88" s="465"/>
      <c r="J88" s="465"/>
      <c r="K88" s="465"/>
      <c r="L88" s="465"/>
      <c r="M88" s="465"/>
      <c r="N88" s="465"/>
      <c r="O88" s="465"/>
      <c r="P88" s="465"/>
      <c r="Q88" s="465"/>
      <c r="R88" s="465"/>
      <c r="S88" s="465"/>
      <c r="T88" s="465"/>
      <c r="U88" s="465"/>
      <c r="V88" s="465"/>
      <c r="W88" s="465"/>
      <c r="X88" s="465"/>
      <c r="Y88" s="466"/>
      <c r="Z88" s="466"/>
      <c r="AA88" s="466"/>
      <c r="AB88" s="466"/>
      <c r="AC88" s="466"/>
      <c r="AD88" s="467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0AA1-8206-49A7-BF4E-D03A77105DE3}">
  <sheetPr>
    <pageSetUpPr fitToPage="1"/>
  </sheetPr>
  <dimension ref="A1:AF87"/>
  <sheetViews>
    <sheetView topLeftCell="A40" zoomScale="72" zoomScaleNormal="72" zoomScaleSheetLayoutView="70" workbookViewId="0">
      <selection activeCell="F55" sqref="F55:M5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484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335" t="s">
        <v>17</v>
      </c>
      <c r="L5" s="335" t="s">
        <v>18</v>
      </c>
      <c r="M5" s="335" t="s">
        <v>19</v>
      </c>
      <c r="N5" s="3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345</v>
      </c>
      <c r="F8" s="33" t="s">
        <v>122</v>
      </c>
      <c r="G8" s="36">
        <v>4</v>
      </c>
      <c r="H8" s="38">
        <v>25</v>
      </c>
      <c r="I8" s="7">
        <v>400000</v>
      </c>
      <c r="J8" s="5">
        <v>19920</v>
      </c>
      <c r="K8" s="15">
        <f>L8+16608+16844+19920</f>
        <v>53372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</v>
      </c>
      <c r="R8" s="7"/>
      <c r="S8" s="6">
        <v>2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173</v>
      </c>
      <c r="E9" s="57" t="s">
        <v>440</v>
      </c>
      <c r="F9" s="33" t="s">
        <v>122</v>
      </c>
      <c r="G9" s="36">
        <v>1</v>
      </c>
      <c r="H9" s="38">
        <v>24</v>
      </c>
      <c r="I9" s="7">
        <v>16000</v>
      </c>
      <c r="J9" s="14">
        <v>1505</v>
      </c>
      <c r="K9" s="15">
        <f>L9+1505</f>
        <v>1505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15</v>
      </c>
      <c r="R9" s="7"/>
      <c r="S9" s="6">
        <v>3</v>
      </c>
      <c r="T9" s="17">
        <v>12</v>
      </c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358</v>
      </c>
      <c r="F10" s="12" t="s">
        <v>122</v>
      </c>
      <c r="G10" s="12">
        <v>4</v>
      </c>
      <c r="H10" s="13">
        <v>25</v>
      </c>
      <c r="I10" s="7">
        <v>400000</v>
      </c>
      <c r="J10" s="14">
        <v>26756</v>
      </c>
      <c r="K10" s="15">
        <f>L10+23776+26072+26756</f>
        <v>76604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126</v>
      </c>
      <c r="D11" s="55" t="s">
        <v>121</v>
      </c>
      <c r="E11" s="57" t="s">
        <v>420</v>
      </c>
      <c r="F11" s="12" t="s">
        <v>421</v>
      </c>
      <c r="G11" s="12">
        <v>1</v>
      </c>
      <c r="H11" s="13">
        <v>25</v>
      </c>
      <c r="I11" s="7">
        <v>35000</v>
      </c>
      <c r="J11" s="14">
        <v>4843</v>
      </c>
      <c r="K11" s="15">
        <f>L11+3530+5736+6036+5863+4843</f>
        <v>26008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394</v>
      </c>
      <c r="F12" s="33" t="s">
        <v>144</v>
      </c>
      <c r="G12" s="36">
        <v>1</v>
      </c>
      <c r="H12" s="38">
        <v>24</v>
      </c>
      <c r="I12" s="7">
        <v>35000</v>
      </c>
      <c r="J12" s="14">
        <v>3627</v>
      </c>
      <c r="K12" s="15">
        <f>L12+2181+2158+5261+5417+5567+3991+3627</f>
        <v>28202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8</v>
      </c>
      <c r="R12" s="7"/>
      <c r="S12" s="6">
        <v>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211</v>
      </c>
      <c r="E13" s="57" t="s">
        <v>210</v>
      </c>
      <c r="F13" s="12" t="s">
        <v>212</v>
      </c>
      <c r="G13" s="12">
        <v>4</v>
      </c>
      <c r="H13" s="13">
        <v>25</v>
      </c>
      <c r="I13" s="7">
        <v>30000</v>
      </c>
      <c r="J13" s="14">
        <v>10540</v>
      </c>
      <c r="K13" s="15">
        <f>L13+22420+10540</f>
        <v>32960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204</v>
      </c>
      <c r="D14" s="55" t="s">
        <v>117</v>
      </c>
      <c r="E14" s="57" t="s">
        <v>317</v>
      </c>
      <c r="F14" s="33" t="s">
        <v>325</v>
      </c>
      <c r="G14" s="36">
        <v>1</v>
      </c>
      <c r="H14" s="38">
        <v>25</v>
      </c>
      <c r="I14" s="7">
        <v>500</v>
      </c>
      <c r="J14" s="5">
        <v>308</v>
      </c>
      <c r="K14" s="15">
        <f>L14+204+308</f>
        <v>512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27965</v>
      </c>
      <c r="K15" s="15">
        <f>L15+32805+66430+67599+62860+19229+27965</f>
        <v>276888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120</v>
      </c>
      <c r="E16" s="57" t="s">
        <v>339</v>
      </c>
      <c r="F16" s="33" t="s">
        <v>199</v>
      </c>
      <c r="G16" s="36">
        <v>1</v>
      </c>
      <c r="H16" s="38">
        <v>24</v>
      </c>
      <c r="I16" s="7">
        <v>35000</v>
      </c>
      <c r="J16" s="5">
        <v>5733</v>
      </c>
      <c r="K16" s="15">
        <f>L16+4512+3969+4406+3892+1774+3617+2504+3561+4272+5733</f>
        <v>38240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359</v>
      </c>
      <c r="F17" s="12" t="s">
        <v>149</v>
      </c>
      <c r="G17" s="12">
        <v>4</v>
      </c>
      <c r="H17" s="13">
        <v>24</v>
      </c>
      <c r="I17" s="34">
        <v>400000</v>
      </c>
      <c r="J17" s="14">
        <v>25296</v>
      </c>
      <c r="K17" s="15">
        <f>L17+19964+21928+25296</f>
        <v>67188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441</v>
      </c>
      <c r="F18" s="12" t="s">
        <v>144</v>
      </c>
      <c r="G18" s="36">
        <v>4</v>
      </c>
      <c r="H18" s="38">
        <v>24</v>
      </c>
      <c r="I18" s="7">
        <v>400000</v>
      </c>
      <c r="J18" s="5">
        <v>22568</v>
      </c>
      <c r="K18" s="15">
        <f>L18+12380+14384+22568</f>
        <v>49332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120</v>
      </c>
      <c r="E19" s="57" t="s">
        <v>475</v>
      </c>
      <c r="F19" s="12" t="s">
        <v>474</v>
      </c>
      <c r="G19" s="36">
        <v>1</v>
      </c>
      <c r="H19" s="13">
        <v>24</v>
      </c>
      <c r="I19" s="7">
        <v>16000</v>
      </c>
      <c r="J19" s="14">
        <v>5003</v>
      </c>
      <c r="K19" s="15">
        <f>L19+3970</f>
        <v>3970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</v>
      </c>
      <c r="AF19" s="93">
        <f t="shared" si="8"/>
        <v>14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473</v>
      </c>
      <c r="E20" s="57" t="s">
        <v>476</v>
      </c>
      <c r="F20" s="12" t="s">
        <v>474</v>
      </c>
      <c r="G20" s="36">
        <v>1</v>
      </c>
      <c r="H20" s="13">
        <v>24</v>
      </c>
      <c r="I20" s="7">
        <v>16000</v>
      </c>
      <c r="J20" s="14">
        <v>5003</v>
      </c>
      <c r="K20" s="15">
        <f>L20+3970</f>
        <v>3970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3</v>
      </c>
      <c r="R20" s="7"/>
      <c r="S20" s="6">
        <v>3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154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>
        <v>24</v>
      </c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</v>
      </c>
      <c r="AF21" s="93">
        <f t="shared" si="8"/>
        <v>15</v>
      </c>
    </row>
    <row r="22" spans="1:32" ht="31.5" customHeight="1" thickBot="1">
      <c r="A22" s="372" t="s">
        <v>34</v>
      </c>
      <c r="B22" s="373"/>
      <c r="C22" s="373"/>
      <c r="D22" s="373"/>
      <c r="E22" s="373"/>
      <c r="F22" s="373"/>
      <c r="G22" s="373"/>
      <c r="H22" s="374"/>
      <c r="I22" s="25">
        <f t="shared" ref="I22:N22" si="9">SUM(I6:I21)</f>
        <v>2183500</v>
      </c>
      <c r="J22" s="22">
        <f t="shared" si="9"/>
        <v>169543</v>
      </c>
      <c r="K22" s="23">
        <f t="shared" si="9"/>
        <v>828443</v>
      </c>
      <c r="L22" s="24">
        <f t="shared" si="9"/>
        <v>0</v>
      </c>
      <c r="M22" s="23">
        <f t="shared" si="9"/>
        <v>0</v>
      </c>
      <c r="N22" s="24">
        <f t="shared" si="9"/>
        <v>0</v>
      </c>
      <c r="O22" s="44" t="str">
        <f t="shared" si="1"/>
        <v>0</v>
      </c>
      <c r="P22" s="45">
        <f t="shared" ref="P22:AA22" si="10">SUM(P6:P21)</f>
        <v>0</v>
      </c>
      <c r="Q22" s="46">
        <f t="shared" si="10"/>
        <v>175</v>
      </c>
      <c r="R22" s="26">
        <f t="shared" si="10"/>
        <v>24</v>
      </c>
      <c r="S22" s="27">
        <f t="shared" si="10"/>
        <v>19</v>
      </c>
      <c r="T22" s="27">
        <f t="shared" si="10"/>
        <v>12</v>
      </c>
      <c r="U22" s="27">
        <f t="shared" si="10"/>
        <v>0</v>
      </c>
      <c r="V22" s="28">
        <f t="shared" si="10"/>
        <v>24</v>
      </c>
      <c r="W22" s="29">
        <f t="shared" si="10"/>
        <v>96</v>
      </c>
      <c r="X22" s="30">
        <f t="shared" si="10"/>
        <v>0</v>
      </c>
      <c r="Y22" s="30">
        <f t="shared" si="10"/>
        <v>0</v>
      </c>
      <c r="Z22" s="30">
        <f t="shared" si="10"/>
        <v>0</v>
      </c>
      <c r="AA22" s="30">
        <f t="shared" si="10"/>
        <v>0</v>
      </c>
      <c r="AB22" s="31">
        <f>SUM(AB6:AB21)/15</f>
        <v>0</v>
      </c>
      <c r="AC22" s="4">
        <f>SUM(AC6:AC21)/15</f>
        <v>0</v>
      </c>
      <c r="AD22" s="4">
        <f>SUM(AD6:AD21)/15</f>
        <v>0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5" t="s">
        <v>45</v>
      </c>
      <c r="B49" s="375"/>
      <c r="C49" s="375"/>
      <c r="D49" s="375"/>
      <c r="E49" s="37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6" t="s">
        <v>485</v>
      </c>
      <c r="B50" s="377"/>
      <c r="C50" s="377"/>
      <c r="D50" s="377"/>
      <c r="E50" s="377"/>
      <c r="F50" s="377"/>
      <c r="G50" s="377"/>
      <c r="H50" s="377"/>
      <c r="I50" s="377"/>
      <c r="J50" s="377"/>
      <c r="K50" s="377"/>
      <c r="L50" s="377"/>
      <c r="M50" s="378"/>
      <c r="N50" s="379" t="s">
        <v>486</v>
      </c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0"/>
      <c r="AA50" s="380"/>
      <c r="AB50" s="380"/>
      <c r="AC50" s="380"/>
      <c r="AD50" s="381"/>
    </row>
    <row r="51" spans="1:32" ht="27" customHeight="1">
      <c r="A51" s="382" t="s">
        <v>2</v>
      </c>
      <c r="B51" s="383"/>
      <c r="C51" s="336" t="s">
        <v>46</v>
      </c>
      <c r="D51" s="336" t="s">
        <v>47</v>
      </c>
      <c r="E51" s="336" t="s">
        <v>108</v>
      </c>
      <c r="F51" s="383" t="s">
        <v>107</v>
      </c>
      <c r="G51" s="383"/>
      <c r="H51" s="383"/>
      <c r="I51" s="383"/>
      <c r="J51" s="383"/>
      <c r="K51" s="383"/>
      <c r="L51" s="383"/>
      <c r="M51" s="384"/>
      <c r="N51" s="73" t="s">
        <v>112</v>
      </c>
      <c r="O51" s="336" t="s">
        <v>46</v>
      </c>
      <c r="P51" s="385" t="s">
        <v>47</v>
      </c>
      <c r="Q51" s="386"/>
      <c r="R51" s="385" t="s">
        <v>38</v>
      </c>
      <c r="S51" s="387"/>
      <c r="T51" s="387"/>
      <c r="U51" s="386"/>
      <c r="V51" s="385" t="s">
        <v>48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99"/>
      <c r="B52" s="400"/>
      <c r="C52" s="338"/>
      <c r="D52" s="338"/>
      <c r="E52" s="338"/>
      <c r="F52" s="401"/>
      <c r="G52" s="402"/>
      <c r="H52" s="402"/>
      <c r="I52" s="402"/>
      <c r="J52" s="402"/>
      <c r="K52" s="402"/>
      <c r="L52" s="402"/>
      <c r="M52" s="403"/>
      <c r="N52" s="337" t="s">
        <v>126</v>
      </c>
      <c r="O52" s="124" t="s">
        <v>228</v>
      </c>
      <c r="P52" s="404" t="s">
        <v>121</v>
      </c>
      <c r="Q52" s="405"/>
      <c r="R52" s="400" t="s">
        <v>420</v>
      </c>
      <c r="S52" s="400"/>
      <c r="T52" s="400"/>
      <c r="U52" s="400"/>
      <c r="V52" s="406" t="s">
        <v>146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/>
      <c r="B53" s="400"/>
      <c r="C53" s="338"/>
      <c r="D53" s="338"/>
      <c r="E53" s="338"/>
      <c r="F53" s="401"/>
      <c r="G53" s="402"/>
      <c r="H53" s="402"/>
      <c r="I53" s="402"/>
      <c r="J53" s="402"/>
      <c r="K53" s="402"/>
      <c r="L53" s="402"/>
      <c r="M53" s="403"/>
      <c r="N53" s="337" t="s">
        <v>114</v>
      </c>
      <c r="O53" s="124" t="s">
        <v>316</v>
      </c>
      <c r="P53" s="404" t="s">
        <v>117</v>
      </c>
      <c r="Q53" s="405"/>
      <c r="R53" s="400" t="s">
        <v>487</v>
      </c>
      <c r="S53" s="400"/>
      <c r="T53" s="400"/>
      <c r="U53" s="400"/>
      <c r="V53" s="406" t="s">
        <v>119</v>
      </c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338"/>
      <c r="D54" s="338"/>
      <c r="E54" s="338"/>
      <c r="F54" s="401"/>
      <c r="G54" s="402"/>
      <c r="H54" s="402"/>
      <c r="I54" s="402"/>
      <c r="J54" s="402"/>
      <c r="K54" s="402"/>
      <c r="L54" s="402"/>
      <c r="M54" s="403"/>
      <c r="N54" s="337"/>
      <c r="O54" s="124"/>
      <c r="P54" s="400"/>
      <c r="Q54" s="400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338"/>
      <c r="D55" s="338"/>
      <c r="E55" s="338"/>
      <c r="F55" s="401"/>
      <c r="G55" s="402"/>
      <c r="H55" s="402"/>
      <c r="I55" s="402"/>
      <c r="J55" s="402"/>
      <c r="K55" s="402"/>
      <c r="L55" s="402"/>
      <c r="M55" s="403"/>
      <c r="N55" s="337"/>
      <c r="O55" s="124"/>
      <c r="P55" s="404"/>
      <c r="Q55" s="405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338"/>
      <c r="D56" s="338"/>
      <c r="E56" s="338"/>
      <c r="F56" s="401"/>
      <c r="G56" s="402"/>
      <c r="H56" s="402"/>
      <c r="I56" s="402"/>
      <c r="J56" s="402"/>
      <c r="K56" s="402"/>
      <c r="L56" s="402"/>
      <c r="M56" s="403"/>
      <c r="N56" s="337"/>
      <c r="O56" s="124"/>
      <c r="P56" s="400"/>
      <c r="Q56" s="400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338"/>
      <c r="D57" s="338"/>
      <c r="E57" s="338"/>
      <c r="F57" s="401"/>
      <c r="G57" s="402"/>
      <c r="H57" s="402"/>
      <c r="I57" s="402"/>
      <c r="J57" s="402"/>
      <c r="K57" s="402"/>
      <c r="L57" s="402"/>
      <c r="M57" s="403"/>
      <c r="N57" s="337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338"/>
      <c r="D58" s="338"/>
      <c r="E58" s="338"/>
      <c r="F58" s="406"/>
      <c r="G58" s="406"/>
      <c r="H58" s="406"/>
      <c r="I58" s="406"/>
      <c r="J58" s="406"/>
      <c r="K58" s="406"/>
      <c r="L58" s="406"/>
      <c r="M58" s="407"/>
      <c r="N58" s="337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338"/>
      <c r="D59" s="338"/>
      <c r="E59" s="338"/>
      <c r="F59" s="406"/>
      <c r="G59" s="406"/>
      <c r="H59" s="406"/>
      <c r="I59" s="406"/>
      <c r="J59" s="406"/>
      <c r="K59" s="406"/>
      <c r="L59" s="406"/>
      <c r="M59" s="407"/>
      <c r="N59" s="337"/>
      <c r="O59" s="124"/>
      <c r="P59" s="404"/>
      <c r="Q59" s="405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</row>
    <row r="60" spans="1:32" ht="27" customHeight="1">
      <c r="A60" s="399"/>
      <c r="B60" s="400"/>
      <c r="C60" s="338"/>
      <c r="D60" s="338"/>
      <c r="E60" s="338"/>
      <c r="F60" s="406"/>
      <c r="G60" s="406"/>
      <c r="H60" s="406"/>
      <c r="I60" s="406"/>
      <c r="J60" s="406"/>
      <c r="K60" s="406"/>
      <c r="L60" s="406"/>
      <c r="M60" s="407"/>
      <c r="N60" s="337"/>
      <c r="O60" s="124"/>
      <c r="P60" s="400"/>
      <c r="Q60" s="400"/>
      <c r="R60" s="400"/>
      <c r="S60" s="400"/>
      <c r="T60" s="400"/>
      <c r="U60" s="400"/>
      <c r="V60" s="406"/>
      <c r="W60" s="406"/>
      <c r="X60" s="406"/>
      <c r="Y60" s="406"/>
      <c r="Z60" s="406"/>
      <c r="AA60" s="406"/>
      <c r="AB60" s="406"/>
      <c r="AC60" s="406"/>
      <c r="AD60" s="407"/>
      <c r="AF60" s="93">
        <f>8*3000</f>
        <v>24000</v>
      </c>
    </row>
    <row r="61" spans="1:32" ht="27" customHeight="1" thickBot="1">
      <c r="A61" s="408"/>
      <c r="B61" s="409"/>
      <c r="C61" s="340"/>
      <c r="D61" s="340"/>
      <c r="E61" s="340"/>
      <c r="F61" s="410"/>
      <c r="G61" s="410"/>
      <c r="H61" s="410"/>
      <c r="I61" s="410"/>
      <c r="J61" s="410"/>
      <c r="K61" s="410"/>
      <c r="L61" s="410"/>
      <c r="M61" s="411"/>
      <c r="N61" s="339"/>
      <c r="O61" s="120"/>
      <c r="P61" s="409"/>
      <c r="Q61" s="409"/>
      <c r="R61" s="409"/>
      <c r="S61" s="409"/>
      <c r="T61" s="409"/>
      <c r="U61" s="409"/>
      <c r="V61" s="412"/>
      <c r="W61" s="412"/>
      <c r="X61" s="412"/>
      <c r="Y61" s="412"/>
      <c r="Z61" s="412"/>
      <c r="AA61" s="412"/>
      <c r="AB61" s="412"/>
      <c r="AC61" s="412"/>
      <c r="AD61" s="413"/>
      <c r="AF61" s="93">
        <f>16*3000</f>
        <v>48000</v>
      </c>
    </row>
    <row r="62" spans="1:32" ht="27.75" thickBot="1">
      <c r="A62" s="414" t="s">
        <v>488</v>
      </c>
      <c r="B62" s="414"/>
      <c r="C62" s="414"/>
      <c r="D62" s="414"/>
      <c r="E62" s="41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15" t="s">
        <v>113</v>
      </c>
      <c r="B63" s="416"/>
      <c r="C63" s="341" t="s">
        <v>2</v>
      </c>
      <c r="D63" s="341" t="s">
        <v>37</v>
      </c>
      <c r="E63" s="341" t="s">
        <v>3</v>
      </c>
      <c r="F63" s="416" t="s">
        <v>110</v>
      </c>
      <c r="G63" s="416"/>
      <c r="H63" s="416"/>
      <c r="I63" s="416"/>
      <c r="J63" s="416"/>
      <c r="K63" s="416" t="s">
        <v>39</v>
      </c>
      <c r="L63" s="416"/>
      <c r="M63" s="341" t="s">
        <v>40</v>
      </c>
      <c r="N63" s="416" t="s">
        <v>41</v>
      </c>
      <c r="O63" s="416"/>
      <c r="P63" s="417" t="s">
        <v>42</v>
      </c>
      <c r="Q63" s="418"/>
      <c r="R63" s="417" t="s">
        <v>43</v>
      </c>
      <c r="S63" s="419"/>
      <c r="T63" s="419"/>
      <c r="U63" s="419"/>
      <c r="V63" s="419"/>
      <c r="W63" s="419"/>
      <c r="X63" s="419"/>
      <c r="Y63" s="419"/>
      <c r="Z63" s="419"/>
      <c r="AA63" s="418"/>
      <c r="AB63" s="416" t="s">
        <v>44</v>
      </c>
      <c r="AC63" s="416"/>
      <c r="AD63" s="420"/>
      <c r="AF63" s="93">
        <f>SUM(AF60:AF62)</f>
        <v>96000</v>
      </c>
    </row>
    <row r="64" spans="1:32" ht="25.5" customHeight="1">
      <c r="A64" s="421">
        <v>1</v>
      </c>
      <c r="B64" s="422"/>
      <c r="C64" s="123" t="s">
        <v>118</v>
      </c>
      <c r="D64" s="344"/>
      <c r="E64" s="342" t="s">
        <v>252</v>
      </c>
      <c r="F64" s="423" t="s">
        <v>489</v>
      </c>
      <c r="G64" s="424"/>
      <c r="H64" s="424"/>
      <c r="I64" s="424"/>
      <c r="J64" s="424"/>
      <c r="K64" s="424" t="s">
        <v>122</v>
      </c>
      <c r="L64" s="424"/>
      <c r="M64" s="54" t="s">
        <v>175</v>
      </c>
      <c r="N64" s="424">
        <v>8</v>
      </c>
      <c r="O64" s="424"/>
      <c r="P64" s="425">
        <v>100</v>
      </c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2</v>
      </c>
      <c r="B65" s="422"/>
      <c r="C65" s="123" t="s">
        <v>118</v>
      </c>
      <c r="D65" s="344"/>
      <c r="E65" s="342" t="s">
        <v>131</v>
      </c>
      <c r="F65" s="423" t="s">
        <v>490</v>
      </c>
      <c r="G65" s="424"/>
      <c r="H65" s="424"/>
      <c r="I65" s="424"/>
      <c r="J65" s="424"/>
      <c r="K65" s="424" t="s">
        <v>122</v>
      </c>
      <c r="L65" s="424"/>
      <c r="M65" s="54" t="s">
        <v>175</v>
      </c>
      <c r="N65" s="424">
        <v>8</v>
      </c>
      <c r="O65" s="424"/>
      <c r="P65" s="425">
        <v>50</v>
      </c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3</v>
      </c>
      <c r="B66" s="422"/>
      <c r="C66" s="123"/>
      <c r="D66" s="344"/>
      <c r="E66" s="342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4</v>
      </c>
      <c r="B67" s="422"/>
      <c r="C67" s="123"/>
      <c r="D67" s="344"/>
      <c r="E67" s="342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5</v>
      </c>
      <c r="B68" s="422"/>
      <c r="C68" s="123"/>
      <c r="D68" s="344"/>
      <c r="E68" s="342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6</v>
      </c>
      <c r="B69" s="422"/>
      <c r="C69" s="123"/>
      <c r="D69" s="344"/>
      <c r="E69" s="342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7</v>
      </c>
      <c r="B70" s="422"/>
      <c r="C70" s="123"/>
      <c r="D70" s="344"/>
      <c r="E70" s="342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5.5" customHeight="1">
      <c r="A71" s="421">
        <v>8</v>
      </c>
      <c r="B71" s="422"/>
      <c r="C71" s="123"/>
      <c r="D71" s="344"/>
      <c r="E71" s="342"/>
      <c r="F71" s="423"/>
      <c r="G71" s="424"/>
      <c r="H71" s="424"/>
      <c r="I71" s="424"/>
      <c r="J71" s="424"/>
      <c r="K71" s="424"/>
      <c r="L71" s="424"/>
      <c r="M71" s="54"/>
      <c r="N71" s="424"/>
      <c r="O71" s="424"/>
      <c r="P71" s="425"/>
      <c r="Q71" s="425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24"/>
      <c r="AC71" s="424"/>
      <c r="AD71" s="426"/>
      <c r="AF71" s="53"/>
    </row>
    <row r="72" spans="1:32" ht="26.25" customHeight="1" thickBot="1">
      <c r="A72" s="427" t="s">
        <v>491</v>
      </c>
      <c r="B72" s="427"/>
      <c r="C72" s="427"/>
      <c r="D72" s="427"/>
      <c r="E72" s="427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8" t="s">
        <v>113</v>
      </c>
      <c r="B73" s="429"/>
      <c r="C73" s="343" t="s">
        <v>2</v>
      </c>
      <c r="D73" s="343" t="s">
        <v>37</v>
      </c>
      <c r="E73" s="343" t="s">
        <v>3</v>
      </c>
      <c r="F73" s="429" t="s">
        <v>38</v>
      </c>
      <c r="G73" s="429"/>
      <c r="H73" s="429"/>
      <c r="I73" s="429"/>
      <c r="J73" s="429"/>
      <c r="K73" s="430" t="s">
        <v>58</v>
      </c>
      <c r="L73" s="431"/>
      <c r="M73" s="431"/>
      <c r="N73" s="431"/>
      <c r="O73" s="431"/>
      <c r="P73" s="431"/>
      <c r="Q73" s="431"/>
      <c r="R73" s="431"/>
      <c r="S73" s="432"/>
      <c r="T73" s="429" t="s">
        <v>49</v>
      </c>
      <c r="U73" s="429"/>
      <c r="V73" s="430" t="s">
        <v>50</v>
      </c>
      <c r="W73" s="432"/>
      <c r="X73" s="431" t="s">
        <v>51</v>
      </c>
      <c r="Y73" s="431"/>
      <c r="Z73" s="431"/>
      <c r="AA73" s="431"/>
      <c r="AB73" s="431"/>
      <c r="AC73" s="431"/>
      <c r="AD73" s="433"/>
      <c r="AF73" s="53"/>
    </row>
    <row r="74" spans="1:32" ht="33.75" customHeight="1">
      <c r="A74" s="442">
        <v>1</v>
      </c>
      <c r="B74" s="443"/>
      <c r="C74" s="345" t="s">
        <v>114</v>
      </c>
      <c r="D74" s="345"/>
      <c r="E74" s="71" t="s">
        <v>133</v>
      </c>
      <c r="F74" s="444" t="s">
        <v>132</v>
      </c>
      <c r="G74" s="445"/>
      <c r="H74" s="445"/>
      <c r="I74" s="445"/>
      <c r="J74" s="446"/>
      <c r="K74" s="447" t="s">
        <v>135</v>
      </c>
      <c r="L74" s="448"/>
      <c r="M74" s="448"/>
      <c r="N74" s="448"/>
      <c r="O74" s="448"/>
      <c r="P74" s="448"/>
      <c r="Q74" s="448"/>
      <c r="R74" s="448"/>
      <c r="S74" s="449"/>
      <c r="T74" s="450">
        <v>43384</v>
      </c>
      <c r="U74" s="451"/>
      <c r="V74" s="452"/>
      <c r="W74" s="452"/>
      <c r="X74" s="453"/>
      <c r="Y74" s="453"/>
      <c r="Z74" s="453"/>
      <c r="AA74" s="453"/>
      <c r="AB74" s="453"/>
      <c r="AC74" s="453"/>
      <c r="AD74" s="454"/>
      <c r="AF74" s="53"/>
    </row>
    <row r="75" spans="1:32" ht="30" customHeight="1">
      <c r="A75" s="434">
        <f>A74+1</f>
        <v>2</v>
      </c>
      <c r="B75" s="435"/>
      <c r="C75" s="344"/>
      <c r="D75" s="344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ref="A76:A82" si="11">A75+1</f>
        <v>3</v>
      </c>
      <c r="B76" s="435"/>
      <c r="C76" s="344"/>
      <c r="D76" s="344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4</v>
      </c>
      <c r="B77" s="435"/>
      <c r="C77" s="344"/>
      <c r="D77" s="344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5</v>
      </c>
      <c r="B78" s="435"/>
      <c r="C78" s="344"/>
      <c r="D78" s="344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6</v>
      </c>
      <c r="B79" s="435"/>
      <c r="C79" s="344"/>
      <c r="D79" s="344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7</v>
      </c>
      <c r="B80" s="435"/>
      <c r="C80" s="344"/>
      <c r="D80" s="344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8</v>
      </c>
      <c r="B81" s="435"/>
      <c r="C81" s="344"/>
      <c r="D81" s="344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0" customHeight="1">
      <c r="A82" s="434">
        <f t="shared" si="11"/>
        <v>9</v>
      </c>
      <c r="B82" s="435"/>
      <c r="C82" s="344"/>
      <c r="D82" s="344"/>
      <c r="E82" s="35"/>
      <c r="F82" s="435"/>
      <c r="G82" s="435"/>
      <c r="H82" s="435"/>
      <c r="I82" s="435"/>
      <c r="J82" s="435"/>
      <c r="K82" s="436"/>
      <c r="L82" s="437"/>
      <c r="M82" s="437"/>
      <c r="N82" s="437"/>
      <c r="O82" s="437"/>
      <c r="P82" s="437"/>
      <c r="Q82" s="437"/>
      <c r="R82" s="437"/>
      <c r="S82" s="438"/>
      <c r="T82" s="439"/>
      <c r="U82" s="439"/>
      <c r="V82" s="439"/>
      <c r="W82" s="439"/>
      <c r="X82" s="440"/>
      <c r="Y82" s="440"/>
      <c r="Z82" s="440"/>
      <c r="AA82" s="440"/>
      <c r="AB82" s="440"/>
      <c r="AC82" s="440"/>
      <c r="AD82" s="441"/>
      <c r="AF82" s="53"/>
    </row>
    <row r="83" spans="1:32" ht="36" thickBot="1">
      <c r="A83" s="427" t="s">
        <v>492</v>
      </c>
      <c r="B83" s="427"/>
      <c r="C83" s="427"/>
      <c r="D83" s="427"/>
      <c r="E83" s="427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8" t="s">
        <v>113</v>
      </c>
      <c r="B84" s="429"/>
      <c r="C84" s="455" t="s">
        <v>52</v>
      </c>
      <c r="D84" s="455"/>
      <c r="E84" s="455" t="s">
        <v>53</v>
      </c>
      <c r="F84" s="455"/>
      <c r="G84" s="455"/>
      <c r="H84" s="455"/>
      <c r="I84" s="455"/>
      <c r="J84" s="455"/>
      <c r="K84" s="455" t="s">
        <v>54</v>
      </c>
      <c r="L84" s="455"/>
      <c r="M84" s="455"/>
      <c r="N84" s="455"/>
      <c r="O84" s="455"/>
      <c r="P84" s="455"/>
      <c r="Q84" s="455"/>
      <c r="R84" s="455"/>
      <c r="S84" s="455"/>
      <c r="T84" s="455" t="s">
        <v>55</v>
      </c>
      <c r="U84" s="455"/>
      <c r="V84" s="455" t="s">
        <v>56</v>
      </c>
      <c r="W84" s="455"/>
      <c r="X84" s="455"/>
      <c r="Y84" s="455" t="s">
        <v>51</v>
      </c>
      <c r="Z84" s="455"/>
      <c r="AA84" s="455"/>
      <c r="AB84" s="455"/>
      <c r="AC84" s="455"/>
      <c r="AD84" s="456"/>
      <c r="AF84" s="53"/>
    </row>
    <row r="85" spans="1:32" ht="30.75" customHeight="1">
      <c r="A85" s="442">
        <v>1</v>
      </c>
      <c r="B85" s="443"/>
      <c r="C85" s="457"/>
      <c r="D85" s="457"/>
      <c r="E85" s="457"/>
      <c r="F85" s="457"/>
      <c r="G85" s="457"/>
      <c r="H85" s="457"/>
      <c r="I85" s="457"/>
      <c r="J85" s="457"/>
      <c r="K85" s="457"/>
      <c r="L85" s="457"/>
      <c r="M85" s="457"/>
      <c r="N85" s="457"/>
      <c r="O85" s="457"/>
      <c r="P85" s="457"/>
      <c r="Q85" s="457"/>
      <c r="R85" s="457"/>
      <c r="S85" s="457"/>
      <c r="T85" s="457"/>
      <c r="U85" s="457"/>
      <c r="V85" s="458"/>
      <c r="W85" s="458"/>
      <c r="X85" s="458"/>
      <c r="Y85" s="459"/>
      <c r="Z85" s="459"/>
      <c r="AA85" s="459"/>
      <c r="AB85" s="459"/>
      <c r="AC85" s="459"/>
      <c r="AD85" s="460"/>
      <c r="AF85" s="53"/>
    </row>
    <row r="86" spans="1:32" ht="30.75" customHeight="1">
      <c r="A86" s="434">
        <v>2</v>
      </c>
      <c r="B86" s="435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9"/>
      <c r="U86" s="469"/>
      <c r="V86" s="470"/>
      <c r="W86" s="470"/>
      <c r="X86" s="470"/>
      <c r="Y86" s="461"/>
      <c r="Z86" s="461"/>
      <c r="AA86" s="461"/>
      <c r="AB86" s="461"/>
      <c r="AC86" s="461"/>
      <c r="AD86" s="462"/>
      <c r="AF86" s="53"/>
    </row>
    <row r="87" spans="1:32" ht="30.75" customHeight="1" thickBot="1">
      <c r="A87" s="463">
        <v>3</v>
      </c>
      <c r="B87" s="464"/>
      <c r="C87" s="465"/>
      <c r="D87" s="465"/>
      <c r="E87" s="465"/>
      <c r="F87" s="465"/>
      <c r="G87" s="465"/>
      <c r="H87" s="465"/>
      <c r="I87" s="465"/>
      <c r="J87" s="465"/>
      <c r="K87" s="465"/>
      <c r="L87" s="465"/>
      <c r="M87" s="465"/>
      <c r="N87" s="465"/>
      <c r="O87" s="465"/>
      <c r="P87" s="465"/>
      <c r="Q87" s="465"/>
      <c r="R87" s="465"/>
      <c r="S87" s="465"/>
      <c r="T87" s="465"/>
      <c r="U87" s="465"/>
      <c r="V87" s="465"/>
      <c r="W87" s="465"/>
      <c r="X87" s="465"/>
      <c r="Y87" s="466"/>
      <c r="Z87" s="466"/>
      <c r="AA87" s="466"/>
      <c r="AB87" s="466"/>
      <c r="AC87" s="466"/>
      <c r="AD87" s="467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773-BEA8-4CA4-A6CF-07234EA7C346}">
  <sheetPr>
    <pageSetUpPr fitToPage="1"/>
  </sheetPr>
  <dimension ref="A1:AF87"/>
  <sheetViews>
    <sheetView tabSelected="1" zoomScale="72" zoomScaleNormal="72" zoomScaleSheetLayoutView="70" workbookViewId="0">
      <selection activeCell="M10" sqref="M1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7.375" style="53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3"/>
    <col min="33" max="33" width="17.625" style="53" customWidth="1"/>
    <col min="34" max="16384" width="9" style="53"/>
  </cols>
  <sheetData>
    <row r="1" spans="1:32" ht="44.25" customHeight="1">
      <c r="A1" s="358" t="s">
        <v>493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9"/>
      <c r="B3" s="359"/>
      <c r="C3" s="359"/>
      <c r="D3" s="359"/>
      <c r="E3" s="359"/>
      <c r="F3" s="359"/>
      <c r="G3" s="359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60" t="s">
        <v>0</v>
      </c>
      <c r="B4" s="362" t="s">
        <v>1</v>
      </c>
      <c r="C4" s="362" t="s">
        <v>2</v>
      </c>
      <c r="D4" s="365" t="s">
        <v>3</v>
      </c>
      <c r="E4" s="367" t="s">
        <v>4</v>
      </c>
      <c r="F4" s="365" t="s">
        <v>5</v>
      </c>
      <c r="G4" s="362" t="s">
        <v>6</v>
      </c>
      <c r="H4" s="368" t="s">
        <v>7</v>
      </c>
      <c r="I4" s="389" t="s">
        <v>8</v>
      </c>
      <c r="J4" s="390"/>
      <c r="K4" s="390"/>
      <c r="L4" s="390"/>
      <c r="M4" s="390"/>
      <c r="N4" s="390"/>
      <c r="O4" s="391"/>
      <c r="P4" s="392" t="s">
        <v>9</v>
      </c>
      <c r="Q4" s="393"/>
      <c r="R4" s="394" t="s">
        <v>10</v>
      </c>
      <c r="S4" s="394"/>
      <c r="T4" s="394"/>
      <c r="U4" s="394"/>
      <c r="V4" s="394"/>
      <c r="W4" s="395" t="s">
        <v>11</v>
      </c>
      <c r="X4" s="394"/>
      <c r="Y4" s="394"/>
      <c r="Z4" s="394"/>
      <c r="AA4" s="396"/>
      <c r="AB4" s="397" t="s">
        <v>12</v>
      </c>
      <c r="AC4" s="370" t="s">
        <v>13</v>
      </c>
      <c r="AD4" s="370" t="s">
        <v>14</v>
      </c>
      <c r="AE4" s="58"/>
    </row>
    <row r="5" spans="1:32" ht="51" customHeight="1" thickBot="1">
      <c r="A5" s="361"/>
      <c r="B5" s="363"/>
      <c r="C5" s="364"/>
      <c r="D5" s="366"/>
      <c r="E5" s="366"/>
      <c r="F5" s="366"/>
      <c r="G5" s="363"/>
      <c r="H5" s="369"/>
      <c r="I5" s="59" t="s">
        <v>15</v>
      </c>
      <c r="J5" s="60" t="s">
        <v>16</v>
      </c>
      <c r="K5" s="356" t="s">
        <v>17</v>
      </c>
      <c r="L5" s="356" t="s">
        <v>18</v>
      </c>
      <c r="M5" s="356" t="s">
        <v>19</v>
      </c>
      <c r="N5" s="35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8"/>
      <c r="AC5" s="371"/>
      <c r="AD5" s="371"/>
      <c r="AE5" s="58"/>
    </row>
    <row r="6" spans="1:32" ht="27" customHeight="1">
      <c r="A6" s="107">
        <v>1</v>
      </c>
      <c r="B6" s="11"/>
      <c r="C6" s="37"/>
      <c r="D6" s="55"/>
      <c r="E6" s="57"/>
      <c r="F6" s="33"/>
      <c r="G6" s="12"/>
      <c r="H6" s="13"/>
      <c r="I6" s="34"/>
      <c r="J6" s="5">
        <v>0</v>
      </c>
      <c r="K6" s="15">
        <f>L6</f>
        <v>0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 t="str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0.66388888888888897</v>
      </c>
      <c r="AF6" s="93">
        <f t="shared" ref="AF6:AF21" si="8">A6</f>
        <v>1</v>
      </c>
    </row>
    <row r="7" spans="1:32" ht="27" customHeight="1">
      <c r="A7" s="107">
        <v>2</v>
      </c>
      <c r="B7" s="11"/>
      <c r="C7" s="37"/>
      <c r="D7" s="55"/>
      <c r="E7" s="57"/>
      <c r="F7" s="33"/>
      <c r="G7" s="12"/>
      <c r="H7" s="13"/>
      <c r="I7" s="34"/>
      <c r="J7" s="5">
        <v>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 t="str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0.66388888888888897</v>
      </c>
      <c r="AF7" s="93">
        <f t="shared" si="8"/>
        <v>2</v>
      </c>
    </row>
    <row r="8" spans="1:32" ht="27" customHeight="1">
      <c r="A8" s="108">
        <v>3</v>
      </c>
      <c r="B8" s="11" t="s">
        <v>57</v>
      </c>
      <c r="C8" s="37" t="s">
        <v>126</v>
      </c>
      <c r="D8" s="55" t="s">
        <v>131</v>
      </c>
      <c r="E8" s="57" t="s">
        <v>345</v>
      </c>
      <c r="F8" s="33" t="s">
        <v>122</v>
      </c>
      <c r="G8" s="36">
        <v>4</v>
      </c>
      <c r="H8" s="38">
        <v>25</v>
      </c>
      <c r="I8" s="7">
        <v>400000</v>
      </c>
      <c r="J8" s="5">
        <v>20748</v>
      </c>
      <c r="K8" s="15">
        <f>L8+16608+16844+19920</f>
        <v>74120</v>
      </c>
      <c r="L8" s="15">
        <f>2809*4+2378*4</f>
        <v>20748</v>
      </c>
      <c r="M8" s="16">
        <f t="shared" si="0"/>
        <v>20748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0.66388888888888897</v>
      </c>
      <c r="AF8" s="93">
        <f t="shared" si="8"/>
        <v>3</v>
      </c>
    </row>
    <row r="9" spans="1:32" ht="27" customHeight="1">
      <c r="A9" s="109">
        <v>4</v>
      </c>
      <c r="B9" s="11" t="s">
        <v>57</v>
      </c>
      <c r="C9" s="11" t="s">
        <v>114</v>
      </c>
      <c r="D9" s="55" t="s">
        <v>173</v>
      </c>
      <c r="E9" s="57" t="s">
        <v>440</v>
      </c>
      <c r="F9" s="33" t="s">
        <v>122</v>
      </c>
      <c r="G9" s="36">
        <v>1</v>
      </c>
      <c r="H9" s="38">
        <v>24</v>
      </c>
      <c r="I9" s="7">
        <v>16000</v>
      </c>
      <c r="J9" s="14">
        <v>4882</v>
      </c>
      <c r="K9" s="15">
        <f>L9+1505</f>
        <v>6387</v>
      </c>
      <c r="L9" s="15">
        <f>2761+2121</f>
        <v>4882</v>
      </c>
      <c r="M9" s="16">
        <f t="shared" si="0"/>
        <v>4882</v>
      </c>
      <c r="N9" s="16">
        <v>0</v>
      </c>
      <c r="O9" s="62">
        <f t="shared" si="1"/>
        <v>0</v>
      </c>
      <c r="P9" s="42">
        <f t="shared" si="2"/>
        <v>21</v>
      </c>
      <c r="Q9" s="43">
        <f t="shared" si="3"/>
        <v>3</v>
      </c>
      <c r="R9" s="7"/>
      <c r="S9" s="6">
        <v>3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9">
        <f t="shared" si="7"/>
        <v>0.66388888888888897</v>
      </c>
      <c r="AF9" s="93">
        <f t="shared" si="8"/>
        <v>4</v>
      </c>
    </row>
    <row r="10" spans="1:32" ht="27" customHeight="1">
      <c r="A10" s="109">
        <v>5</v>
      </c>
      <c r="B10" s="11" t="s">
        <v>57</v>
      </c>
      <c r="C10" s="11" t="s">
        <v>126</v>
      </c>
      <c r="D10" s="55" t="s">
        <v>120</v>
      </c>
      <c r="E10" s="57" t="s">
        <v>358</v>
      </c>
      <c r="F10" s="12" t="s">
        <v>122</v>
      </c>
      <c r="G10" s="12">
        <v>4</v>
      </c>
      <c r="H10" s="13">
        <v>25</v>
      </c>
      <c r="I10" s="7">
        <v>400000</v>
      </c>
      <c r="J10" s="14">
        <v>24764</v>
      </c>
      <c r="K10" s="15">
        <f>L10+23776+26072+26756</f>
        <v>101368</v>
      </c>
      <c r="L10" s="15">
        <f>3562*4+2629*4</f>
        <v>24764</v>
      </c>
      <c r="M10" s="16">
        <f t="shared" si="0"/>
        <v>24764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0.66388888888888897</v>
      </c>
      <c r="AF10" s="93">
        <f t="shared" si="8"/>
        <v>5</v>
      </c>
    </row>
    <row r="11" spans="1:32" ht="27" customHeight="1">
      <c r="A11" s="109">
        <v>6</v>
      </c>
      <c r="B11" s="11" t="s">
        <v>57</v>
      </c>
      <c r="C11" s="11" t="s">
        <v>126</v>
      </c>
      <c r="D11" s="55" t="s">
        <v>121</v>
      </c>
      <c r="E11" s="57" t="s">
        <v>420</v>
      </c>
      <c r="F11" s="12" t="s">
        <v>421</v>
      </c>
      <c r="G11" s="12">
        <v>1</v>
      </c>
      <c r="H11" s="13">
        <v>25</v>
      </c>
      <c r="I11" s="7">
        <v>35000</v>
      </c>
      <c r="J11" s="14">
        <v>3771</v>
      </c>
      <c r="K11" s="15">
        <f>L11+3530+5736+6036+5863+4843</f>
        <v>29779</v>
      </c>
      <c r="L11" s="15">
        <f>2956+815</f>
        <v>3771</v>
      </c>
      <c r="M11" s="16">
        <f t="shared" si="0"/>
        <v>3771</v>
      </c>
      <c r="N11" s="16">
        <v>0</v>
      </c>
      <c r="O11" s="62">
        <f t="shared" si="1"/>
        <v>0</v>
      </c>
      <c r="P11" s="42">
        <f t="shared" si="2"/>
        <v>18</v>
      </c>
      <c r="Q11" s="43">
        <f t="shared" si="3"/>
        <v>6</v>
      </c>
      <c r="R11" s="7"/>
      <c r="S11" s="6">
        <v>6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0.75</v>
      </c>
      <c r="AD11" s="10">
        <f t="shared" si="6"/>
        <v>0.75</v>
      </c>
      <c r="AE11" s="39">
        <f t="shared" si="7"/>
        <v>0.66388888888888897</v>
      </c>
      <c r="AF11" s="93">
        <f t="shared" si="8"/>
        <v>6</v>
      </c>
    </row>
    <row r="12" spans="1:32" ht="27" customHeight="1">
      <c r="A12" s="109">
        <v>7</v>
      </c>
      <c r="B12" s="11" t="s">
        <v>57</v>
      </c>
      <c r="C12" s="11" t="s">
        <v>126</v>
      </c>
      <c r="D12" s="55" t="s">
        <v>117</v>
      </c>
      <c r="E12" s="57" t="s">
        <v>394</v>
      </c>
      <c r="F12" s="33" t="s">
        <v>144</v>
      </c>
      <c r="G12" s="36">
        <v>1</v>
      </c>
      <c r="H12" s="38">
        <v>24</v>
      </c>
      <c r="I12" s="7">
        <v>35000</v>
      </c>
      <c r="J12" s="14">
        <v>5105</v>
      </c>
      <c r="K12" s="15">
        <f>L12+2181+2158+5261+5417+5567+3991+3627</f>
        <v>33307</v>
      </c>
      <c r="L12" s="15">
        <f>2963+2142</f>
        <v>5105</v>
      </c>
      <c r="M12" s="16">
        <f t="shared" si="0"/>
        <v>5105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1</v>
      </c>
      <c r="AD12" s="10">
        <f t="shared" si="6"/>
        <v>1</v>
      </c>
      <c r="AE12" s="39">
        <f t="shared" si="7"/>
        <v>0.66388888888888897</v>
      </c>
      <c r="AF12" s="93">
        <f t="shared" si="8"/>
        <v>7</v>
      </c>
    </row>
    <row r="13" spans="1:32" ht="27" customHeight="1">
      <c r="A13" s="109">
        <v>8</v>
      </c>
      <c r="B13" s="11" t="s">
        <v>57</v>
      </c>
      <c r="C13" s="11" t="s">
        <v>126</v>
      </c>
      <c r="D13" s="55" t="s">
        <v>211</v>
      </c>
      <c r="E13" s="57" t="s">
        <v>210</v>
      </c>
      <c r="F13" s="12" t="s">
        <v>212</v>
      </c>
      <c r="G13" s="12">
        <v>4</v>
      </c>
      <c r="H13" s="13">
        <v>25</v>
      </c>
      <c r="I13" s="7">
        <v>30000</v>
      </c>
      <c r="J13" s="14">
        <v>10540</v>
      </c>
      <c r="K13" s="15">
        <f>L13+22420+10540</f>
        <v>32960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0.66388888888888897</v>
      </c>
      <c r="AF13" s="93">
        <f t="shared" si="8"/>
        <v>8</v>
      </c>
    </row>
    <row r="14" spans="1:32" ht="27" customHeight="1">
      <c r="A14" s="125">
        <v>9</v>
      </c>
      <c r="B14" s="11" t="s">
        <v>57</v>
      </c>
      <c r="C14" s="37" t="s">
        <v>114</v>
      </c>
      <c r="D14" s="55" t="s">
        <v>117</v>
      </c>
      <c r="E14" s="57" t="s">
        <v>487</v>
      </c>
      <c r="F14" s="33" t="s">
        <v>494</v>
      </c>
      <c r="G14" s="36">
        <v>1</v>
      </c>
      <c r="H14" s="38">
        <v>25</v>
      </c>
      <c r="I14" s="7">
        <v>500</v>
      </c>
      <c r="J14" s="5">
        <v>613</v>
      </c>
      <c r="K14" s="15">
        <f>L14</f>
        <v>613</v>
      </c>
      <c r="L14" s="15">
        <v>613</v>
      </c>
      <c r="M14" s="16">
        <f t="shared" si="0"/>
        <v>613</v>
      </c>
      <c r="N14" s="16">
        <v>0</v>
      </c>
      <c r="O14" s="62">
        <f t="shared" si="1"/>
        <v>0</v>
      </c>
      <c r="P14" s="42">
        <f t="shared" si="2"/>
        <v>10</v>
      </c>
      <c r="Q14" s="43">
        <f t="shared" si="3"/>
        <v>14</v>
      </c>
      <c r="R14" s="7"/>
      <c r="S14" s="6">
        <v>3</v>
      </c>
      <c r="T14" s="17"/>
      <c r="U14" s="17"/>
      <c r="V14" s="18"/>
      <c r="W14" s="19">
        <v>11</v>
      </c>
      <c r="X14" s="17"/>
      <c r="Y14" s="20"/>
      <c r="Z14" s="20"/>
      <c r="AA14" s="21"/>
      <c r="AB14" s="8">
        <f t="shared" si="4"/>
        <v>1</v>
      </c>
      <c r="AC14" s="9">
        <f t="shared" si="5"/>
        <v>0.41666666666666669</v>
      </c>
      <c r="AD14" s="10">
        <f t="shared" si="6"/>
        <v>0.41666666666666669</v>
      </c>
      <c r="AE14" s="39">
        <f t="shared" si="7"/>
        <v>0.66388888888888897</v>
      </c>
      <c r="AF14" s="93">
        <f t="shared" si="8"/>
        <v>9</v>
      </c>
    </row>
    <row r="15" spans="1:32" ht="27" customHeight="1">
      <c r="A15" s="108">
        <v>10</v>
      </c>
      <c r="B15" s="11" t="s">
        <v>57</v>
      </c>
      <c r="C15" s="37" t="s">
        <v>188</v>
      </c>
      <c r="D15" s="55" t="s">
        <v>197</v>
      </c>
      <c r="E15" s="57" t="s">
        <v>187</v>
      </c>
      <c r="F15" s="12" t="s">
        <v>198</v>
      </c>
      <c r="G15" s="12">
        <v>1</v>
      </c>
      <c r="H15" s="13">
        <v>24</v>
      </c>
      <c r="I15" s="34">
        <v>100000</v>
      </c>
      <c r="J15" s="14">
        <v>27965</v>
      </c>
      <c r="K15" s="15">
        <f>L15+32805+66430+67599+62860+19229+27965</f>
        <v>276888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0.66388888888888897</v>
      </c>
      <c r="AF15" s="93">
        <f t="shared" si="8"/>
        <v>10</v>
      </c>
    </row>
    <row r="16" spans="1:32" ht="27" customHeight="1">
      <c r="A16" s="108">
        <v>11</v>
      </c>
      <c r="B16" s="11" t="s">
        <v>57</v>
      </c>
      <c r="C16" s="37" t="s">
        <v>126</v>
      </c>
      <c r="D16" s="55" t="s">
        <v>120</v>
      </c>
      <c r="E16" s="57" t="s">
        <v>339</v>
      </c>
      <c r="F16" s="33" t="s">
        <v>199</v>
      </c>
      <c r="G16" s="36">
        <v>1</v>
      </c>
      <c r="H16" s="38">
        <v>24</v>
      </c>
      <c r="I16" s="7">
        <v>35000</v>
      </c>
      <c r="J16" s="5">
        <v>4375</v>
      </c>
      <c r="K16" s="15">
        <f>L16+4512+3969+4406+3892+1774+3617+2504+3561+4272+5733</f>
        <v>42615</v>
      </c>
      <c r="L16" s="15">
        <f>2130+2245</f>
        <v>4375</v>
      </c>
      <c r="M16" s="16">
        <f t="shared" si="0"/>
        <v>4375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0.66388888888888897</v>
      </c>
      <c r="AF16" s="93">
        <f t="shared" si="8"/>
        <v>11</v>
      </c>
    </row>
    <row r="17" spans="1:32" ht="27" customHeight="1">
      <c r="A17" s="108">
        <v>12</v>
      </c>
      <c r="B17" s="11" t="s">
        <v>57</v>
      </c>
      <c r="C17" s="37" t="s">
        <v>126</v>
      </c>
      <c r="D17" s="55" t="s">
        <v>128</v>
      </c>
      <c r="E17" s="57" t="s">
        <v>359</v>
      </c>
      <c r="F17" s="12" t="s">
        <v>149</v>
      </c>
      <c r="G17" s="12">
        <v>4</v>
      </c>
      <c r="H17" s="13">
        <v>24</v>
      </c>
      <c r="I17" s="34">
        <v>400000</v>
      </c>
      <c r="J17" s="14">
        <v>24300</v>
      </c>
      <c r="K17" s="15">
        <f>L17+19964+21928+25296</f>
        <v>91488</v>
      </c>
      <c r="L17" s="15">
        <f>3398*4+2677*4</f>
        <v>24300</v>
      </c>
      <c r="M17" s="16">
        <f t="shared" si="0"/>
        <v>24300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0.66388888888888897</v>
      </c>
      <c r="AF17" s="93">
        <f t="shared" si="8"/>
        <v>12</v>
      </c>
    </row>
    <row r="18" spans="1:32" ht="27" customHeight="1">
      <c r="A18" s="109">
        <v>13</v>
      </c>
      <c r="B18" s="11" t="s">
        <v>57</v>
      </c>
      <c r="C18" s="37" t="s">
        <v>126</v>
      </c>
      <c r="D18" s="55" t="s">
        <v>117</v>
      </c>
      <c r="E18" s="57" t="s">
        <v>441</v>
      </c>
      <c r="F18" s="12" t="s">
        <v>144</v>
      </c>
      <c r="G18" s="36">
        <v>4</v>
      </c>
      <c r="H18" s="38">
        <v>24</v>
      </c>
      <c r="I18" s="7">
        <v>400000</v>
      </c>
      <c r="J18" s="5">
        <v>16460</v>
      </c>
      <c r="K18" s="15">
        <f>L18+12380+14384+22568</f>
        <v>65792</v>
      </c>
      <c r="L18" s="15">
        <f>1831*4+2284*4</f>
        <v>16460</v>
      </c>
      <c r="M18" s="16">
        <f t="shared" si="0"/>
        <v>16460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>
        <v>2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9">
        <f t="shared" si="7"/>
        <v>0.66388888888888897</v>
      </c>
      <c r="AF18" s="93">
        <f t="shared" si="8"/>
        <v>13</v>
      </c>
    </row>
    <row r="19" spans="1:32" ht="27" customHeight="1">
      <c r="A19" s="109">
        <v>14</v>
      </c>
      <c r="B19" s="11" t="s">
        <v>57</v>
      </c>
      <c r="C19" s="11" t="s">
        <v>118</v>
      </c>
      <c r="D19" s="55" t="s">
        <v>120</v>
      </c>
      <c r="E19" s="57" t="s">
        <v>475</v>
      </c>
      <c r="F19" s="12" t="s">
        <v>474</v>
      </c>
      <c r="G19" s="36">
        <v>1</v>
      </c>
      <c r="H19" s="13">
        <v>24</v>
      </c>
      <c r="I19" s="7">
        <v>16000</v>
      </c>
      <c r="J19" s="14">
        <v>4851</v>
      </c>
      <c r="K19" s="15">
        <f>L19+3970</f>
        <v>8821</v>
      </c>
      <c r="L19" s="15">
        <f>2733+2118</f>
        <v>4851</v>
      </c>
      <c r="M19" s="16">
        <f t="shared" si="0"/>
        <v>4851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0.66388888888888897</v>
      </c>
      <c r="AF19" s="93">
        <f t="shared" si="8"/>
        <v>14</v>
      </c>
    </row>
    <row r="20" spans="1:32" ht="27" customHeight="1">
      <c r="A20" s="109">
        <v>14</v>
      </c>
      <c r="B20" s="11" t="s">
        <v>57</v>
      </c>
      <c r="C20" s="11" t="s">
        <v>118</v>
      </c>
      <c r="D20" s="55" t="s">
        <v>473</v>
      </c>
      <c r="E20" s="57" t="s">
        <v>476</v>
      </c>
      <c r="F20" s="12" t="s">
        <v>474</v>
      </c>
      <c r="G20" s="36">
        <v>1</v>
      </c>
      <c r="H20" s="13">
        <v>24</v>
      </c>
      <c r="I20" s="7">
        <v>16000</v>
      </c>
      <c r="J20" s="14">
        <v>4851</v>
      </c>
      <c r="K20" s="15">
        <f>L20+3970</f>
        <v>8821</v>
      </c>
      <c r="L20" s="15">
        <v>4851</v>
      </c>
      <c r="M20" s="16">
        <f t="shared" si="0"/>
        <v>4851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0.66388888888888897</v>
      </c>
      <c r="AF20" s="93">
        <f t="shared" si="8"/>
        <v>14</v>
      </c>
    </row>
    <row r="21" spans="1:32" ht="27" customHeight="1" thickBot="1">
      <c r="A21" s="109">
        <v>15</v>
      </c>
      <c r="B21" s="11" t="s">
        <v>57</v>
      </c>
      <c r="C21" s="11" t="s">
        <v>115</v>
      </c>
      <c r="D21" s="55"/>
      <c r="E21" s="56" t="s">
        <v>154</v>
      </c>
      <c r="F21" s="12" t="s">
        <v>116</v>
      </c>
      <c r="G21" s="12">
        <v>4</v>
      </c>
      <c r="H21" s="38">
        <v>20</v>
      </c>
      <c r="I21" s="7">
        <v>300000</v>
      </c>
      <c r="J21" s="14">
        <v>10476</v>
      </c>
      <c r="K21" s="15">
        <f>L21+39648+30712+45256+43600+10476</f>
        <v>169692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>
        <v>24</v>
      </c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0.66388888888888897</v>
      </c>
      <c r="AF21" s="93">
        <f t="shared" si="8"/>
        <v>15</v>
      </c>
    </row>
    <row r="22" spans="1:32" ht="31.5" customHeight="1" thickBot="1">
      <c r="A22" s="372" t="s">
        <v>34</v>
      </c>
      <c r="B22" s="373"/>
      <c r="C22" s="373"/>
      <c r="D22" s="373"/>
      <c r="E22" s="373"/>
      <c r="F22" s="373"/>
      <c r="G22" s="373"/>
      <c r="H22" s="374"/>
      <c r="I22" s="25">
        <f t="shared" ref="I22:N22" si="9">SUM(I6:I21)</f>
        <v>2183500</v>
      </c>
      <c r="J22" s="22">
        <f t="shared" si="9"/>
        <v>163701</v>
      </c>
      <c r="K22" s="23">
        <f t="shared" si="9"/>
        <v>942651</v>
      </c>
      <c r="L22" s="24">
        <f t="shared" si="9"/>
        <v>114720</v>
      </c>
      <c r="M22" s="23">
        <f t="shared" si="9"/>
        <v>114720</v>
      </c>
      <c r="N22" s="24">
        <f t="shared" si="9"/>
        <v>0</v>
      </c>
      <c r="O22" s="44">
        <f t="shared" si="1"/>
        <v>0</v>
      </c>
      <c r="P22" s="45">
        <f t="shared" ref="P22:AA22" si="10">SUM(P6:P21)</f>
        <v>239</v>
      </c>
      <c r="Q22" s="46">
        <f t="shared" si="10"/>
        <v>145</v>
      </c>
      <c r="R22" s="26">
        <f t="shared" si="10"/>
        <v>24</v>
      </c>
      <c r="S22" s="27">
        <f t="shared" si="10"/>
        <v>14</v>
      </c>
      <c r="T22" s="27">
        <f t="shared" si="10"/>
        <v>0</v>
      </c>
      <c r="U22" s="27">
        <f t="shared" si="10"/>
        <v>0</v>
      </c>
      <c r="V22" s="28">
        <f t="shared" si="10"/>
        <v>24</v>
      </c>
      <c r="W22" s="29">
        <f t="shared" si="10"/>
        <v>83</v>
      </c>
      <c r="X22" s="30">
        <f t="shared" si="10"/>
        <v>0</v>
      </c>
      <c r="Y22" s="30">
        <f t="shared" si="10"/>
        <v>0</v>
      </c>
      <c r="Z22" s="30">
        <f t="shared" si="10"/>
        <v>0</v>
      </c>
      <c r="AA22" s="30">
        <f t="shared" si="10"/>
        <v>0</v>
      </c>
      <c r="AB22" s="31">
        <f>SUM(AB6:AB21)/15</f>
        <v>0.73333333333333328</v>
      </c>
      <c r="AC22" s="4">
        <f>SUM(AC6:AC21)/15</f>
        <v>0.66388888888888897</v>
      </c>
      <c r="AD22" s="4">
        <f>SUM(AD6:AD21)/15</f>
        <v>0.66388888888888897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4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5" t="s">
        <v>45</v>
      </c>
      <c r="B49" s="375"/>
      <c r="C49" s="375"/>
      <c r="D49" s="375"/>
      <c r="E49" s="375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6" t="s">
        <v>495</v>
      </c>
      <c r="B50" s="377"/>
      <c r="C50" s="377"/>
      <c r="D50" s="377"/>
      <c r="E50" s="377"/>
      <c r="F50" s="377"/>
      <c r="G50" s="377"/>
      <c r="H50" s="377"/>
      <c r="I50" s="377"/>
      <c r="J50" s="377"/>
      <c r="K50" s="377"/>
      <c r="L50" s="377"/>
      <c r="M50" s="378"/>
      <c r="N50" s="379" t="s">
        <v>499</v>
      </c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80"/>
      <c r="AA50" s="380"/>
      <c r="AB50" s="380"/>
      <c r="AC50" s="380"/>
      <c r="AD50" s="381"/>
    </row>
    <row r="51" spans="1:32" ht="27" customHeight="1">
      <c r="A51" s="382" t="s">
        <v>2</v>
      </c>
      <c r="B51" s="383"/>
      <c r="C51" s="355" t="s">
        <v>46</v>
      </c>
      <c r="D51" s="355" t="s">
        <v>47</v>
      </c>
      <c r="E51" s="355" t="s">
        <v>108</v>
      </c>
      <c r="F51" s="383" t="s">
        <v>107</v>
      </c>
      <c r="G51" s="383"/>
      <c r="H51" s="383"/>
      <c r="I51" s="383"/>
      <c r="J51" s="383"/>
      <c r="K51" s="383"/>
      <c r="L51" s="383"/>
      <c r="M51" s="384"/>
      <c r="N51" s="73" t="s">
        <v>112</v>
      </c>
      <c r="O51" s="355" t="s">
        <v>46</v>
      </c>
      <c r="P51" s="385" t="s">
        <v>47</v>
      </c>
      <c r="Q51" s="386"/>
      <c r="R51" s="385" t="s">
        <v>38</v>
      </c>
      <c r="S51" s="387"/>
      <c r="T51" s="387"/>
      <c r="U51" s="386"/>
      <c r="V51" s="385" t="s">
        <v>48</v>
      </c>
      <c r="W51" s="387"/>
      <c r="X51" s="387"/>
      <c r="Y51" s="387"/>
      <c r="Z51" s="387"/>
      <c r="AA51" s="387"/>
      <c r="AB51" s="387"/>
      <c r="AC51" s="387"/>
      <c r="AD51" s="388"/>
    </row>
    <row r="52" spans="1:32" ht="27" customHeight="1">
      <c r="A52" s="399" t="s">
        <v>126</v>
      </c>
      <c r="B52" s="400"/>
      <c r="C52" s="352" t="s">
        <v>228</v>
      </c>
      <c r="D52" s="352" t="s">
        <v>121</v>
      </c>
      <c r="E52" s="352" t="s">
        <v>496</v>
      </c>
      <c r="F52" s="401" t="s">
        <v>497</v>
      </c>
      <c r="G52" s="402"/>
      <c r="H52" s="402"/>
      <c r="I52" s="402"/>
      <c r="J52" s="402"/>
      <c r="K52" s="402"/>
      <c r="L52" s="402"/>
      <c r="M52" s="403"/>
      <c r="N52" s="351" t="s">
        <v>126</v>
      </c>
      <c r="O52" s="124" t="s">
        <v>184</v>
      </c>
      <c r="P52" s="404" t="s">
        <v>117</v>
      </c>
      <c r="Q52" s="405"/>
      <c r="R52" s="400" t="s">
        <v>441</v>
      </c>
      <c r="S52" s="400"/>
      <c r="T52" s="400"/>
      <c r="U52" s="400"/>
      <c r="V52" s="406" t="s">
        <v>146</v>
      </c>
      <c r="W52" s="406"/>
      <c r="X52" s="406"/>
      <c r="Y52" s="406"/>
      <c r="Z52" s="406"/>
      <c r="AA52" s="406"/>
      <c r="AB52" s="406"/>
      <c r="AC52" s="406"/>
      <c r="AD52" s="407"/>
    </row>
    <row r="53" spans="1:32" ht="27" customHeight="1">
      <c r="A53" s="399" t="s">
        <v>114</v>
      </c>
      <c r="B53" s="400"/>
      <c r="C53" s="352" t="s">
        <v>316</v>
      </c>
      <c r="D53" s="352" t="s">
        <v>117</v>
      </c>
      <c r="E53" s="352" t="s">
        <v>487</v>
      </c>
      <c r="F53" s="401" t="s">
        <v>498</v>
      </c>
      <c r="G53" s="402"/>
      <c r="H53" s="402"/>
      <c r="I53" s="402"/>
      <c r="J53" s="402"/>
      <c r="K53" s="402"/>
      <c r="L53" s="402"/>
      <c r="M53" s="403"/>
      <c r="N53" s="351"/>
      <c r="O53" s="124"/>
      <c r="P53" s="404"/>
      <c r="Q53" s="405"/>
      <c r="R53" s="400"/>
      <c r="S53" s="400"/>
      <c r="T53" s="400"/>
      <c r="U53" s="400"/>
      <c r="V53" s="406"/>
      <c r="W53" s="406"/>
      <c r="X53" s="406"/>
      <c r="Y53" s="406"/>
      <c r="Z53" s="406"/>
      <c r="AA53" s="406"/>
      <c r="AB53" s="406"/>
      <c r="AC53" s="406"/>
      <c r="AD53" s="407"/>
    </row>
    <row r="54" spans="1:32" ht="27" customHeight="1">
      <c r="A54" s="399"/>
      <c r="B54" s="400"/>
      <c r="C54" s="352"/>
      <c r="D54" s="352"/>
      <c r="E54" s="352"/>
      <c r="F54" s="401"/>
      <c r="G54" s="402"/>
      <c r="H54" s="402"/>
      <c r="I54" s="402"/>
      <c r="J54" s="402"/>
      <c r="K54" s="402"/>
      <c r="L54" s="402"/>
      <c r="M54" s="403"/>
      <c r="N54" s="351"/>
      <c r="O54" s="124"/>
      <c r="P54" s="400"/>
      <c r="Q54" s="400"/>
      <c r="R54" s="400"/>
      <c r="S54" s="400"/>
      <c r="T54" s="400"/>
      <c r="U54" s="400"/>
      <c r="V54" s="406"/>
      <c r="W54" s="406"/>
      <c r="X54" s="406"/>
      <c r="Y54" s="406"/>
      <c r="Z54" s="406"/>
      <c r="AA54" s="406"/>
      <c r="AB54" s="406"/>
      <c r="AC54" s="406"/>
      <c r="AD54" s="407"/>
    </row>
    <row r="55" spans="1:32" ht="27" customHeight="1">
      <c r="A55" s="399"/>
      <c r="B55" s="400"/>
      <c r="C55" s="352"/>
      <c r="D55" s="352"/>
      <c r="E55" s="352"/>
      <c r="F55" s="401"/>
      <c r="G55" s="402"/>
      <c r="H55" s="402"/>
      <c r="I55" s="402"/>
      <c r="J55" s="402"/>
      <c r="K55" s="402"/>
      <c r="L55" s="402"/>
      <c r="M55" s="403"/>
      <c r="N55" s="351"/>
      <c r="O55" s="124"/>
      <c r="P55" s="404"/>
      <c r="Q55" s="405"/>
      <c r="R55" s="400"/>
      <c r="S55" s="400"/>
      <c r="T55" s="400"/>
      <c r="U55" s="400"/>
      <c r="V55" s="406"/>
      <c r="W55" s="406"/>
      <c r="X55" s="406"/>
      <c r="Y55" s="406"/>
      <c r="Z55" s="406"/>
      <c r="AA55" s="406"/>
      <c r="AB55" s="406"/>
      <c r="AC55" s="406"/>
      <c r="AD55" s="407"/>
    </row>
    <row r="56" spans="1:32" ht="27" customHeight="1">
      <c r="A56" s="399"/>
      <c r="B56" s="400"/>
      <c r="C56" s="352"/>
      <c r="D56" s="352"/>
      <c r="E56" s="352"/>
      <c r="F56" s="401"/>
      <c r="G56" s="402"/>
      <c r="H56" s="402"/>
      <c r="I56" s="402"/>
      <c r="J56" s="402"/>
      <c r="K56" s="402"/>
      <c r="L56" s="402"/>
      <c r="M56" s="403"/>
      <c r="N56" s="351"/>
      <c r="O56" s="124"/>
      <c r="P56" s="400"/>
      <c r="Q56" s="400"/>
      <c r="R56" s="400"/>
      <c r="S56" s="400"/>
      <c r="T56" s="400"/>
      <c r="U56" s="400"/>
      <c r="V56" s="406"/>
      <c r="W56" s="406"/>
      <c r="X56" s="406"/>
      <c r="Y56" s="406"/>
      <c r="Z56" s="406"/>
      <c r="AA56" s="406"/>
      <c r="AB56" s="406"/>
      <c r="AC56" s="406"/>
      <c r="AD56" s="407"/>
    </row>
    <row r="57" spans="1:32" ht="27" customHeight="1">
      <c r="A57" s="399"/>
      <c r="B57" s="400"/>
      <c r="C57" s="352"/>
      <c r="D57" s="352"/>
      <c r="E57" s="352"/>
      <c r="F57" s="401"/>
      <c r="G57" s="402"/>
      <c r="H57" s="402"/>
      <c r="I57" s="402"/>
      <c r="J57" s="402"/>
      <c r="K57" s="402"/>
      <c r="L57" s="402"/>
      <c r="M57" s="403"/>
      <c r="N57" s="351"/>
      <c r="O57" s="124"/>
      <c r="P57" s="404"/>
      <c r="Q57" s="405"/>
      <c r="R57" s="400"/>
      <c r="S57" s="400"/>
      <c r="T57" s="400"/>
      <c r="U57" s="400"/>
      <c r="V57" s="406"/>
      <c r="W57" s="406"/>
      <c r="X57" s="406"/>
      <c r="Y57" s="406"/>
      <c r="Z57" s="406"/>
      <c r="AA57" s="406"/>
      <c r="AB57" s="406"/>
      <c r="AC57" s="406"/>
      <c r="AD57" s="407"/>
    </row>
    <row r="58" spans="1:32" ht="27" customHeight="1">
      <c r="A58" s="399"/>
      <c r="B58" s="400"/>
      <c r="C58" s="352"/>
      <c r="D58" s="352"/>
      <c r="E58" s="352"/>
      <c r="F58" s="406"/>
      <c r="G58" s="406"/>
      <c r="H58" s="406"/>
      <c r="I58" s="406"/>
      <c r="J58" s="406"/>
      <c r="K58" s="406"/>
      <c r="L58" s="406"/>
      <c r="M58" s="407"/>
      <c r="N58" s="351"/>
      <c r="O58" s="124"/>
      <c r="P58" s="404"/>
      <c r="Q58" s="405"/>
      <c r="R58" s="400"/>
      <c r="S58" s="400"/>
      <c r="T58" s="400"/>
      <c r="U58" s="400"/>
      <c r="V58" s="406"/>
      <c r="W58" s="406"/>
      <c r="X58" s="406"/>
      <c r="Y58" s="406"/>
      <c r="Z58" s="406"/>
      <c r="AA58" s="406"/>
      <c r="AB58" s="406"/>
      <c r="AC58" s="406"/>
      <c r="AD58" s="407"/>
    </row>
    <row r="59" spans="1:32" ht="27" customHeight="1">
      <c r="A59" s="399"/>
      <c r="B59" s="400"/>
      <c r="C59" s="352"/>
      <c r="D59" s="352"/>
      <c r="E59" s="352"/>
      <c r="F59" s="406"/>
      <c r="G59" s="406"/>
      <c r="H59" s="406"/>
      <c r="I59" s="406"/>
      <c r="J59" s="406"/>
      <c r="K59" s="406"/>
      <c r="L59" s="406"/>
      <c r="M59" s="407"/>
      <c r="N59" s="351"/>
      <c r="O59" s="124"/>
      <c r="P59" s="404"/>
      <c r="Q59" s="405"/>
      <c r="R59" s="400"/>
      <c r="S59" s="400"/>
      <c r="T59" s="400"/>
      <c r="U59" s="400"/>
      <c r="V59" s="406"/>
      <c r="W59" s="406"/>
      <c r="X59" s="406"/>
      <c r="Y59" s="406"/>
      <c r="Z59" s="406"/>
      <c r="AA59" s="406"/>
      <c r="AB59" s="406"/>
      <c r="AC59" s="406"/>
      <c r="AD59" s="407"/>
    </row>
    <row r="60" spans="1:32" ht="27" customHeight="1">
      <c r="A60" s="399"/>
      <c r="B60" s="400"/>
      <c r="C60" s="352"/>
      <c r="D60" s="352"/>
      <c r="E60" s="352"/>
      <c r="F60" s="406"/>
      <c r="G60" s="406"/>
      <c r="H60" s="406"/>
      <c r="I60" s="406"/>
      <c r="J60" s="406"/>
      <c r="K60" s="406"/>
      <c r="L60" s="406"/>
      <c r="M60" s="407"/>
      <c r="N60" s="351"/>
      <c r="O60" s="124"/>
      <c r="P60" s="400"/>
      <c r="Q60" s="400"/>
      <c r="R60" s="400"/>
      <c r="S60" s="400"/>
      <c r="T60" s="400"/>
      <c r="U60" s="400"/>
      <c r="V60" s="406"/>
      <c r="W60" s="406"/>
      <c r="X60" s="406"/>
      <c r="Y60" s="406"/>
      <c r="Z60" s="406"/>
      <c r="AA60" s="406"/>
      <c r="AB60" s="406"/>
      <c r="AC60" s="406"/>
      <c r="AD60" s="407"/>
      <c r="AF60" s="93">
        <f>8*3000</f>
        <v>24000</v>
      </c>
    </row>
    <row r="61" spans="1:32" ht="27" customHeight="1" thickBot="1">
      <c r="A61" s="408"/>
      <c r="B61" s="409"/>
      <c r="C61" s="354"/>
      <c r="D61" s="354"/>
      <c r="E61" s="354"/>
      <c r="F61" s="410"/>
      <c r="G61" s="410"/>
      <c r="H61" s="410"/>
      <c r="I61" s="410"/>
      <c r="J61" s="410"/>
      <c r="K61" s="410"/>
      <c r="L61" s="410"/>
      <c r="M61" s="411"/>
      <c r="N61" s="353"/>
      <c r="O61" s="120"/>
      <c r="P61" s="409"/>
      <c r="Q61" s="409"/>
      <c r="R61" s="409"/>
      <c r="S61" s="409"/>
      <c r="T61" s="409"/>
      <c r="U61" s="409"/>
      <c r="V61" s="412"/>
      <c r="W61" s="412"/>
      <c r="X61" s="412"/>
      <c r="Y61" s="412"/>
      <c r="Z61" s="412"/>
      <c r="AA61" s="412"/>
      <c r="AB61" s="412"/>
      <c r="AC61" s="412"/>
      <c r="AD61" s="413"/>
      <c r="AF61" s="93">
        <f>16*3000</f>
        <v>48000</v>
      </c>
    </row>
    <row r="62" spans="1:32" ht="27.75" thickBot="1">
      <c r="A62" s="414" t="s">
        <v>500</v>
      </c>
      <c r="B62" s="414"/>
      <c r="C62" s="414"/>
      <c r="D62" s="414"/>
      <c r="E62" s="41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3">
        <v>24000</v>
      </c>
    </row>
    <row r="63" spans="1:32" ht="29.25" customHeight="1" thickBot="1">
      <c r="A63" s="415" t="s">
        <v>113</v>
      </c>
      <c r="B63" s="416"/>
      <c r="C63" s="350" t="s">
        <v>2</v>
      </c>
      <c r="D63" s="350" t="s">
        <v>37</v>
      </c>
      <c r="E63" s="350" t="s">
        <v>3</v>
      </c>
      <c r="F63" s="416" t="s">
        <v>110</v>
      </c>
      <c r="G63" s="416"/>
      <c r="H63" s="416"/>
      <c r="I63" s="416"/>
      <c r="J63" s="416"/>
      <c r="K63" s="416" t="s">
        <v>39</v>
      </c>
      <c r="L63" s="416"/>
      <c r="M63" s="350" t="s">
        <v>40</v>
      </c>
      <c r="N63" s="416" t="s">
        <v>41</v>
      </c>
      <c r="O63" s="416"/>
      <c r="P63" s="417" t="s">
        <v>42</v>
      </c>
      <c r="Q63" s="418"/>
      <c r="R63" s="417" t="s">
        <v>43</v>
      </c>
      <c r="S63" s="419"/>
      <c r="T63" s="419"/>
      <c r="U63" s="419"/>
      <c r="V63" s="419"/>
      <c r="W63" s="419"/>
      <c r="X63" s="419"/>
      <c r="Y63" s="419"/>
      <c r="Z63" s="419"/>
      <c r="AA63" s="418"/>
      <c r="AB63" s="416" t="s">
        <v>44</v>
      </c>
      <c r="AC63" s="416"/>
      <c r="AD63" s="420"/>
      <c r="AF63" s="93">
        <f>SUM(AF60:AF62)</f>
        <v>96000</v>
      </c>
    </row>
    <row r="64" spans="1:32" ht="25.5" customHeight="1">
      <c r="A64" s="421">
        <v>1</v>
      </c>
      <c r="B64" s="422"/>
      <c r="C64" s="123" t="s">
        <v>118</v>
      </c>
      <c r="D64" s="346"/>
      <c r="E64" s="349" t="s">
        <v>117</v>
      </c>
      <c r="F64" s="423" t="s">
        <v>501</v>
      </c>
      <c r="G64" s="424"/>
      <c r="H64" s="424"/>
      <c r="I64" s="424"/>
      <c r="J64" s="424"/>
      <c r="K64" s="424" t="s">
        <v>502</v>
      </c>
      <c r="L64" s="424"/>
      <c r="M64" s="54" t="s">
        <v>175</v>
      </c>
      <c r="N64" s="424">
        <v>8</v>
      </c>
      <c r="O64" s="424"/>
      <c r="P64" s="425">
        <v>50</v>
      </c>
      <c r="Q64" s="425"/>
      <c r="R64" s="406"/>
      <c r="S64" s="406"/>
      <c r="T64" s="406"/>
      <c r="U64" s="406"/>
      <c r="V64" s="406"/>
      <c r="W64" s="406"/>
      <c r="X64" s="406"/>
      <c r="Y64" s="406"/>
      <c r="Z64" s="406"/>
      <c r="AA64" s="406"/>
      <c r="AB64" s="424"/>
      <c r="AC64" s="424"/>
      <c r="AD64" s="426"/>
      <c r="AF64" s="53"/>
    </row>
    <row r="65" spans="1:32" ht="25.5" customHeight="1">
      <c r="A65" s="421">
        <v>2</v>
      </c>
      <c r="B65" s="422"/>
      <c r="C65" s="123" t="s">
        <v>126</v>
      </c>
      <c r="D65" s="346"/>
      <c r="E65" s="349" t="s">
        <v>469</v>
      </c>
      <c r="F65" s="423" t="s">
        <v>467</v>
      </c>
      <c r="G65" s="424"/>
      <c r="H65" s="424"/>
      <c r="I65" s="424"/>
      <c r="J65" s="424"/>
      <c r="K65" s="424" t="s">
        <v>144</v>
      </c>
      <c r="L65" s="424"/>
      <c r="M65" s="54" t="s">
        <v>170</v>
      </c>
      <c r="N65" s="424">
        <v>8</v>
      </c>
      <c r="O65" s="424"/>
      <c r="P65" s="425" t="s">
        <v>468</v>
      </c>
      <c r="Q65" s="425"/>
      <c r="R65" s="406"/>
      <c r="S65" s="406"/>
      <c r="T65" s="406"/>
      <c r="U65" s="406"/>
      <c r="V65" s="406"/>
      <c r="W65" s="406"/>
      <c r="X65" s="406"/>
      <c r="Y65" s="406"/>
      <c r="Z65" s="406"/>
      <c r="AA65" s="406"/>
      <c r="AB65" s="424"/>
      <c r="AC65" s="424"/>
      <c r="AD65" s="426"/>
      <c r="AF65" s="53"/>
    </row>
    <row r="66" spans="1:32" ht="25.5" customHeight="1">
      <c r="A66" s="421">
        <v>3</v>
      </c>
      <c r="B66" s="422"/>
      <c r="C66" s="123"/>
      <c r="D66" s="346"/>
      <c r="E66" s="349"/>
      <c r="F66" s="423"/>
      <c r="G66" s="424"/>
      <c r="H66" s="424"/>
      <c r="I66" s="424"/>
      <c r="J66" s="424"/>
      <c r="K66" s="424"/>
      <c r="L66" s="424"/>
      <c r="M66" s="54"/>
      <c r="N66" s="424"/>
      <c r="O66" s="424"/>
      <c r="P66" s="425"/>
      <c r="Q66" s="425"/>
      <c r="R66" s="406"/>
      <c r="S66" s="406"/>
      <c r="T66" s="406"/>
      <c r="U66" s="406"/>
      <c r="V66" s="406"/>
      <c r="W66" s="406"/>
      <c r="X66" s="406"/>
      <c r="Y66" s="406"/>
      <c r="Z66" s="406"/>
      <c r="AA66" s="406"/>
      <c r="AB66" s="424"/>
      <c r="AC66" s="424"/>
      <c r="AD66" s="426"/>
      <c r="AF66" s="53"/>
    </row>
    <row r="67" spans="1:32" ht="25.5" customHeight="1">
      <c r="A67" s="421">
        <v>4</v>
      </c>
      <c r="B67" s="422"/>
      <c r="C67" s="123"/>
      <c r="D67" s="346"/>
      <c r="E67" s="349"/>
      <c r="F67" s="423"/>
      <c r="G67" s="424"/>
      <c r="H67" s="424"/>
      <c r="I67" s="424"/>
      <c r="J67" s="424"/>
      <c r="K67" s="424"/>
      <c r="L67" s="424"/>
      <c r="M67" s="54"/>
      <c r="N67" s="424"/>
      <c r="O67" s="424"/>
      <c r="P67" s="425"/>
      <c r="Q67" s="425"/>
      <c r="R67" s="406"/>
      <c r="S67" s="406"/>
      <c r="T67" s="406"/>
      <c r="U67" s="406"/>
      <c r="V67" s="406"/>
      <c r="W67" s="406"/>
      <c r="X67" s="406"/>
      <c r="Y67" s="406"/>
      <c r="Z67" s="406"/>
      <c r="AA67" s="406"/>
      <c r="AB67" s="424"/>
      <c r="AC67" s="424"/>
      <c r="AD67" s="426"/>
      <c r="AF67" s="53"/>
    </row>
    <row r="68" spans="1:32" ht="25.5" customHeight="1">
      <c r="A68" s="421">
        <v>5</v>
      </c>
      <c r="B68" s="422"/>
      <c r="C68" s="123"/>
      <c r="D68" s="346"/>
      <c r="E68" s="349"/>
      <c r="F68" s="423"/>
      <c r="G68" s="424"/>
      <c r="H68" s="424"/>
      <c r="I68" s="424"/>
      <c r="J68" s="424"/>
      <c r="K68" s="424"/>
      <c r="L68" s="424"/>
      <c r="M68" s="54"/>
      <c r="N68" s="424"/>
      <c r="O68" s="424"/>
      <c r="P68" s="425"/>
      <c r="Q68" s="425"/>
      <c r="R68" s="406"/>
      <c r="S68" s="406"/>
      <c r="T68" s="406"/>
      <c r="U68" s="406"/>
      <c r="V68" s="406"/>
      <c r="W68" s="406"/>
      <c r="X68" s="406"/>
      <c r="Y68" s="406"/>
      <c r="Z68" s="406"/>
      <c r="AA68" s="406"/>
      <c r="AB68" s="424"/>
      <c r="AC68" s="424"/>
      <c r="AD68" s="426"/>
      <c r="AF68" s="53"/>
    </row>
    <row r="69" spans="1:32" ht="25.5" customHeight="1">
      <c r="A69" s="421">
        <v>6</v>
      </c>
      <c r="B69" s="422"/>
      <c r="C69" s="123"/>
      <c r="D69" s="346"/>
      <c r="E69" s="349"/>
      <c r="F69" s="423"/>
      <c r="G69" s="424"/>
      <c r="H69" s="424"/>
      <c r="I69" s="424"/>
      <c r="J69" s="424"/>
      <c r="K69" s="424"/>
      <c r="L69" s="424"/>
      <c r="M69" s="54"/>
      <c r="N69" s="424"/>
      <c r="O69" s="424"/>
      <c r="P69" s="425"/>
      <c r="Q69" s="425"/>
      <c r="R69" s="406"/>
      <c r="S69" s="406"/>
      <c r="T69" s="406"/>
      <c r="U69" s="406"/>
      <c r="V69" s="406"/>
      <c r="W69" s="406"/>
      <c r="X69" s="406"/>
      <c r="Y69" s="406"/>
      <c r="Z69" s="406"/>
      <c r="AA69" s="406"/>
      <c r="AB69" s="424"/>
      <c r="AC69" s="424"/>
      <c r="AD69" s="426"/>
      <c r="AF69" s="53"/>
    </row>
    <row r="70" spans="1:32" ht="25.5" customHeight="1">
      <c r="A70" s="421">
        <v>7</v>
      </c>
      <c r="B70" s="422"/>
      <c r="C70" s="123"/>
      <c r="D70" s="346"/>
      <c r="E70" s="349"/>
      <c r="F70" s="423"/>
      <c r="G70" s="424"/>
      <c r="H70" s="424"/>
      <c r="I70" s="424"/>
      <c r="J70" s="424"/>
      <c r="K70" s="424"/>
      <c r="L70" s="424"/>
      <c r="M70" s="54"/>
      <c r="N70" s="424"/>
      <c r="O70" s="424"/>
      <c r="P70" s="425"/>
      <c r="Q70" s="425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24"/>
      <c r="AC70" s="424"/>
      <c r="AD70" s="426"/>
      <c r="AF70" s="53"/>
    </row>
    <row r="71" spans="1:32" ht="25.5" customHeight="1">
      <c r="A71" s="421">
        <v>8</v>
      </c>
      <c r="B71" s="422"/>
      <c r="C71" s="123"/>
      <c r="D71" s="346"/>
      <c r="E71" s="349"/>
      <c r="F71" s="423"/>
      <c r="G71" s="424"/>
      <c r="H71" s="424"/>
      <c r="I71" s="424"/>
      <c r="J71" s="424"/>
      <c r="K71" s="424"/>
      <c r="L71" s="424"/>
      <c r="M71" s="54"/>
      <c r="N71" s="424"/>
      <c r="O71" s="424"/>
      <c r="P71" s="425"/>
      <c r="Q71" s="425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424"/>
      <c r="AC71" s="424"/>
      <c r="AD71" s="426"/>
      <c r="AF71" s="53"/>
    </row>
    <row r="72" spans="1:32" ht="26.25" customHeight="1" thickBot="1">
      <c r="A72" s="427" t="s">
        <v>503</v>
      </c>
      <c r="B72" s="427"/>
      <c r="C72" s="427"/>
      <c r="D72" s="427"/>
      <c r="E72" s="427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8" t="s">
        <v>113</v>
      </c>
      <c r="B73" s="429"/>
      <c r="C73" s="348" t="s">
        <v>2</v>
      </c>
      <c r="D73" s="348" t="s">
        <v>37</v>
      </c>
      <c r="E73" s="348" t="s">
        <v>3</v>
      </c>
      <c r="F73" s="429" t="s">
        <v>38</v>
      </c>
      <c r="G73" s="429"/>
      <c r="H73" s="429"/>
      <c r="I73" s="429"/>
      <c r="J73" s="429"/>
      <c r="K73" s="430" t="s">
        <v>58</v>
      </c>
      <c r="L73" s="431"/>
      <c r="M73" s="431"/>
      <c r="N73" s="431"/>
      <c r="O73" s="431"/>
      <c r="P73" s="431"/>
      <c r="Q73" s="431"/>
      <c r="R73" s="431"/>
      <c r="S73" s="432"/>
      <c r="T73" s="429" t="s">
        <v>49</v>
      </c>
      <c r="U73" s="429"/>
      <c r="V73" s="430" t="s">
        <v>50</v>
      </c>
      <c r="W73" s="432"/>
      <c r="X73" s="431" t="s">
        <v>51</v>
      </c>
      <c r="Y73" s="431"/>
      <c r="Z73" s="431"/>
      <c r="AA73" s="431"/>
      <c r="AB73" s="431"/>
      <c r="AC73" s="431"/>
      <c r="AD73" s="433"/>
      <c r="AF73" s="53"/>
    </row>
    <row r="74" spans="1:32" ht="33.75" customHeight="1">
      <c r="A74" s="442">
        <v>1</v>
      </c>
      <c r="B74" s="443"/>
      <c r="C74" s="347" t="s">
        <v>114</v>
      </c>
      <c r="D74" s="347"/>
      <c r="E74" s="71" t="s">
        <v>133</v>
      </c>
      <c r="F74" s="444" t="s">
        <v>132</v>
      </c>
      <c r="G74" s="445"/>
      <c r="H74" s="445"/>
      <c r="I74" s="445"/>
      <c r="J74" s="446"/>
      <c r="K74" s="447" t="s">
        <v>135</v>
      </c>
      <c r="L74" s="448"/>
      <c r="M74" s="448"/>
      <c r="N74" s="448"/>
      <c r="O74" s="448"/>
      <c r="P74" s="448"/>
      <c r="Q74" s="448"/>
      <c r="R74" s="448"/>
      <c r="S74" s="449"/>
      <c r="T74" s="450">
        <v>43384</v>
      </c>
      <c r="U74" s="451"/>
      <c r="V74" s="452"/>
      <c r="W74" s="452"/>
      <c r="X74" s="453"/>
      <c r="Y74" s="453"/>
      <c r="Z74" s="453"/>
      <c r="AA74" s="453"/>
      <c r="AB74" s="453"/>
      <c r="AC74" s="453"/>
      <c r="AD74" s="454"/>
      <c r="AF74" s="53"/>
    </row>
    <row r="75" spans="1:32" ht="30" customHeight="1">
      <c r="A75" s="434">
        <f>A74+1</f>
        <v>2</v>
      </c>
      <c r="B75" s="435"/>
      <c r="C75" s="346"/>
      <c r="D75" s="346"/>
      <c r="E75" s="35"/>
      <c r="F75" s="435"/>
      <c r="G75" s="435"/>
      <c r="H75" s="435"/>
      <c r="I75" s="435"/>
      <c r="J75" s="435"/>
      <c r="K75" s="436"/>
      <c r="L75" s="437"/>
      <c r="M75" s="437"/>
      <c r="N75" s="437"/>
      <c r="O75" s="437"/>
      <c r="P75" s="437"/>
      <c r="Q75" s="437"/>
      <c r="R75" s="437"/>
      <c r="S75" s="438"/>
      <c r="T75" s="439"/>
      <c r="U75" s="439"/>
      <c r="V75" s="439"/>
      <c r="W75" s="439"/>
      <c r="X75" s="440"/>
      <c r="Y75" s="440"/>
      <c r="Z75" s="440"/>
      <c r="AA75" s="440"/>
      <c r="AB75" s="440"/>
      <c r="AC75" s="440"/>
      <c r="AD75" s="441"/>
      <c r="AF75" s="53"/>
    </row>
    <row r="76" spans="1:32" ht="30" customHeight="1">
      <c r="A76" s="434">
        <f t="shared" ref="A76:A82" si="11">A75+1</f>
        <v>3</v>
      </c>
      <c r="B76" s="435"/>
      <c r="C76" s="346"/>
      <c r="D76" s="346"/>
      <c r="E76" s="35"/>
      <c r="F76" s="435"/>
      <c r="G76" s="435"/>
      <c r="H76" s="435"/>
      <c r="I76" s="435"/>
      <c r="J76" s="435"/>
      <c r="K76" s="436"/>
      <c r="L76" s="437"/>
      <c r="M76" s="437"/>
      <c r="N76" s="437"/>
      <c r="O76" s="437"/>
      <c r="P76" s="437"/>
      <c r="Q76" s="437"/>
      <c r="R76" s="437"/>
      <c r="S76" s="438"/>
      <c r="T76" s="439"/>
      <c r="U76" s="439"/>
      <c r="V76" s="439"/>
      <c r="W76" s="439"/>
      <c r="X76" s="440"/>
      <c r="Y76" s="440"/>
      <c r="Z76" s="440"/>
      <c r="AA76" s="440"/>
      <c r="AB76" s="440"/>
      <c r="AC76" s="440"/>
      <c r="AD76" s="441"/>
      <c r="AF76" s="53"/>
    </row>
    <row r="77" spans="1:32" ht="30" customHeight="1">
      <c r="A77" s="434">
        <f t="shared" si="11"/>
        <v>4</v>
      </c>
      <c r="B77" s="435"/>
      <c r="C77" s="346"/>
      <c r="D77" s="346"/>
      <c r="E77" s="35"/>
      <c r="F77" s="435"/>
      <c r="G77" s="435"/>
      <c r="H77" s="435"/>
      <c r="I77" s="435"/>
      <c r="J77" s="435"/>
      <c r="K77" s="436"/>
      <c r="L77" s="437"/>
      <c r="M77" s="437"/>
      <c r="N77" s="437"/>
      <c r="O77" s="437"/>
      <c r="P77" s="437"/>
      <c r="Q77" s="437"/>
      <c r="R77" s="437"/>
      <c r="S77" s="438"/>
      <c r="T77" s="439"/>
      <c r="U77" s="439"/>
      <c r="V77" s="439"/>
      <c r="W77" s="439"/>
      <c r="X77" s="440"/>
      <c r="Y77" s="440"/>
      <c r="Z77" s="440"/>
      <c r="AA77" s="440"/>
      <c r="AB77" s="440"/>
      <c r="AC77" s="440"/>
      <c r="AD77" s="441"/>
      <c r="AF77" s="53"/>
    </row>
    <row r="78" spans="1:32" ht="30" customHeight="1">
      <c r="A78" s="434">
        <f t="shared" si="11"/>
        <v>5</v>
      </c>
      <c r="B78" s="435"/>
      <c r="C78" s="346"/>
      <c r="D78" s="346"/>
      <c r="E78" s="35"/>
      <c r="F78" s="435"/>
      <c r="G78" s="435"/>
      <c r="H78" s="435"/>
      <c r="I78" s="435"/>
      <c r="J78" s="435"/>
      <c r="K78" s="436"/>
      <c r="L78" s="437"/>
      <c r="M78" s="437"/>
      <c r="N78" s="437"/>
      <c r="O78" s="437"/>
      <c r="P78" s="437"/>
      <c r="Q78" s="437"/>
      <c r="R78" s="437"/>
      <c r="S78" s="438"/>
      <c r="T78" s="439"/>
      <c r="U78" s="439"/>
      <c r="V78" s="439"/>
      <c r="W78" s="439"/>
      <c r="X78" s="440"/>
      <c r="Y78" s="440"/>
      <c r="Z78" s="440"/>
      <c r="AA78" s="440"/>
      <c r="AB78" s="440"/>
      <c r="AC78" s="440"/>
      <c r="AD78" s="441"/>
      <c r="AF78" s="53"/>
    </row>
    <row r="79" spans="1:32" ht="30" customHeight="1">
      <c r="A79" s="434">
        <f t="shared" si="11"/>
        <v>6</v>
      </c>
      <c r="B79" s="435"/>
      <c r="C79" s="346"/>
      <c r="D79" s="346"/>
      <c r="E79" s="35"/>
      <c r="F79" s="435"/>
      <c r="G79" s="435"/>
      <c r="H79" s="435"/>
      <c r="I79" s="435"/>
      <c r="J79" s="435"/>
      <c r="K79" s="436"/>
      <c r="L79" s="437"/>
      <c r="M79" s="437"/>
      <c r="N79" s="437"/>
      <c r="O79" s="437"/>
      <c r="P79" s="437"/>
      <c r="Q79" s="437"/>
      <c r="R79" s="437"/>
      <c r="S79" s="438"/>
      <c r="T79" s="439"/>
      <c r="U79" s="439"/>
      <c r="V79" s="439"/>
      <c r="W79" s="439"/>
      <c r="X79" s="440"/>
      <c r="Y79" s="440"/>
      <c r="Z79" s="440"/>
      <c r="AA79" s="440"/>
      <c r="AB79" s="440"/>
      <c r="AC79" s="440"/>
      <c r="AD79" s="441"/>
      <c r="AF79" s="53"/>
    </row>
    <row r="80" spans="1:32" ht="30" customHeight="1">
      <c r="A80" s="434">
        <f t="shared" si="11"/>
        <v>7</v>
      </c>
      <c r="B80" s="435"/>
      <c r="C80" s="346"/>
      <c r="D80" s="346"/>
      <c r="E80" s="35"/>
      <c r="F80" s="435"/>
      <c r="G80" s="435"/>
      <c r="H80" s="435"/>
      <c r="I80" s="435"/>
      <c r="J80" s="435"/>
      <c r="K80" s="436"/>
      <c r="L80" s="437"/>
      <c r="M80" s="437"/>
      <c r="N80" s="437"/>
      <c r="O80" s="437"/>
      <c r="P80" s="437"/>
      <c r="Q80" s="437"/>
      <c r="R80" s="437"/>
      <c r="S80" s="438"/>
      <c r="T80" s="439"/>
      <c r="U80" s="439"/>
      <c r="V80" s="439"/>
      <c r="W80" s="439"/>
      <c r="X80" s="440"/>
      <c r="Y80" s="440"/>
      <c r="Z80" s="440"/>
      <c r="AA80" s="440"/>
      <c r="AB80" s="440"/>
      <c r="AC80" s="440"/>
      <c r="AD80" s="441"/>
      <c r="AF80" s="53"/>
    </row>
    <row r="81" spans="1:32" ht="30" customHeight="1">
      <c r="A81" s="434">
        <f t="shared" si="11"/>
        <v>8</v>
      </c>
      <c r="B81" s="435"/>
      <c r="C81" s="346"/>
      <c r="D81" s="346"/>
      <c r="E81" s="35"/>
      <c r="F81" s="435"/>
      <c r="G81" s="435"/>
      <c r="H81" s="435"/>
      <c r="I81" s="435"/>
      <c r="J81" s="435"/>
      <c r="K81" s="436"/>
      <c r="L81" s="437"/>
      <c r="M81" s="437"/>
      <c r="N81" s="437"/>
      <c r="O81" s="437"/>
      <c r="P81" s="437"/>
      <c r="Q81" s="437"/>
      <c r="R81" s="437"/>
      <c r="S81" s="438"/>
      <c r="T81" s="439"/>
      <c r="U81" s="439"/>
      <c r="V81" s="439"/>
      <c r="W81" s="439"/>
      <c r="X81" s="440"/>
      <c r="Y81" s="440"/>
      <c r="Z81" s="440"/>
      <c r="AA81" s="440"/>
      <c r="AB81" s="440"/>
      <c r="AC81" s="440"/>
      <c r="AD81" s="441"/>
      <c r="AF81" s="53"/>
    </row>
    <row r="82" spans="1:32" ht="30" customHeight="1">
      <c r="A82" s="434">
        <f t="shared" si="11"/>
        <v>9</v>
      </c>
      <c r="B82" s="435"/>
      <c r="C82" s="346"/>
      <c r="D82" s="346"/>
      <c r="E82" s="35"/>
      <c r="F82" s="435"/>
      <c r="G82" s="435"/>
      <c r="H82" s="435"/>
      <c r="I82" s="435"/>
      <c r="J82" s="435"/>
      <c r="K82" s="436"/>
      <c r="L82" s="437"/>
      <c r="M82" s="437"/>
      <c r="N82" s="437"/>
      <c r="O82" s="437"/>
      <c r="P82" s="437"/>
      <c r="Q82" s="437"/>
      <c r="R82" s="437"/>
      <c r="S82" s="438"/>
      <c r="T82" s="439"/>
      <c r="U82" s="439"/>
      <c r="V82" s="439"/>
      <c r="W82" s="439"/>
      <c r="X82" s="440"/>
      <c r="Y82" s="440"/>
      <c r="Z82" s="440"/>
      <c r="AA82" s="440"/>
      <c r="AB82" s="440"/>
      <c r="AC82" s="440"/>
      <c r="AD82" s="441"/>
      <c r="AF82" s="53"/>
    </row>
    <row r="83" spans="1:32" ht="36" thickBot="1">
      <c r="A83" s="427" t="s">
        <v>504</v>
      </c>
      <c r="B83" s="427"/>
      <c r="C83" s="427"/>
      <c r="D83" s="427"/>
      <c r="E83" s="427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8" t="s">
        <v>113</v>
      </c>
      <c r="B84" s="429"/>
      <c r="C84" s="455" t="s">
        <v>52</v>
      </c>
      <c r="D84" s="455"/>
      <c r="E84" s="455" t="s">
        <v>53</v>
      </c>
      <c r="F84" s="455"/>
      <c r="G84" s="455"/>
      <c r="H84" s="455"/>
      <c r="I84" s="455"/>
      <c r="J84" s="455"/>
      <c r="K84" s="455" t="s">
        <v>54</v>
      </c>
      <c r="L84" s="455"/>
      <c r="M84" s="455"/>
      <c r="N84" s="455"/>
      <c r="O84" s="455"/>
      <c r="P84" s="455"/>
      <c r="Q84" s="455"/>
      <c r="R84" s="455"/>
      <c r="S84" s="455"/>
      <c r="T84" s="455" t="s">
        <v>55</v>
      </c>
      <c r="U84" s="455"/>
      <c r="V84" s="455" t="s">
        <v>56</v>
      </c>
      <c r="W84" s="455"/>
      <c r="X84" s="455"/>
      <c r="Y84" s="455" t="s">
        <v>51</v>
      </c>
      <c r="Z84" s="455"/>
      <c r="AA84" s="455"/>
      <c r="AB84" s="455"/>
      <c r="AC84" s="455"/>
      <c r="AD84" s="456"/>
      <c r="AF84" s="53"/>
    </row>
    <row r="85" spans="1:32" ht="30.75" customHeight="1">
      <c r="A85" s="442">
        <v>1</v>
      </c>
      <c r="B85" s="443"/>
      <c r="C85" s="457"/>
      <c r="D85" s="457"/>
      <c r="E85" s="457"/>
      <c r="F85" s="457"/>
      <c r="G85" s="457"/>
      <c r="H85" s="457"/>
      <c r="I85" s="457"/>
      <c r="J85" s="457"/>
      <c r="K85" s="457"/>
      <c r="L85" s="457"/>
      <c r="M85" s="457"/>
      <c r="N85" s="457"/>
      <c r="O85" s="457"/>
      <c r="P85" s="457"/>
      <c r="Q85" s="457"/>
      <c r="R85" s="457"/>
      <c r="S85" s="457"/>
      <c r="T85" s="457"/>
      <c r="U85" s="457"/>
      <c r="V85" s="458"/>
      <c r="W85" s="458"/>
      <c r="X85" s="458"/>
      <c r="Y85" s="459"/>
      <c r="Z85" s="459"/>
      <c r="AA85" s="459"/>
      <c r="AB85" s="459"/>
      <c r="AC85" s="459"/>
      <c r="AD85" s="460"/>
      <c r="AF85" s="53"/>
    </row>
    <row r="86" spans="1:32" ht="30.75" customHeight="1">
      <c r="A86" s="434">
        <v>2</v>
      </c>
      <c r="B86" s="435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9"/>
      <c r="U86" s="469"/>
      <c r="V86" s="470"/>
      <c r="W86" s="470"/>
      <c r="X86" s="470"/>
      <c r="Y86" s="461"/>
      <c r="Z86" s="461"/>
      <c r="AA86" s="461"/>
      <c r="AB86" s="461"/>
      <c r="AC86" s="461"/>
      <c r="AD86" s="462"/>
      <c r="AF86" s="53"/>
    </row>
    <row r="87" spans="1:32" ht="30.75" customHeight="1" thickBot="1">
      <c r="A87" s="463">
        <v>3</v>
      </c>
      <c r="B87" s="464"/>
      <c r="C87" s="465"/>
      <c r="D87" s="465"/>
      <c r="E87" s="465"/>
      <c r="F87" s="465"/>
      <c r="G87" s="465"/>
      <c r="H87" s="465"/>
      <c r="I87" s="465"/>
      <c r="J87" s="465"/>
      <c r="K87" s="465"/>
      <c r="L87" s="465"/>
      <c r="M87" s="465"/>
      <c r="N87" s="465"/>
      <c r="O87" s="465"/>
      <c r="P87" s="465"/>
      <c r="Q87" s="465"/>
      <c r="R87" s="465"/>
      <c r="S87" s="465"/>
      <c r="T87" s="465"/>
      <c r="U87" s="465"/>
      <c r="V87" s="465"/>
      <c r="W87" s="465"/>
      <c r="X87" s="465"/>
      <c r="Y87" s="466"/>
      <c r="Z87" s="466"/>
      <c r="AA87" s="466"/>
      <c r="AB87" s="466"/>
      <c r="AC87" s="466"/>
      <c r="AD87" s="467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23</vt:i4>
      </vt:variant>
    </vt:vector>
  </HeadingPairs>
  <TitlesOfParts>
    <vt:vector size="47" baseType="lpstr">
      <vt:lpstr>총괄</vt:lpstr>
      <vt:lpstr>03</vt:lpstr>
      <vt:lpstr>04</vt:lpstr>
      <vt:lpstr>05</vt:lpstr>
      <vt:lpstr>06</vt:lpstr>
      <vt:lpstr>07</vt:lpstr>
      <vt:lpstr>10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24</vt:lpstr>
      <vt:lpstr>25</vt:lpstr>
      <vt:lpstr>26</vt:lpstr>
      <vt:lpstr>27</vt:lpstr>
      <vt:lpstr>28</vt:lpstr>
      <vt:lpstr>29</vt:lpstr>
      <vt:lpstr>31</vt:lpstr>
      <vt:lpstr>'03'!Print_Area</vt:lpstr>
      <vt:lpstr>'04'!Print_Area</vt:lpstr>
      <vt:lpstr>'05'!Print_Area</vt:lpstr>
      <vt:lpstr>'06'!Print_Area</vt:lpstr>
      <vt:lpstr>'07'!Print_Area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'17'!Print_Area</vt:lpstr>
      <vt:lpstr>'18'!Print_Area</vt:lpstr>
      <vt:lpstr>'19'!Print_Area</vt:lpstr>
      <vt:lpstr>'20'!Print_Area</vt:lpstr>
      <vt:lpstr>'21'!Print_Area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'31'!Print_Area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2018-10-10T23:54:56Z</cp:lastPrinted>
  <dcterms:created xsi:type="dcterms:W3CDTF">2014-05-16T00:06:55Z</dcterms:created>
  <dcterms:modified xsi:type="dcterms:W3CDTF">2019-01-01T02:01:14Z</dcterms:modified>
</cp:coreProperties>
</file>