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0"/>
  </bookViews>
  <sheets>
    <sheet name="총괄" sheetId="16" r:id="rId1"/>
    <sheet name="01" sheetId="847" r:id="rId2"/>
    <sheet name="02" sheetId="848" r:id="rId3"/>
    <sheet name="03" sheetId="849" r:id="rId4"/>
    <sheet name="06" sheetId="850" r:id="rId5"/>
    <sheet name="07" sheetId="851" r:id="rId6"/>
    <sheet name="08" sheetId="852" r:id="rId7"/>
    <sheet name="09" sheetId="853" r:id="rId8"/>
    <sheet name="10" sheetId="854" r:id="rId9"/>
    <sheet name="13" sheetId="855" r:id="rId10"/>
    <sheet name="14" sheetId="856" r:id="rId11"/>
    <sheet name="15" sheetId="857" r:id="rId12"/>
    <sheet name="16" sheetId="858" r:id="rId13"/>
    <sheet name="17" sheetId="859" r:id="rId14"/>
    <sheet name="20" sheetId="860" r:id="rId15"/>
    <sheet name="21" sheetId="861" r:id="rId16"/>
    <sheet name="22" sheetId="862" r:id="rId17"/>
    <sheet name="23" sheetId="863" r:id="rId18"/>
    <sheet name="24" sheetId="864" r:id="rId19"/>
    <sheet name="27" sheetId="865" r:id="rId20"/>
    <sheet name="28" sheetId="866" r:id="rId21"/>
  </sheets>
  <definedNames>
    <definedName name="_xlnm.Print_Area" localSheetId="1">'01'!$A$1:$AD$86</definedName>
    <definedName name="_xlnm.Print_Area" localSheetId="2">'02'!$A$1:$AD$88</definedName>
    <definedName name="_xlnm.Print_Area" localSheetId="3">'03'!$A$1:$AD$87</definedName>
    <definedName name="_xlnm.Print_Area" localSheetId="4">'06'!$A$1:$AD$86</definedName>
    <definedName name="_xlnm.Print_Area" localSheetId="5">'07'!$A$1:$AD$87</definedName>
    <definedName name="_xlnm.Print_Area" localSheetId="6">'08'!$A$1:$AD$87</definedName>
    <definedName name="_xlnm.Print_Area" localSheetId="7">'09'!$A$1:$AD$87</definedName>
    <definedName name="_xlnm.Print_Area" localSheetId="8">'10'!$A$1:$AD$86</definedName>
    <definedName name="_xlnm.Print_Area" localSheetId="9">'13'!$A$1:$AD$86</definedName>
    <definedName name="_xlnm.Print_Area" localSheetId="10">'14'!$A$1:$AD$86</definedName>
    <definedName name="_xlnm.Print_Area" localSheetId="11">'15'!$A$1:$AD$86</definedName>
    <definedName name="_xlnm.Print_Area" localSheetId="12">'16'!$A$1:$AD$86</definedName>
    <definedName name="_xlnm.Print_Area" localSheetId="13">'17'!$A$1:$AD$86</definedName>
    <definedName name="_xlnm.Print_Area" localSheetId="14">'20'!$A$1:$AD$87</definedName>
    <definedName name="_xlnm.Print_Area" localSheetId="15">'21'!$A$1:$AD$87</definedName>
    <definedName name="_xlnm.Print_Area" localSheetId="16">'22'!$A$1:$AD$88</definedName>
    <definedName name="_xlnm.Print_Area" localSheetId="17">'23'!$A$1:$AD$86</definedName>
    <definedName name="_xlnm.Print_Area" localSheetId="18">'24'!$A$1:$AD$86</definedName>
    <definedName name="_xlnm.Print_Area" localSheetId="19">'27'!$A$1:$AD$86</definedName>
    <definedName name="_xlnm.Print_Area" localSheetId="20">'28'!$A$1:$AD$86</definedName>
  </definedNames>
  <calcPr calcId="144525"/>
</workbook>
</file>

<file path=xl/calcChain.xml><?xml version="1.0" encoding="utf-8"?>
<calcChain xmlns="http://schemas.openxmlformats.org/spreadsheetml/2006/main">
  <c r="AC18" i="16" l="1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866"/>
  <c r="L19" i="866"/>
  <c r="L18" i="866"/>
  <c r="K18" i="866" s="1"/>
  <c r="L17" i="866"/>
  <c r="L16" i="866"/>
  <c r="L15" i="866"/>
  <c r="K15" i="866" s="1"/>
  <c r="L13" i="866"/>
  <c r="K13" i="866" s="1"/>
  <c r="L12" i="866"/>
  <c r="L10" i="866"/>
  <c r="K10" i="866" s="1"/>
  <c r="L9" i="866"/>
  <c r="K9" i="866" s="1"/>
  <c r="L8" i="866"/>
  <c r="L6" i="866"/>
  <c r="K20" i="866"/>
  <c r="K19" i="866"/>
  <c r="K17" i="866"/>
  <c r="K16" i="866"/>
  <c r="K14" i="866"/>
  <c r="K8" i="866"/>
  <c r="K6" i="866"/>
  <c r="A74" i="866"/>
  <c r="A75" i="866" s="1"/>
  <c r="A76" i="866" s="1"/>
  <c r="A77" i="866" s="1"/>
  <c r="A78" i="866" s="1"/>
  <c r="A79" i="866" s="1"/>
  <c r="A80" i="866" s="1"/>
  <c r="A81" i="866" s="1"/>
  <c r="AF60" i="866"/>
  <c r="AF62" i="866" s="1"/>
  <c r="AF59" i="866"/>
  <c r="AA21" i="866"/>
  <c r="Z21" i="866"/>
  <c r="Y21" i="866"/>
  <c r="X21" i="866"/>
  <c r="W21" i="866"/>
  <c r="V21" i="866"/>
  <c r="U21" i="866"/>
  <c r="T21" i="866"/>
  <c r="S21" i="866"/>
  <c r="R21" i="866"/>
  <c r="N21" i="866"/>
  <c r="J21" i="866"/>
  <c r="I21" i="866"/>
  <c r="AF20" i="866"/>
  <c r="AB20" i="866"/>
  <c r="Q20" i="866"/>
  <c r="M20" i="866"/>
  <c r="O20" i="866"/>
  <c r="AF19" i="866"/>
  <c r="Q19" i="866"/>
  <c r="AB19" i="866"/>
  <c r="AF18" i="866"/>
  <c r="Q18" i="866"/>
  <c r="P18" i="866" s="1"/>
  <c r="AC18" i="866" s="1"/>
  <c r="O18" i="866"/>
  <c r="AF17" i="866"/>
  <c r="Q17" i="866"/>
  <c r="P17" i="866" s="1"/>
  <c r="AC17" i="866" s="1"/>
  <c r="O17" i="866"/>
  <c r="M17" i="866"/>
  <c r="AF16" i="866"/>
  <c r="AB16" i="866"/>
  <c r="Q16" i="866"/>
  <c r="M16" i="866"/>
  <c r="O16" i="866"/>
  <c r="AF15" i="866"/>
  <c r="AB15" i="866"/>
  <c r="Q15" i="866"/>
  <c r="P15" i="866" s="1"/>
  <c r="AC15" i="866" s="1"/>
  <c r="O15" i="866"/>
  <c r="M15" i="866"/>
  <c r="AF14" i="866"/>
  <c r="Q14" i="866"/>
  <c r="O14" i="866"/>
  <c r="P14" i="866"/>
  <c r="AC14" i="866" s="1"/>
  <c r="AF13" i="866"/>
  <c r="AB13" i="866"/>
  <c r="Q13" i="866"/>
  <c r="P13" i="866"/>
  <c r="AC13" i="866" s="1"/>
  <c r="O13" i="866"/>
  <c r="M13" i="866"/>
  <c r="AF12" i="866"/>
  <c r="AB12" i="866"/>
  <c r="Q12" i="866"/>
  <c r="P12" i="866"/>
  <c r="AC12" i="866" s="1"/>
  <c r="O12" i="866"/>
  <c r="M12" i="866"/>
  <c r="K12" i="866"/>
  <c r="AF11" i="866"/>
  <c r="AB11" i="866"/>
  <c r="Q11" i="866"/>
  <c r="P11" i="866"/>
  <c r="AC11" i="866" s="1"/>
  <c r="O11" i="866"/>
  <c r="M11" i="866"/>
  <c r="K11" i="866"/>
  <c r="AF10" i="866"/>
  <c r="AB10" i="866"/>
  <c r="Q10" i="866"/>
  <c r="P10" i="866" s="1"/>
  <c r="AC10" i="866" s="1"/>
  <c r="O10" i="866"/>
  <c r="M10" i="866"/>
  <c r="AF9" i="866"/>
  <c r="AB9" i="866"/>
  <c r="Q9" i="866"/>
  <c r="P9" i="866" s="1"/>
  <c r="AC9" i="866" s="1"/>
  <c r="O9" i="866"/>
  <c r="M9" i="866"/>
  <c r="AF8" i="866"/>
  <c r="AB8" i="866"/>
  <c r="Q8" i="866"/>
  <c r="P8" i="866"/>
  <c r="AC8" i="866" s="1"/>
  <c r="O8" i="866"/>
  <c r="M8" i="866"/>
  <c r="AF7" i="866"/>
  <c r="AC7" i="866"/>
  <c r="AD7" i="866" s="1"/>
  <c r="AB7" i="866"/>
  <c r="Q7" i="866"/>
  <c r="P7" i="866"/>
  <c r="O7" i="866"/>
  <c r="M7" i="866"/>
  <c r="K7" i="866"/>
  <c r="AF6" i="866"/>
  <c r="Q6" i="866"/>
  <c r="AB6" i="866"/>
  <c r="AD12" i="866" l="1"/>
  <c r="Q21" i="866"/>
  <c r="AD8" i="866"/>
  <c r="AD11" i="866"/>
  <c r="AD10" i="866"/>
  <c r="AD15" i="866"/>
  <c r="AD9" i="866"/>
  <c r="AD13" i="866"/>
  <c r="O6" i="866"/>
  <c r="P16" i="866"/>
  <c r="AC16" i="866" s="1"/>
  <c r="AD16" i="866" s="1"/>
  <c r="M18" i="866"/>
  <c r="AB18" i="866"/>
  <c r="AD18" i="866" s="1"/>
  <c r="O19" i="866"/>
  <c r="P20" i="866"/>
  <c r="AC20" i="866" s="1"/>
  <c r="AD20" i="866" s="1"/>
  <c r="P6" i="866"/>
  <c r="M14" i="866"/>
  <c r="AB14" i="866"/>
  <c r="AD14" i="866" s="1"/>
  <c r="AB17" i="866"/>
  <c r="AD17" i="866" s="1"/>
  <c r="P19" i="866"/>
  <c r="AC19" i="866" s="1"/>
  <c r="AD19" i="866" s="1"/>
  <c r="AE14" i="866" s="1"/>
  <c r="L21" i="866"/>
  <c r="O21" i="866" s="1"/>
  <c r="M6" i="866"/>
  <c r="M19" i="86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865"/>
  <c r="K20" i="865" s="1"/>
  <c r="L19" i="865"/>
  <c r="K19" i="865" s="1"/>
  <c r="L18" i="865"/>
  <c r="K18" i="865" s="1"/>
  <c r="L17" i="865"/>
  <c r="K17" i="865" s="1"/>
  <c r="L16" i="865"/>
  <c r="L14" i="865"/>
  <c r="K14" i="865" s="1"/>
  <c r="L8" i="865"/>
  <c r="K7" i="865"/>
  <c r="L6" i="865"/>
  <c r="K6" i="865" s="1"/>
  <c r="K16" i="865"/>
  <c r="K13" i="865"/>
  <c r="K12" i="865"/>
  <c r="K10" i="865"/>
  <c r="K8" i="865"/>
  <c r="A75" i="865"/>
  <c r="A76" i="865" s="1"/>
  <c r="A77" i="865" s="1"/>
  <c r="A78" i="865" s="1"/>
  <c r="A79" i="865" s="1"/>
  <c r="A80" i="865" s="1"/>
  <c r="A81" i="865" s="1"/>
  <c r="A74" i="865"/>
  <c r="AF60" i="865"/>
  <c r="AF59" i="865"/>
  <c r="AF62" i="865" s="1"/>
  <c r="AA21" i="865"/>
  <c r="Z21" i="865"/>
  <c r="Y21" i="865"/>
  <c r="X21" i="865"/>
  <c r="W21" i="865"/>
  <c r="V21" i="865"/>
  <c r="U21" i="865"/>
  <c r="T21" i="865"/>
  <c r="S21" i="865"/>
  <c r="R21" i="865"/>
  <c r="N21" i="865"/>
  <c r="J21" i="865"/>
  <c r="I21" i="865"/>
  <c r="AF20" i="865"/>
  <c r="Q20" i="865"/>
  <c r="AF19" i="865"/>
  <c r="Q19" i="865"/>
  <c r="AF18" i="865"/>
  <c r="Q18" i="865"/>
  <c r="P18" i="865" s="1"/>
  <c r="AC18" i="865" s="1"/>
  <c r="O18" i="865"/>
  <c r="AB18" i="865"/>
  <c r="AF17" i="865"/>
  <c r="AB17" i="865"/>
  <c r="Q17" i="865"/>
  <c r="P17" i="865" s="1"/>
  <c r="AC17" i="865" s="1"/>
  <c r="O17" i="865"/>
  <c r="M17" i="865"/>
  <c r="AF16" i="865"/>
  <c r="Q16" i="865"/>
  <c r="AB16" i="865"/>
  <c r="AF15" i="865"/>
  <c r="AB15" i="865"/>
  <c r="Q15" i="865"/>
  <c r="P15" i="865"/>
  <c r="AC15" i="865" s="1"/>
  <c r="O15" i="865"/>
  <c r="M15" i="865"/>
  <c r="K15" i="865"/>
  <c r="AF14" i="865"/>
  <c r="AB14" i="865"/>
  <c r="Q14" i="865"/>
  <c r="M14" i="865"/>
  <c r="O14" i="865"/>
  <c r="AF13" i="865"/>
  <c r="Q13" i="865"/>
  <c r="AB13" i="865"/>
  <c r="AF12" i="865"/>
  <c r="AB12" i="865"/>
  <c r="Q12" i="865"/>
  <c r="P12" i="865"/>
  <c r="AC12" i="865" s="1"/>
  <c r="O12" i="865"/>
  <c r="M12" i="865"/>
  <c r="AF11" i="865"/>
  <c r="AB11" i="865"/>
  <c r="Q11" i="865"/>
  <c r="P11" i="865"/>
  <c r="AC11" i="865" s="1"/>
  <c r="AD11" i="865" s="1"/>
  <c r="O11" i="865"/>
  <c r="M11" i="865"/>
  <c r="K11" i="865"/>
  <c r="AF10" i="865"/>
  <c r="AB10" i="865"/>
  <c r="Q10" i="865"/>
  <c r="P10" i="865"/>
  <c r="AC10" i="865" s="1"/>
  <c r="AD10" i="865" s="1"/>
  <c r="O10" i="865"/>
  <c r="M10" i="865"/>
  <c r="AF9" i="865"/>
  <c r="AC9" i="865"/>
  <c r="AD9" i="865" s="1"/>
  <c r="AB9" i="865"/>
  <c r="Q9" i="865"/>
  <c r="P9" i="865"/>
  <c r="O9" i="865"/>
  <c r="M9" i="865"/>
  <c r="K9" i="865"/>
  <c r="AF8" i="865"/>
  <c r="Q8" i="865"/>
  <c r="P8" i="865" s="1"/>
  <c r="AC8" i="865" s="1"/>
  <c r="O8" i="865"/>
  <c r="AF7" i="865"/>
  <c r="AB7" i="865"/>
  <c r="Q7" i="865"/>
  <c r="P7" i="865"/>
  <c r="AC7" i="865" s="1"/>
  <c r="AD7" i="865" s="1"/>
  <c r="O7" i="865"/>
  <c r="M7" i="865"/>
  <c r="AF6" i="865"/>
  <c r="AB6" i="865"/>
  <c r="Q6" i="865"/>
  <c r="O6" i="865"/>
  <c r="M6" i="865"/>
  <c r="AB21" i="866" l="1"/>
  <c r="P21" i="866"/>
  <c r="AC6" i="866"/>
  <c r="M21" i="866"/>
  <c r="K21" i="866"/>
  <c r="O20" i="865"/>
  <c r="L21" i="865"/>
  <c r="O21" i="865" s="1"/>
  <c r="AB19" i="865"/>
  <c r="P19" i="865"/>
  <c r="AC19" i="865" s="1"/>
  <c r="AD17" i="865"/>
  <c r="Q21" i="865"/>
  <c r="AD15" i="865"/>
  <c r="AD12" i="865"/>
  <c r="AD18" i="865"/>
  <c r="P6" i="865"/>
  <c r="M8" i="865"/>
  <c r="AB8" i="865"/>
  <c r="AD8" i="865" s="1"/>
  <c r="O13" i="865"/>
  <c r="P14" i="865"/>
  <c r="AC14" i="865" s="1"/>
  <c r="AD14" i="865" s="1"/>
  <c r="O16" i="865"/>
  <c r="M18" i="865"/>
  <c r="O19" i="865"/>
  <c r="P20" i="865"/>
  <c r="AC20" i="865" s="1"/>
  <c r="P13" i="865"/>
  <c r="AC13" i="865" s="1"/>
  <c r="AD13" i="865" s="1"/>
  <c r="P16" i="865"/>
  <c r="AC16" i="865" s="1"/>
  <c r="AD16" i="865" s="1"/>
  <c r="M20" i="865"/>
  <c r="AB20" i="865"/>
  <c r="M13" i="865"/>
  <c r="M16" i="865"/>
  <c r="M19" i="865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864"/>
  <c r="K20" i="864" s="1"/>
  <c r="L19" i="864"/>
  <c r="L18" i="864"/>
  <c r="K18" i="864" s="1"/>
  <c r="L16" i="864"/>
  <c r="K16" i="864"/>
  <c r="L14" i="864"/>
  <c r="L13" i="864"/>
  <c r="K13" i="864" s="1"/>
  <c r="K12" i="864"/>
  <c r="L8" i="864"/>
  <c r="L7" i="864"/>
  <c r="L6" i="864"/>
  <c r="AB6" i="864" s="1"/>
  <c r="K19" i="864"/>
  <c r="K14" i="864"/>
  <c r="K10" i="864"/>
  <c r="K8" i="864"/>
  <c r="K7" i="864"/>
  <c r="A75" i="864"/>
  <c r="A76" i="864" s="1"/>
  <c r="A77" i="864" s="1"/>
  <c r="A78" i="864" s="1"/>
  <c r="A79" i="864" s="1"/>
  <c r="A80" i="864" s="1"/>
  <c r="A81" i="864" s="1"/>
  <c r="A74" i="864"/>
  <c r="AF60" i="864"/>
  <c r="AF59" i="864"/>
  <c r="AF62" i="864" s="1"/>
  <c r="AA21" i="864"/>
  <c r="Z21" i="864"/>
  <c r="Y21" i="864"/>
  <c r="X21" i="864"/>
  <c r="W21" i="864"/>
  <c r="V21" i="864"/>
  <c r="U21" i="864"/>
  <c r="T21" i="864"/>
  <c r="S21" i="864"/>
  <c r="R21" i="864"/>
  <c r="N21" i="864"/>
  <c r="J21" i="864"/>
  <c r="I21" i="864"/>
  <c r="AF20" i="864"/>
  <c r="Q20" i="864"/>
  <c r="O20" i="864"/>
  <c r="AF19" i="864"/>
  <c r="AB19" i="864"/>
  <c r="Q19" i="864"/>
  <c r="P19" i="864" s="1"/>
  <c r="AC19" i="864" s="1"/>
  <c r="M19" i="864"/>
  <c r="O19" i="864"/>
  <c r="AF18" i="864"/>
  <c r="Q18" i="864"/>
  <c r="O18" i="864"/>
  <c r="AF17" i="864"/>
  <c r="AB17" i="864"/>
  <c r="Q17" i="864"/>
  <c r="P17" i="864"/>
  <c r="AC17" i="864" s="1"/>
  <c r="O17" i="864"/>
  <c r="M17" i="864"/>
  <c r="K17" i="864"/>
  <c r="AF16" i="864"/>
  <c r="AB16" i="864"/>
  <c r="Q16" i="864"/>
  <c r="O16" i="864"/>
  <c r="AF15" i="864"/>
  <c r="AC15" i="864"/>
  <c r="AB15" i="864"/>
  <c r="Q15" i="864"/>
  <c r="P15" i="864"/>
  <c r="O15" i="864"/>
  <c r="M15" i="864"/>
  <c r="K15" i="864"/>
  <c r="AF14" i="864"/>
  <c r="Q14" i="864"/>
  <c r="O14" i="864"/>
  <c r="AF13" i="864"/>
  <c r="Q13" i="864"/>
  <c r="AF12" i="864"/>
  <c r="AB12" i="864"/>
  <c r="Q12" i="864"/>
  <c r="P12" i="864" s="1"/>
  <c r="AC12" i="864" s="1"/>
  <c r="O12" i="864"/>
  <c r="M12" i="864"/>
  <c r="AF11" i="864"/>
  <c r="AC11" i="864"/>
  <c r="AB11" i="864"/>
  <c r="Q11" i="864"/>
  <c r="P11" i="864"/>
  <c r="O11" i="864"/>
  <c r="M11" i="864"/>
  <c r="K11" i="864"/>
  <c r="AF10" i="864"/>
  <c r="Q10" i="864"/>
  <c r="O10" i="864"/>
  <c r="P10" i="864"/>
  <c r="AC10" i="864" s="1"/>
  <c r="AF9" i="864"/>
  <c r="AB9" i="864"/>
  <c r="Q9" i="864"/>
  <c r="P9" i="864"/>
  <c r="AC9" i="864" s="1"/>
  <c r="O9" i="864"/>
  <c r="M9" i="864"/>
  <c r="K9" i="864"/>
  <c r="AF8" i="864"/>
  <c r="Q8" i="864"/>
  <c r="P8" i="864" s="1"/>
  <c r="AC8" i="864" s="1"/>
  <c r="O8" i="864"/>
  <c r="AF7" i="864"/>
  <c r="Q7" i="864"/>
  <c r="O7" i="864"/>
  <c r="P7" i="864"/>
  <c r="AC7" i="864" s="1"/>
  <c r="AF6" i="864"/>
  <c r="Q6" i="864"/>
  <c r="O6" i="864"/>
  <c r="AC21" i="866" l="1"/>
  <c r="AD6" i="866"/>
  <c r="AD21" i="866" s="1"/>
  <c r="AD19" i="865"/>
  <c r="AE14" i="865" s="1"/>
  <c r="AB21" i="865"/>
  <c r="M21" i="865"/>
  <c r="K21" i="865"/>
  <c r="P21" i="865"/>
  <c r="AC6" i="865"/>
  <c r="AD20" i="865"/>
  <c r="P18" i="864"/>
  <c r="AC18" i="864" s="1"/>
  <c r="P16" i="864"/>
  <c r="AC16" i="864" s="1"/>
  <c r="AD16" i="864" s="1"/>
  <c r="M16" i="864"/>
  <c r="AB13" i="864"/>
  <c r="P13" i="864"/>
  <c r="AC13" i="864" s="1"/>
  <c r="Q21" i="864"/>
  <c r="P6" i="864"/>
  <c r="AC6" i="864" s="1"/>
  <c r="L21" i="864"/>
  <c r="O21" i="864" s="1"/>
  <c r="K6" i="864"/>
  <c r="K21" i="864" s="1"/>
  <c r="M6" i="864"/>
  <c r="AD15" i="864"/>
  <c r="AD11" i="864"/>
  <c r="AD12" i="864"/>
  <c r="AD9" i="864"/>
  <c r="AD17" i="864"/>
  <c r="AD19" i="864"/>
  <c r="AE14" i="864" s="1"/>
  <c r="M8" i="864"/>
  <c r="AB8" i="864"/>
  <c r="AD8" i="864" s="1"/>
  <c r="M7" i="864"/>
  <c r="AB7" i="864"/>
  <c r="AD7" i="864" s="1"/>
  <c r="M10" i="864"/>
  <c r="AB10" i="864"/>
  <c r="AD10" i="864" s="1"/>
  <c r="O13" i="864"/>
  <c r="P14" i="864"/>
  <c r="AC14" i="864" s="1"/>
  <c r="M18" i="864"/>
  <c r="AB18" i="864"/>
  <c r="P20" i="864"/>
  <c r="AC20" i="864" s="1"/>
  <c r="M14" i="864"/>
  <c r="AB14" i="864"/>
  <c r="M20" i="864"/>
  <c r="AB20" i="864"/>
  <c r="M13" i="864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863"/>
  <c r="K20" i="863" s="1"/>
  <c r="L19" i="863"/>
  <c r="K19" i="863" s="1"/>
  <c r="L18" i="863"/>
  <c r="O18" i="863" s="1"/>
  <c r="L16" i="863"/>
  <c r="K16" i="863" s="1"/>
  <c r="L14" i="863"/>
  <c r="K14" i="863" s="1"/>
  <c r="L13" i="863"/>
  <c r="K13" i="863" s="1"/>
  <c r="L10" i="863"/>
  <c r="K10" i="863" s="1"/>
  <c r="L8" i="863"/>
  <c r="K8" i="863" s="1"/>
  <c r="L7" i="863"/>
  <c r="L6" i="863"/>
  <c r="K6" i="863" s="1"/>
  <c r="K17" i="863"/>
  <c r="K12" i="863"/>
  <c r="K9" i="863"/>
  <c r="K7" i="863"/>
  <c r="A74" i="863"/>
  <c r="A75" i="863" s="1"/>
  <c r="A76" i="863" s="1"/>
  <c r="A77" i="863" s="1"/>
  <c r="A78" i="863" s="1"/>
  <c r="A79" i="863" s="1"/>
  <c r="A80" i="863" s="1"/>
  <c r="A81" i="863" s="1"/>
  <c r="AF60" i="863"/>
  <c r="AF59" i="863"/>
  <c r="AA21" i="863"/>
  <c r="Z21" i="863"/>
  <c r="Y21" i="863"/>
  <c r="X21" i="863"/>
  <c r="W21" i="863"/>
  <c r="V21" i="863"/>
  <c r="U21" i="863"/>
  <c r="T21" i="863"/>
  <c r="S21" i="863"/>
  <c r="R21" i="863"/>
  <c r="N21" i="863"/>
  <c r="J21" i="863"/>
  <c r="I21" i="863"/>
  <c r="AF20" i="863"/>
  <c r="Q20" i="863"/>
  <c r="O20" i="863"/>
  <c r="AF19" i="863"/>
  <c r="Q19" i="863"/>
  <c r="AF18" i="863"/>
  <c r="Q18" i="863"/>
  <c r="AF17" i="863"/>
  <c r="AB17" i="863"/>
  <c r="Q17" i="863"/>
  <c r="M17" i="863"/>
  <c r="P17" i="863"/>
  <c r="AC17" i="863" s="1"/>
  <c r="AF16" i="863"/>
  <c r="Q16" i="863"/>
  <c r="O16" i="863"/>
  <c r="AF15" i="863"/>
  <c r="AB15" i="863"/>
  <c r="Q15" i="863"/>
  <c r="P15" i="863"/>
  <c r="AC15" i="863" s="1"/>
  <c r="O15" i="863"/>
  <c r="M15" i="863"/>
  <c r="K15" i="863"/>
  <c r="AF14" i="863"/>
  <c r="Q14" i="863"/>
  <c r="P14" i="863" s="1"/>
  <c r="AC14" i="863" s="1"/>
  <c r="AF13" i="863"/>
  <c r="Q13" i="863"/>
  <c r="P13" i="863"/>
  <c r="AC13" i="863" s="1"/>
  <c r="AF12" i="863"/>
  <c r="AB12" i="863"/>
  <c r="Q12" i="863"/>
  <c r="P12" i="863"/>
  <c r="AC12" i="863" s="1"/>
  <c r="O12" i="863"/>
  <c r="M12" i="863"/>
  <c r="AF11" i="863"/>
  <c r="AB11" i="863"/>
  <c r="Q11" i="863"/>
  <c r="P11" i="863"/>
  <c r="AC11" i="863" s="1"/>
  <c r="O11" i="863"/>
  <c r="M11" i="863"/>
  <c r="K11" i="863"/>
  <c r="AF10" i="863"/>
  <c r="AB10" i="863"/>
  <c r="Q10" i="863"/>
  <c r="P10" i="863" s="1"/>
  <c r="AC10" i="863" s="1"/>
  <c r="AF9" i="863"/>
  <c r="AB9" i="863"/>
  <c r="Q9" i="863"/>
  <c r="P9" i="863"/>
  <c r="AC9" i="863" s="1"/>
  <c r="O9" i="863"/>
  <c r="M9" i="863"/>
  <c r="AF8" i="863"/>
  <c r="AB8" i="863"/>
  <c r="Q8" i="863"/>
  <c r="P8" i="863" s="1"/>
  <c r="AC8" i="863" s="1"/>
  <c r="O8" i="863"/>
  <c r="M8" i="863"/>
  <c r="AF7" i="863"/>
  <c r="Q7" i="863"/>
  <c r="O7" i="863"/>
  <c r="AF6" i="863"/>
  <c r="Q6" i="863"/>
  <c r="AB6" i="863"/>
  <c r="AE18" i="866" l="1"/>
  <c r="AE12" i="866"/>
  <c r="AE10" i="866"/>
  <c r="AE8" i="866"/>
  <c r="AE19" i="866"/>
  <c r="AE15" i="866"/>
  <c r="AE20" i="866"/>
  <c r="AE16" i="866"/>
  <c r="AE13" i="866"/>
  <c r="AE11" i="866"/>
  <c r="AE9" i="866"/>
  <c r="AE6" i="866"/>
  <c r="AE17" i="866"/>
  <c r="AE7" i="866"/>
  <c r="AC21" i="865"/>
  <c r="AD6" i="865"/>
  <c r="AD21" i="865" s="1"/>
  <c r="AD14" i="864"/>
  <c r="AD13" i="864"/>
  <c r="M21" i="864"/>
  <c r="AB21" i="864"/>
  <c r="AC21" i="864"/>
  <c r="AD6" i="864"/>
  <c r="AD20" i="864"/>
  <c r="AD18" i="864"/>
  <c r="P21" i="864"/>
  <c r="M10" i="863"/>
  <c r="O10" i="863"/>
  <c r="AB19" i="863"/>
  <c r="AF62" i="863"/>
  <c r="O13" i="863"/>
  <c r="K18" i="863"/>
  <c r="AD12" i="863"/>
  <c r="AD8" i="863"/>
  <c r="AB13" i="863"/>
  <c r="AD13" i="863" s="1"/>
  <c r="P18" i="863"/>
  <c r="AC18" i="863" s="1"/>
  <c r="Q21" i="863"/>
  <c r="O6" i="863"/>
  <c r="P6" i="863"/>
  <c r="AC6" i="863" s="1"/>
  <c r="AD10" i="863"/>
  <c r="AD9" i="863"/>
  <c r="AD11" i="863"/>
  <c r="AD15" i="863"/>
  <c r="P7" i="863"/>
  <c r="AC7" i="863" s="1"/>
  <c r="P16" i="863"/>
  <c r="AC16" i="863" s="1"/>
  <c r="M18" i="863"/>
  <c r="AB18" i="863"/>
  <c r="AD18" i="863" s="1"/>
  <c r="O19" i="863"/>
  <c r="P20" i="863"/>
  <c r="AC20" i="863" s="1"/>
  <c r="M14" i="863"/>
  <c r="AB14" i="863"/>
  <c r="P19" i="863"/>
  <c r="AC19" i="863" s="1"/>
  <c r="AD19" i="863" s="1"/>
  <c r="AE14" i="863" s="1"/>
  <c r="M7" i="863"/>
  <c r="AB7" i="863"/>
  <c r="O14" i="863"/>
  <c r="M16" i="863"/>
  <c r="AB16" i="863"/>
  <c r="O17" i="863"/>
  <c r="AD17" i="863" s="1"/>
  <c r="M20" i="863"/>
  <c r="AB20" i="863"/>
  <c r="L21" i="863"/>
  <c r="O21" i="863" s="1"/>
  <c r="M6" i="863"/>
  <c r="K21" i="863"/>
  <c r="M13" i="863"/>
  <c r="M19" i="863"/>
  <c r="W18" i="16"/>
  <c r="W17" i="16"/>
  <c r="W16" i="16"/>
  <c r="W15" i="16"/>
  <c r="W14" i="16"/>
  <c r="W13" i="16"/>
  <c r="W12" i="16"/>
  <c r="W11" i="16"/>
  <c r="W10" i="16"/>
  <c r="W9" i="16"/>
  <c r="W8" i="16"/>
  <c r="W5" i="16"/>
  <c r="W4" i="16"/>
  <c r="W7" i="16"/>
  <c r="W6" i="16"/>
  <c r="W3" i="16"/>
  <c r="AE18" i="865" l="1"/>
  <c r="AE15" i="865"/>
  <c r="AE12" i="865"/>
  <c r="AE19" i="865"/>
  <c r="AE20" i="865"/>
  <c r="AE11" i="865"/>
  <c r="AE9" i="865"/>
  <c r="AE6" i="865"/>
  <c r="AE8" i="865"/>
  <c r="AE16" i="865"/>
  <c r="AE13" i="865"/>
  <c r="AE17" i="865"/>
  <c r="AE7" i="865"/>
  <c r="AE10" i="865"/>
  <c r="AD21" i="864"/>
  <c r="AD14" i="863"/>
  <c r="AB21" i="863"/>
  <c r="AD7" i="863"/>
  <c r="AD20" i="863"/>
  <c r="AC21" i="863"/>
  <c r="AD6" i="863"/>
  <c r="M21" i="863"/>
  <c r="AD16" i="863"/>
  <c r="P21" i="863"/>
  <c r="L22" i="862"/>
  <c r="K22" i="862" s="1"/>
  <c r="L21" i="862"/>
  <c r="L20" i="862"/>
  <c r="K20" i="862" s="1"/>
  <c r="L19" i="862"/>
  <c r="K19" i="862" s="1"/>
  <c r="L18" i="862"/>
  <c r="L16" i="862"/>
  <c r="L15" i="862"/>
  <c r="M15" i="862" s="1"/>
  <c r="AF15" i="862"/>
  <c r="AB15" i="862"/>
  <c r="Q15" i="862"/>
  <c r="P15" i="862" s="1"/>
  <c r="AC15" i="862" s="1"/>
  <c r="O15" i="862"/>
  <c r="K15" i="862"/>
  <c r="L14" i="862"/>
  <c r="K14" i="862" s="1"/>
  <c r="L11" i="862"/>
  <c r="K11" i="862" s="1"/>
  <c r="L10" i="862"/>
  <c r="K10" i="862" s="1"/>
  <c r="AF10" i="862"/>
  <c r="Q10" i="862"/>
  <c r="O10" i="862"/>
  <c r="L7" i="862"/>
  <c r="K7" i="862" s="1"/>
  <c r="L6" i="862"/>
  <c r="K6" i="862" s="1"/>
  <c r="K21" i="862"/>
  <c r="K18" i="862"/>
  <c r="K16" i="862"/>
  <c r="K13" i="862"/>
  <c r="K12" i="862"/>
  <c r="K9" i="862"/>
  <c r="A76" i="862"/>
  <c r="A77" i="862" s="1"/>
  <c r="A78" i="862" s="1"/>
  <c r="A79" i="862" s="1"/>
  <c r="A80" i="862" s="1"/>
  <c r="A81" i="862" s="1"/>
  <c r="A82" i="862" s="1"/>
  <c r="A83" i="862" s="1"/>
  <c r="AF64" i="862"/>
  <c r="AF62" i="862"/>
  <c r="AF61" i="862"/>
  <c r="AA23" i="862"/>
  <c r="Z23" i="862"/>
  <c r="Y23" i="862"/>
  <c r="X23" i="862"/>
  <c r="W23" i="862"/>
  <c r="V23" i="862"/>
  <c r="U23" i="862"/>
  <c r="T23" i="862"/>
  <c r="S23" i="862"/>
  <c r="R23" i="862"/>
  <c r="N23" i="862"/>
  <c r="J23" i="862"/>
  <c r="I23" i="862"/>
  <c r="AF22" i="862"/>
  <c r="Q22" i="862"/>
  <c r="P22" i="862" s="1"/>
  <c r="AC22" i="862" s="1"/>
  <c r="M22" i="862"/>
  <c r="O22" i="862"/>
  <c r="AF21" i="862"/>
  <c r="Q21" i="862"/>
  <c r="O21" i="862"/>
  <c r="AB21" i="862"/>
  <c r="AF20" i="862"/>
  <c r="AB20" i="862"/>
  <c r="Q20" i="862"/>
  <c r="P20" i="862" s="1"/>
  <c r="AC20" i="862" s="1"/>
  <c r="O20" i="862"/>
  <c r="M20" i="862"/>
  <c r="AF19" i="862"/>
  <c r="AB19" i="862"/>
  <c r="Q19" i="862"/>
  <c r="M19" i="862"/>
  <c r="AF18" i="862"/>
  <c r="AB18" i="862"/>
  <c r="Q18" i="862"/>
  <c r="P18" i="862"/>
  <c r="AC18" i="862" s="1"/>
  <c r="O18" i="862"/>
  <c r="M18" i="862"/>
  <c r="AF17" i="862"/>
  <c r="AB17" i="862"/>
  <c r="Q17" i="862"/>
  <c r="P17" i="862"/>
  <c r="AC17" i="862" s="1"/>
  <c r="O17" i="862"/>
  <c r="M17" i="862"/>
  <c r="K17" i="862"/>
  <c r="AF16" i="862"/>
  <c r="Q16" i="862"/>
  <c r="O16" i="862"/>
  <c r="AB16" i="862"/>
  <c r="AF14" i="862"/>
  <c r="Q14" i="862"/>
  <c r="P14" i="862" s="1"/>
  <c r="AC14" i="862" s="1"/>
  <c r="AF13" i="862"/>
  <c r="AB13" i="862"/>
  <c r="Q13" i="862"/>
  <c r="P13" i="862" s="1"/>
  <c r="AC13" i="862" s="1"/>
  <c r="M13" i="862"/>
  <c r="O13" i="862"/>
  <c r="AF12" i="862"/>
  <c r="Q12" i="862"/>
  <c r="O12" i="862"/>
  <c r="AB12" i="862"/>
  <c r="AF11" i="862"/>
  <c r="AB11" i="862"/>
  <c r="Q11" i="862"/>
  <c r="P11" i="862" s="1"/>
  <c r="AC11" i="862" s="1"/>
  <c r="O11" i="862"/>
  <c r="M11" i="862"/>
  <c r="AF9" i="862"/>
  <c r="AB9" i="862"/>
  <c r="Q9" i="862"/>
  <c r="P9" i="862" s="1"/>
  <c r="AC9" i="862" s="1"/>
  <c r="M9" i="862"/>
  <c r="O9" i="862"/>
  <c r="AF8" i="862"/>
  <c r="AB8" i="862"/>
  <c r="Q8" i="862"/>
  <c r="P8" i="862"/>
  <c r="AC8" i="862" s="1"/>
  <c r="O8" i="862"/>
  <c r="M8" i="862"/>
  <c r="K8" i="862"/>
  <c r="AF7" i="862"/>
  <c r="Q7" i="862"/>
  <c r="AB7" i="862"/>
  <c r="AF6" i="862"/>
  <c r="AB6" i="862"/>
  <c r="Q6" i="862"/>
  <c r="M6" i="862"/>
  <c r="L23" i="862"/>
  <c r="O23" i="862" s="1"/>
  <c r="AE18" i="864" l="1"/>
  <c r="AE15" i="864"/>
  <c r="AE12" i="864"/>
  <c r="AE19" i="864"/>
  <c r="AE16" i="864"/>
  <c r="AE13" i="864"/>
  <c r="AE8" i="864"/>
  <c r="AE11" i="864"/>
  <c r="AE20" i="864"/>
  <c r="AE17" i="864"/>
  <c r="AE9" i="864"/>
  <c r="AE6" i="864"/>
  <c r="AE10" i="864"/>
  <c r="AE7" i="864"/>
  <c r="AD21" i="863"/>
  <c r="AE18" i="863" s="1"/>
  <c r="AD11" i="862"/>
  <c r="O19" i="862"/>
  <c r="P19" i="862"/>
  <c r="AC19" i="862" s="1"/>
  <c r="AD19" i="862" s="1"/>
  <c r="AD15" i="862"/>
  <c r="AD17" i="862"/>
  <c r="M14" i="862"/>
  <c r="AB14" i="862"/>
  <c r="O14" i="862"/>
  <c r="AB10" i="862"/>
  <c r="Q23" i="862"/>
  <c r="P10" i="862"/>
  <c r="AC10" i="862" s="1"/>
  <c r="AD10" i="862" s="1"/>
  <c r="M10" i="862"/>
  <c r="P6" i="862"/>
  <c r="AC6" i="862" s="1"/>
  <c r="AD18" i="862"/>
  <c r="AD8" i="862"/>
  <c r="AD20" i="862"/>
  <c r="AD9" i="862"/>
  <c r="AD13" i="862"/>
  <c r="O7" i="862"/>
  <c r="O6" i="862"/>
  <c r="K23" i="862"/>
  <c r="P7" i="862"/>
  <c r="AC7" i="862" s="1"/>
  <c r="P12" i="862"/>
  <c r="AC12" i="862" s="1"/>
  <c r="AD12" i="862" s="1"/>
  <c r="P16" i="862"/>
  <c r="AC16" i="862" s="1"/>
  <c r="AD16" i="862" s="1"/>
  <c r="P21" i="862"/>
  <c r="AC21" i="862" s="1"/>
  <c r="AD21" i="862" s="1"/>
  <c r="AE16" i="862" s="1"/>
  <c r="AB22" i="862"/>
  <c r="M7" i="862"/>
  <c r="M12" i="862"/>
  <c r="M16" i="862"/>
  <c r="M21" i="862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1" i="861"/>
  <c r="L20" i="861"/>
  <c r="K20" i="861" s="1"/>
  <c r="L17" i="861"/>
  <c r="K17" i="861" s="1"/>
  <c r="L15" i="861"/>
  <c r="K15" i="861"/>
  <c r="AF15" i="861"/>
  <c r="Q15" i="861"/>
  <c r="M15" i="861"/>
  <c r="AB15" i="861"/>
  <c r="L13" i="861"/>
  <c r="K13" i="861" s="1"/>
  <c r="L12" i="861"/>
  <c r="K12" i="861" s="1"/>
  <c r="K11" i="861"/>
  <c r="AF11" i="861"/>
  <c r="AB11" i="861"/>
  <c r="Q11" i="861"/>
  <c r="P11" i="861" s="1"/>
  <c r="AC11" i="861" s="1"/>
  <c r="O11" i="861"/>
  <c r="M11" i="861"/>
  <c r="L9" i="861"/>
  <c r="L7" i="861"/>
  <c r="K7" i="861"/>
  <c r="L6" i="861"/>
  <c r="K6" i="861" s="1"/>
  <c r="K14" i="861"/>
  <c r="K10" i="861"/>
  <c r="K9" i="861"/>
  <c r="K8" i="861"/>
  <c r="A75" i="861"/>
  <c r="A76" i="861" s="1"/>
  <c r="A77" i="861" s="1"/>
  <c r="A78" i="861" s="1"/>
  <c r="A79" i="861" s="1"/>
  <c r="A80" i="861" s="1"/>
  <c r="A81" i="861" s="1"/>
  <c r="A82" i="861" s="1"/>
  <c r="AF61" i="861"/>
  <c r="AF60" i="861"/>
  <c r="AA22" i="861"/>
  <c r="Z22" i="861"/>
  <c r="Y22" i="861"/>
  <c r="X22" i="861"/>
  <c r="W22" i="861"/>
  <c r="V22" i="861"/>
  <c r="U22" i="861"/>
  <c r="T22" i="861"/>
  <c r="S22" i="861"/>
  <c r="R22" i="861"/>
  <c r="N22" i="861"/>
  <c r="J22" i="861"/>
  <c r="I22" i="861"/>
  <c r="AF21" i="861"/>
  <c r="AB21" i="861"/>
  <c r="Q21" i="861"/>
  <c r="P21" i="861" s="1"/>
  <c r="AC21" i="861" s="1"/>
  <c r="O21" i="861"/>
  <c r="M21" i="861"/>
  <c r="K21" i="861"/>
  <c r="AF20" i="861"/>
  <c r="Q20" i="861"/>
  <c r="P20" i="861" s="1"/>
  <c r="AC20" i="861" s="1"/>
  <c r="O20" i="861"/>
  <c r="AF19" i="861"/>
  <c r="AB19" i="861"/>
  <c r="Q19" i="861"/>
  <c r="P19" i="861"/>
  <c r="AC19" i="861" s="1"/>
  <c r="O19" i="861"/>
  <c r="M19" i="861"/>
  <c r="K19" i="861"/>
  <c r="AF18" i="861"/>
  <c r="AB18" i="861"/>
  <c r="Q18" i="861"/>
  <c r="P18" i="861"/>
  <c r="AC18" i="861" s="1"/>
  <c r="O18" i="861"/>
  <c r="M18" i="861"/>
  <c r="K18" i="861"/>
  <c r="AF17" i="861"/>
  <c r="Q17" i="861"/>
  <c r="P17" i="861" s="1"/>
  <c r="AC17" i="861" s="1"/>
  <c r="AF16" i="861"/>
  <c r="AB16" i="861"/>
  <c r="Q16" i="861"/>
  <c r="P16" i="861"/>
  <c r="AC16" i="861" s="1"/>
  <c r="O16" i="861"/>
  <c r="M16" i="861"/>
  <c r="K16" i="861"/>
  <c r="AF14" i="861"/>
  <c r="AB14" i="861"/>
  <c r="Q14" i="861"/>
  <c r="P14" i="861"/>
  <c r="AC14" i="861" s="1"/>
  <c r="O14" i="861"/>
  <c r="M14" i="861"/>
  <c r="AF13" i="861"/>
  <c r="Q13" i="861"/>
  <c r="AB13" i="861"/>
  <c r="AF12" i="861"/>
  <c r="Q12" i="861"/>
  <c r="P12" i="861" s="1"/>
  <c r="AC12" i="861" s="1"/>
  <c r="O12" i="861"/>
  <c r="AF10" i="861"/>
  <c r="AB10" i="861"/>
  <c r="Q10" i="861"/>
  <c r="P10" i="861" s="1"/>
  <c r="AC10" i="861" s="1"/>
  <c r="M10" i="861"/>
  <c r="O10" i="861"/>
  <c r="AF9" i="861"/>
  <c r="Q9" i="861"/>
  <c r="AB9" i="861"/>
  <c r="AF8" i="861"/>
  <c r="Q8" i="861"/>
  <c r="O8" i="861"/>
  <c r="P8" i="861"/>
  <c r="AC8" i="861" s="1"/>
  <c r="AF7" i="861"/>
  <c r="AB7" i="861"/>
  <c r="Q7" i="861"/>
  <c r="P7" i="861" s="1"/>
  <c r="AC7" i="861" s="1"/>
  <c r="M7" i="861"/>
  <c r="O7" i="861"/>
  <c r="AF6" i="861"/>
  <c r="Q6" i="861"/>
  <c r="AB6" i="861"/>
  <c r="AE13" i="863" l="1"/>
  <c r="AE8" i="863"/>
  <c r="AE17" i="863"/>
  <c r="AE16" i="863"/>
  <c r="AE15" i="863"/>
  <c r="AE10" i="863"/>
  <c r="AE9" i="863"/>
  <c r="AE20" i="863"/>
  <c r="AE19" i="863"/>
  <c r="AE12" i="863"/>
  <c r="AE11" i="863"/>
  <c r="AE6" i="863"/>
  <c r="AE7" i="863"/>
  <c r="AD14" i="862"/>
  <c r="AB23" i="862"/>
  <c r="AD7" i="862"/>
  <c r="M23" i="862"/>
  <c r="AC23" i="862"/>
  <c r="AD6" i="862"/>
  <c r="P23" i="862"/>
  <c r="AD22" i="862"/>
  <c r="AD21" i="861"/>
  <c r="AD11" i="861"/>
  <c r="M12" i="861"/>
  <c r="AB12" i="861"/>
  <c r="AD12" i="861" s="1"/>
  <c r="AF63" i="861"/>
  <c r="AD14" i="861"/>
  <c r="O17" i="861"/>
  <c r="AD7" i="861"/>
  <c r="O15" i="861"/>
  <c r="P15" i="861"/>
  <c r="AC15" i="861" s="1"/>
  <c r="AD15" i="861" s="1"/>
  <c r="AD18" i="861"/>
  <c r="AD19" i="861"/>
  <c r="Q22" i="861"/>
  <c r="AD16" i="861"/>
  <c r="AD10" i="861"/>
  <c r="O9" i="861"/>
  <c r="O13" i="861"/>
  <c r="M20" i="861"/>
  <c r="AB20" i="861"/>
  <c r="AD20" i="861" s="1"/>
  <c r="AE15" i="861" s="1"/>
  <c r="O6" i="861"/>
  <c r="P6" i="861"/>
  <c r="M8" i="861"/>
  <c r="AB8" i="861"/>
  <c r="AD8" i="861" s="1"/>
  <c r="P9" i="861"/>
  <c r="AC9" i="861" s="1"/>
  <c r="P13" i="861"/>
  <c r="AC13" i="861" s="1"/>
  <c r="AD13" i="861" s="1"/>
  <c r="M17" i="861"/>
  <c r="AB17" i="861"/>
  <c r="L22" i="861"/>
  <c r="O22" i="861" s="1"/>
  <c r="M6" i="861"/>
  <c r="M9" i="861"/>
  <c r="M13" i="861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K21" i="860"/>
  <c r="L20" i="860"/>
  <c r="L17" i="860"/>
  <c r="L14" i="860"/>
  <c r="K14" i="860" s="1"/>
  <c r="L13" i="860"/>
  <c r="K13" i="860" s="1"/>
  <c r="L11" i="860"/>
  <c r="K11" i="860" s="1"/>
  <c r="L10" i="860"/>
  <c r="K10" i="860" s="1"/>
  <c r="AF10" i="860"/>
  <c r="Q10" i="860"/>
  <c r="P10" i="860" s="1"/>
  <c r="AC10" i="860" s="1"/>
  <c r="AB10" i="860"/>
  <c r="L9" i="860"/>
  <c r="L8" i="860"/>
  <c r="K8" i="860" s="1"/>
  <c r="L7" i="860"/>
  <c r="K7" i="860" s="1"/>
  <c r="L6" i="860"/>
  <c r="K20" i="860"/>
  <c r="K18" i="860"/>
  <c r="K17" i="860"/>
  <c r="K15" i="860"/>
  <c r="K9" i="860"/>
  <c r="K6" i="860"/>
  <c r="A75" i="860"/>
  <c r="A76" i="860" s="1"/>
  <c r="A77" i="860" s="1"/>
  <c r="A78" i="860" s="1"/>
  <c r="A79" i="860" s="1"/>
  <c r="A80" i="860" s="1"/>
  <c r="A81" i="860" s="1"/>
  <c r="A82" i="860" s="1"/>
  <c r="AF61" i="860"/>
  <c r="AF63" i="860" s="1"/>
  <c r="AF60" i="860"/>
  <c r="AA22" i="860"/>
  <c r="Z22" i="860"/>
  <c r="Y22" i="860"/>
  <c r="X22" i="860"/>
  <c r="W22" i="860"/>
  <c r="V22" i="860"/>
  <c r="U22" i="860"/>
  <c r="T22" i="860"/>
  <c r="S22" i="860"/>
  <c r="R22" i="860"/>
  <c r="N22" i="860"/>
  <c r="J22" i="860"/>
  <c r="I22" i="860"/>
  <c r="AF21" i="860"/>
  <c r="AB21" i="860"/>
  <c r="Q21" i="860"/>
  <c r="O21" i="860"/>
  <c r="M21" i="860"/>
  <c r="P21" i="860"/>
  <c r="AC21" i="860" s="1"/>
  <c r="AD21" i="860" s="1"/>
  <c r="AF20" i="860"/>
  <c r="Q20" i="860"/>
  <c r="AB20" i="860"/>
  <c r="AF19" i="860"/>
  <c r="AB19" i="860"/>
  <c r="Q19" i="860"/>
  <c r="P19" i="860"/>
  <c r="AC19" i="860" s="1"/>
  <c r="O19" i="860"/>
  <c r="M19" i="860"/>
  <c r="K19" i="860"/>
  <c r="AF18" i="860"/>
  <c r="AB18" i="860"/>
  <c r="Q18" i="860"/>
  <c r="O18" i="860"/>
  <c r="M18" i="860"/>
  <c r="P18" i="860"/>
  <c r="AC18" i="860" s="1"/>
  <c r="AD18" i="860" s="1"/>
  <c r="AF17" i="860"/>
  <c r="Q17" i="860"/>
  <c r="AB17" i="860"/>
  <c r="AF16" i="860"/>
  <c r="AB16" i="860"/>
  <c r="Q16" i="860"/>
  <c r="P16" i="860"/>
  <c r="AC16" i="860" s="1"/>
  <c r="O16" i="860"/>
  <c r="M16" i="860"/>
  <c r="K16" i="860"/>
  <c r="AF15" i="860"/>
  <c r="AB15" i="860"/>
  <c r="Q15" i="860"/>
  <c r="O15" i="860"/>
  <c r="M15" i="860"/>
  <c r="P15" i="860"/>
  <c r="AC15" i="860" s="1"/>
  <c r="AD15" i="860" s="1"/>
  <c r="AF14" i="860"/>
  <c r="Q14" i="860"/>
  <c r="M14" i="860"/>
  <c r="AF13" i="860"/>
  <c r="Q13" i="860"/>
  <c r="P13" i="860" s="1"/>
  <c r="AC13" i="860" s="1"/>
  <c r="O13" i="860"/>
  <c r="AF12" i="860"/>
  <c r="AB12" i="860"/>
  <c r="Q12" i="860"/>
  <c r="P12" i="860"/>
  <c r="AC12" i="860" s="1"/>
  <c r="AD12" i="860" s="1"/>
  <c r="O12" i="860"/>
  <c r="M12" i="860"/>
  <c r="K12" i="860"/>
  <c r="AF11" i="860"/>
  <c r="Q11" i="860"/>
  <c r="P11" i="860" s="1"/>
  <c r="AC11" i="860" s="1"/>
  <c r="AF9" i="860"/>
  <c r="Q9" i="860"/>
  <c r="P9" i="860" s="1"/>
  <c r="AC9" i="860" s="1"/>
  <c r="O9" i="860"/>
  <c r="AB9" i="860"/>
  <c r="AF8" i="860"/>
  <c r="AB8" i="860"/>
  <c r="Q8" i="860"/>
  <c r="P8" i="860" s="1"/>
  <c r="AC8" i="860" s="1"/>
  <c r="O8" i="860"/>
  <c r="M8" i="860"/>
  <c r="AF7" i="860"/>
  <c r="Q7" i="860"/>
  <c r="P7" i="860" s="1"/>
  <c r="AC7" i="860" s="1"/>
  <c r="AF6" i="860"/>
  <c r="Q6" i="860"/>
  <c r="P6" i="860" s="1"/>
  <c r="O6" i="860"/>
  <c r="L22" i="860"/>
  <c r="O22" i="860" s="1"/>
  <c r="AD23" i="862" l="1"/>
  <c r="AE21" i="862" s="1"/>
  <c r="AD17" i="861"/>
  <c r="M22" i="861"/>
  <c r="AD9" i="861"/>
  <c r="P22" i="861"/>
  <c r="AC6" i="861"/>
  <c r="AB22" i="861"/>
  <c r="K22" i="861"/>
  <c r="O10" i="860"/>
  <c r="AD10" i="860" s="1"/>
  <c r="AD8" i="860"/>
  <c r="Q22" i="860"/>
  <c r="M10" i="860"/>
  <c r="AD16" i="860"/>
  <c r="AD19" i="860"/>
  <c r="AD9" i="860"/>
  <c r="M7" i="860"/>
  <c r="AB7" i="860"/>
  <c r="M11" i="860"/>
  <c r="AB11" i="860"/>
  <c r="AB14" i="860"/>
  <c r="M6" i="860"/>
  <c r="AB6" i="860"/>
  <c r="O7" i="860"/>
  <c r="M9" i="860"/>
  <c r="O11" i="860"/>
  <c r="M13" i="860"/>
  <c r="AB13" i="860"/>
  <c r="AD13" i="860" s="1"/>
  <c r="O14" i="860"/>
  <c r="O17" i="860"/>
  <c r="O20" i="860"/>
  <c r="AC6" i="860"/>
  <c r="K22" i="860"/>
  <c r="P14" i="860"/>
  <c r="AC14" i="860" s="1"/>
  <c r="P17" i="860"/>
  <c r="AC17" i="860" s="1"/>
  <c r="P20" i="860"/>
  <c r="AC20" i="860" s="1"/>
  <c r="M17" i="860"/>
  <c r="M20" i="860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859"/>
  <c r="K20" i="859" s="1"/>
  <c r="L19" i="859"/>
  <c r="L17" i="859"/>
  <c r="K17" i="859" s="1"/>
  <c r="L16" i="859"/>
  <c r="L14" i="859"/>
  <c r="K14" i="859" s="1"/>
  <c r="L13" i="859"/>
  <c r="K13" i="859" s="1"/>
  <c r="L12" i="859"/>
  <c r="K12" i="859" s="1"/>
  <c r="L10" i="859"/>
  <c r="K10" i="859" s="1"/>
  <c r="L9" i="859"/>
  <c r="K9" i="859" s="1"/>
  <c r="L7" i="859"/>
  <c r="L6" i="859"/>
  <c r="K19" i="859"/>
  <c r="K16" i="859"/>
  <c r="K7" i="859"/>
  <c r="K6" i="859"/>
  <c r="A74" i="859"/>
  <c r="A75" i="859" s="1"/>
  <c r="A76" i="859" s="1"/>
  <c r="A77" i="859" s="1"/>
  <c r="A78" i="859" s="1"/>
  <c r="A79" i="859" s="1"/>
  <c r="A80" i="859" s="1"/>
  <c r="A81" i="859" s="1"/>
  <c r="AF62" i="859"/>
  <c r="AF60" i="859"/>
  <c r="AF59" i="859"/>
  <c r="AA21" i="859"/>
  <c r="Z21" i="859"/>
  <c r="Y21" i="859"/>
  <c r="X21" i="859"/>
  <c r="W21" i="859"/>
  <c r="V21" i="859"/>
  <c r="U21" i="859"/>
  <c r="T21" i="859"/>
  <c r="S21" i="859"/>
  <c r="R21" i="859"/>
  <c r="N21" i="859"/>
  <c r="J21" i="859"/>
  <c r="I21" i="859"/>
  <c r="AF20" i="859"/>
  <c r="Q20" i="859"/>
  <c r="O20" i="859"/>
  <c r="AF19" i="859"/>
  <c r="Q19" i="859"/>
  <c r="AB19" i="859"/>
  <c r="AF18" i="859"/>
  <c r="AB18" i="859"/>
  <c r="Q18" i="859"/>
  <c r="P18" i="859"/>
  <c r="AC18" i="859" s="1"/>
  <c r="AD18" i="859" s="1"/>
  <c r="O18" i="859"/>
  <c r="M18" i="859"/>
  <c r="K18" i="859"/>
  <c r="AF17" i="859"/>
  <c r="AB17" i="859"/>
  <c r="Q17" i="859"/>
  <c r="P17" i="859" s="1"/>
  <c r="AC17" i="859" s="1"/>
  <c r="O17" i="859"/>
  <c r="M17" i="859"/>
  <c r="AF16" i="859"/>
  <c r="Q16" i="859"/>
  <c r="P16" i="859" s="1"/>
  <c r="AC16" i="859" s="1"/>
  <c r="O16" i="859"/>
  <c r="M16" i="859"/>
  <c r="AB16" i="859"/>
  <c r="AF15" i="859"/>
  <c r="AC15" i="859"/>
  <c r="AB15" i="859"/>
  <c r="Q15" i="859"/>
  <c r="P15" i="859"/>
  <c r="O15" i="859"/>
  <c r="M15" i="859"/>
  <c r="K15" i="859"/>
  <c r="AF14" i="859"/>
  <c r="Q14" i="859"/>
  <c r="AB14" i="859"/>
  <c r="AF13" i="859"/>
  <c r="AB13" i="859"/>
  <c r="Q13" i="859"/>
  <c r="P13" i="859" s="1"/>
  <c r="AC13" i="859" s="1"/>
  <c r="O13" i="859"/>
  <c r="M13" i="859"/>
  <c r="AF12" i="859"/>
  <c r="AB12" i="859"/>
  <c r="Q12" i="859"/>
  <c r="M12" i="859"/>
  <c r="O12" i="859"/>
  <c r="AF11" i="859"/>
  <c r="AB11" i="859"/>
  <c r="Q11" i="859"/>
  <c r="P11" i="859"/>
  <c r="AC11" i="859" s="1"/>
  <c r="AD11" i="859" s="1"/>
  <c r="O11" i="859"/>
  <c r="M11" i="859"/>
  <c r="K11" i="859"/>
  <c r="AF10" i="859"/>
  <c r="AB10" i="859"/>
  <c r="Q10" i="859"/>
  <c r="P10" i="859" s="1"/>
  <c r="AC10" i="859" s="1"/>
  <c r="AD10" i="859" s="1"/>
  <c r="O10" i="859"/>
  <c r="M10" i="859"/>
  <c r="AF9" i="859"/>
  <c r="AB9" i="859"/>
  <c r="Q9" i="859"/>
  <c r="P9" i="859" s="1"/>
  <c r="AC9" i="859" s="1"/>
  <c r="O9" i="859"/>
  <c r="M9" i="859"/>
  <c r="AF8" i="859"/>
  <c r="AB8" i="859"/>
  <c r="Q8" i="859"/>
  <c r="P8" i="859" s="1"/>
  <c r="AC8" i="859" s="1"/>
  <c r="O8" i="859"/>
  <c r="M8" i="859"/>
  <c r="K8" i="859"/>
  <c r="AF7" i="859"/>
  <c r="AB7" i="859"/>
  <c r="Q7" i="859"/>
  <c r="M7" i="859"/>
  <c r="O7" i="859"/>
  <c r="AF6" i="859"/>
  <c r="Q6" i="859"/>
  <c r="AB6" i="859"/>
  <c r="AE19" i="862" l="1"/>
  <c r="AE11" i="862"/>
  <c r="AE7" i="862"/>
  <c r="AE17" i="862"/>
  <c r="AE6" i="862"/>
  <c r="AE10" i="862"/>
  <c r="AE15" i="862"/>
  <c r="AE13" i="862"/>
  <c r="AE12" i="862"/>
  <c r="AE14" i="862"/>
  <c r="AE18" i="862"/>
  <c r="AE8" i="862"/>
  <c r="AE22" i="862"/>
  <c r="AE9" i="862"/>
  <c r="AE20" i="862"/>
  <c r="AC22" i="861"/>
  <c r="AD6" i="861"/>
  <c r="AD22" i="861" s="1"/>
  <c r="AE11" i="861" s="1"/>
  <c r="AD20" i="860"/>
  <c r="AD14" i="860"/>
  <c r="AD7" i="860"/>
  <c r="AD11" i="860"/>
  <c r="M22" i="860"/>
  <c r="AC22" i="860"/>
  <c r="AD6" i="860"/>
  <c r="AB22" i="860"/>
  <c r="AD17" i="860"/>
  <c r="P22" i="860"/>
  <c r="AD17" i="859"/>
  <c r="AD13" i="859"/>
  <c r="AD9" i="859"/>
  <c r="AD8" i="859"/>
  <c r="Q21" i="859"/>
  <c r="AD15" i="859"/>
  <c r="AD16" i="859"/>
  <c r="O6" i="859"/>
  <c r="P7" i="859"/>
  <c r="AC7" i="859" s="1"/>
  <c r="AD7" i="859" s="1"/>
  <c r="P12" i="859"/>
  <c r="AC12" i="859" s="1"/>
  <c r="AD12" i="859" s="1"/>
  <c r="O14" i="859"/>
  <c r="O19" i="859"/>
  <c r="P20" i="859"/>
  <c r="AC20" i="859" s="1"/>
  <c r="P6" i="859"/>
  <c r="P14" i="859"/>
  <c r="AC14" i="859" s="1"/>
  <c r="AD14" i="859" s="1"/>
  <c r="P19" i="859"/>
  <c r="AC19" i="859" s="1"/>
  <c r="AD19" i="859" s="1"/>
  <c r="M20" i="859"/>
  <c r="AB20" i="859"/>
  <c r="AB21" i="859" s="1"/>
  <c r="L21" i="859"/>
  <c r="O21" i="859" s="1"/>
  <c r="M6" i="859"/>
  <c r="M14" i="859"/>
  <c r="M19" i="859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0" i="858"/>
  <c r="O20" i="858" s="1"/>
  <c r="L19" i="858"/>
  <c r="L16" i="858"/>
  <c r="K16" i="858" s="1"/>
  <c r="L14" i="858"/>
  <c r="K14" i="858" s="1"/>
  <c r="L12" i="858"/>
  <c r="L10" i="858"/>
  <c r="K10" i="858" s="1"/>
  <c r="L7" i="858"/>
  <c r="L6" i="858"/>
  <c r="K20" i="858"/>
  <c r="K19" i="858"/>
  <c r="K18" i="858"/>
  <c r="K13" i="858"/>
  <c r="K12" i="858"/>
  <c r="K9" i="858"/>
  <c r="K8" i="858"/>
  <c r="K7" i="858"/>
  <c r="K6" i="858"/>
  <c r="A75" i="858"/>
  <c r="A76" i="858" s="1"/>
  <c r="A77" i="858" s="1"/>
  <c r="A78" i="858" s="1"/>
  <c r="A79" i="858" s="1"/>
  <c r="A80" i="858" s="1"/>
  <c r="A81" i="858" s="1"/>
  <c r="A74" i="858"/>
  <c r="AF60" i="858"/>
  <c r="AF59" i="858"/>
  <c r="AF62" i="858" s="1"/>
  <c r="AA21" i="858"/>
  <c r="Z21" i="858"/>
  <c r="Y21" i="858"/>
  <c r="X21" i="858"/>
  <c r="W21" i="858"/>
  <c r="V21" i="858"/>
  <c r="U21" i="858"/>
  <c r="T21" i="858"/>
  <c r="S21" i="858"/>
  <c r="R21" i="858"/>
  <c r="N21" i="858"/>
  <c r="J21" i="858"/>
  <c r="AF20" i="858"/>
  <c r="Q20" i="858"/>
  <c r="AF19" i="858"/>
  <c r="Q19" i="858"/>
  <c r="P19" i="858"/>
  <c r="AC19" i="858" s="1"/>
  <c r="AB19" i="858"/>
  <c r="AF18" i="858"/>
  <c r="AB18" i="858"/>
  <c r="Q18" i="858"/>
  <c r="P18" i="858"/>
  <c r="AC18" i="858" s="1"/>
  <c r="AD18" i="858" s="1"/>
  <c r="O18" i="858"/>
  <c r="M18" i="858"/>
  <c r="AF17" i="858"/>
  <c r="AB17" i="858"/>
  <c r="Q17" i="858"/>
  <c r="P17" i="858"/>
  <c r="AC17" i="858" s="1"/>
  <c r="O17" i="858"/>
  <c r="M17" i="858"/>
  <c r="K17" i="858"/>
  <c r="AF16" i="858"/>
  <c r="Q16" i="858"/>
  <c r="P16" i="858"/>
  <c r="AC16" i="858" s="1"/>
  <c r="O16" i="858"/>
  <c r="AB16" i="858"/>
  <c r="AF15" i="858"/>
  <c r="AC15" i="858"/>
  <c r="AB15" i="858"/>
  <c r="Q15" i="858"/>
  <c r="P15" i="858"/>
  <c r="O15" i="858"/>
  <c r="M15" i="858"/>
  <c r="K15" i="858"/>
  <c r="AF14" i="858"/>
  <c r="Q14" i="858"/>
  <c r="P14" i="858" s="1"/>
  <c r="AC14" i="858" s="1"/>
  <c r="AB14" i="858"/>
  <c r="AF13" i="858"/>
  <c r="Q13" i="858"/>
  <c r="P13" i="858"/>
  <c r="AC13" i="858" s="1"/>
  <c r="O13" i="858"/>
  <c r="AB13" i="858"/>
  <c r="AF12" i="858"/>
  <c r="AB12" i="858"/>
  <c r="Q12" i="858"/>
  <c r="P12" i="858" s="1"/>
  <c r="AC12" i="858" s="1"/>
  <c r="O12" i="858"/>
  <c r="M12" i="858"/>
  <c r="AF11" i="858"/>
  <c r="AB11" i="858"/>
  <c r="Q11" i="858"/>
  <c r="P11" i="858"/>
  <c r="AC11" i="858" s="1"/>
  <c r="AD11" i="858" s="1"/>
  <c r="O11" i="858"/>
  <c r="M11" i="858"/>
  <c r="K11" i="858"/>
  <c r="AF10" i="858"/>
  <c r="Q10" i="858"/>
  <c r="P10" i="858" s="1"/>
  <c r="AC10" i="858" s="1"/>
  <c r="O10" i="858"/>
  <c r="M10" i="858"/>
  <c r="AB10" i="858"/>
  <c r="I21" i="858"/>
  <c r="AF9" i="858"/>
  <c r="Q9" i="858"/>
  <c r="P9" i="858"/>
  <c r="AC9" i="858" s="1"/>
  <c r="O9" i="858"/>
  <c r="AB9" i="858"/>
  <c r="AF8" i="858"/>
  <c r="AB8" i="858"/>
  <c r="Q8" i="858"/>
  <c r="O8" i="858"/>
  <c r="M8" i="858"/>
  <c r="P8" i="858"/>
  <c r="AC8" i="858" s="1"/>
  <c r="AD8" i="858" s="1"/>
  <c r="AF7" i="858"/>
  <c r="Q7" i="858"/>
  <c r="O7" i="858"/>
  <c r="AF6" i="858"/>
  <c r="Q6" i="858"/>
  <c r="P6" i="858" s="1"/>
  <c r="AB6" i="858"/>
  <c r="AE20" i="861" l="1"/>
  <c r="AE12" i="861"/>
  <c r="AE18" i="861"/>
  <c r="AE13" i="861"/>
  <c r="AE9" i="861"/>
  <c r="AE21" i="861"/>
  <c r="AE16" i="861"/>
  <c r="AE14" i="861"/>
  <c r="AE10" i="861"/>
  <c r="AE7" i="861"/>
  <c r="AE8" i="861"/>
  <c r="AE19" i="861"/>
  <c r="AE17" i="861"/>
  <c r="AE6" i="861"/>
  <c r="AD22" i="860"/>
  <c r="AE10" i="860" s="1"/>
  <c r="K21" i="859"/>
  <c r="AD20" i="859"/>
  <c r="M21" i="859"/>
  <c r="P21" i="859"/>
  <c r="AC6" i="859"/>
  <c r="AD12" i="858"/>
  <c r="Q21" i="858"/>
  <c r="AD15" i="858"/>
  <c r="AD17" i="858"/>
  <c r="AD9" i="858"/>
  <c r="AD10" i="858"/>
  <c r="AD13" i="858"/>
  <c r="AD16" i="858"/>
  <c r="AB7" i="858"/>
  <c r="O6" i="858"/>
  <c r="AC6" i="858"/>
  <c r="K21" i="858"/>
  <c r="P7" i="858"/>
  <c r="AC7" i="858" s="1"/>
  <c r="M9" i="858"/>
  <c r="M13" i="858"/>
  <c r="O14" i="858"/>
  <c r="AD14" i="858" s="1"/>
  <c r="M16" i="858"/>
  <c r="O19" i="858"/>
  <c r="AD19" i="858" s="1"/>
  <c r="P20" i="858"/>
  <c r="AC20" i="858" s="1"/>
  <c r="M20" i="858"/>
  <c r="AB20" i="858"/>
  <c r="L21" i="858"/>
  <c r="O21" i="858" s="1"/>
  <c r="M7" i="858"/>
  <c r="M6" i="858"/>
  <c r="M14" i="858"/>
  <c r="M19" i="858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0" i="857"/>
  <c r="K20" i="857" s="1"/>
  <c r="L19" i="857"/>
  <c r="K18" i="857"/>
  <c r="L16" i="857"/>
  <c r="L14" i="857"/>
  <c r="K14" i="857" s="1"/>
  <c r="L13" i="857"/>
  <c r="L12" i="857"/>
  <c r="L10" i="857"/>
  <c r="L9" i="857"/>
  <c r="L8" i="857"/>
  <c r="K8" i="857"/>
  <c r="L7" i="857"/>
  <c r="K7" i="857" s="1"/>
  <c r="L6" i="857"/>
  <c r="K6" i="857" s="1"/>
  <c r="K19" i="857"/>
  <c r="K16" i="857"/>
  <c r="K13" i="857"/>
  <c r="K12" i="857"/>
  <c r="K10" i="857"/>
  <c r="K9" i="857"/>
  <c r="A74" i="857"/>
  <c r="A75" i="857" s="1"/>
  <c r="A76" i="857" s="1"/>
  <c r="A77" i="857" s="1"/>
  <c r="A78" i="857" s="1"/>
  <c r="A79" i="857" s="1"/>
  <c r="A80" i="857" s="1"/>
  <c r="A81" i="857" s="1"/>
  <c r="AF62" i="857"/>
  <c r="AF60" i="857"/>
  <c r="AF59" i="857"/>
  <c r="AA21" i="857"/>
  <c r="Z21" i="857"/>
  <c r="Y21" i="857"/>
  <c r="X21" i="857"/>
  <c r="W21" i="857"/>
  <c r="V21" i="857"/>
  <c r="U21" i="857"/>
  <c r="T21" i="857"/>
  <c r="S21" i="857"/>
  <c r="R21" i="857"/>
  <c r="N21" i="857"/>
  <c r="J21" i="857"/>
  <c r="AF20" i="857"/>
  <c r="AB20" i="857"/>
  <c r="Q20" i="857"/>
  <c r="P20" i="857"/>
  <c r="AC20" i="857" s="1"/>
  <c r="M20" i="857"/>
  <c r="O20" i="857"/>
  <c r="AF19" i="857"/>
  <c r="Q19" i="857"/>
  <c r="AB19" i="857"/>
  <c r="AF18" i="857"/>
  <c r="AB18" i="857"/>
  <c r="Q18" i="857"/>
  <c r="P18" i="857"/>
  <c r="AC18" i="857" s="1"/>
  <c r="O18" i="857"/>
  <c r="M18" i="857"/>
  <c r="AF17" i="857"/>
  <c r="AB17" i="857"/>
  <c r="Q17" i="857"/>
  <c r="P17" i="857"/>
  <c r="AC17" i="857" s="1"/>
  <c r="AD17" i="857" s="1"/>
  <c r="O17" i="857"/>
  <c r="M17" i="857"/>
  <c r="K17" i="857"/>
  <c r="AF16" i="857"/>
  <c r="Q16" i="857"/>
  <c r="P16" i="857" s="1"/>
  <c r="AC16" i="857" s="1"/>
  <c r="O16" i="857"/>
  <c r="AF15" i="857"/>
  <c r="AB15" i="857"/>
  <c r="Q15" i="857"/>
  <c r="P15" i="857"/>
  <c r="AC15" i="857" s="1"/>
  <c r="AD15" i="857" s="1"/>
  <c r="O15" i="857"/>
  <c r="M15" i="857"/>
  <c r="K15" i="857"/>
  <c r="AF14" i="857"/>
  <c r="Q14" i="857"/>
  <c r="P14" i="857"/>
  <c r="AC14" i="857" s="1"/>
  <c r="AB14" i="857"/>
  <c r="AF13" i="857"/>
  <c r="Q13" i="857"/>
  <c r="O13" i="857"/>
  <c r="P13" i="857"/>
  <c r="AC13" i="857" s="1"/>
  <c r="AF12" i="857"/>
  <c r="AB12" i="857"/>
  <c r="Q12" i="857"/>
  <c r="P12" i="857" s="1"/>
  <c r="AC12" i="857" s="1"/>
  <c r="M12" i="857"/>
  <c r="AF11" i="857"/>
  <c r="AB11" i="857"/>
  <c r="Q11" i="857"/>
  <c r="P11" i="857"/>
  <c r="AC11" i="857" s="1"/>
  <c r="O11" i="857"/>
  <c r="M11" i="857"/>
  <c r="K11" i="857"/>
  <c r="AF10" i="857"/>
  <c r="Q10" i="857"/>
  <c r="P10" i="857"/>
  <c r="AC10" i="857" s="1"/>
  <c r="I10" i="857"/>
  <c r="I21" i="857" s="1"/>
  <c r="AF9" i="857"/>
  <c r="Q9" i="857"/>
  <c r="P9" i="857"/>
  <c r="AC9" i="857" s="1"/>
  <c r="AF8" i="857"/>
  <c r="AB8" i="857"/>
  <c r="Q8" i="857"/>
  <c r="P8" i="857"/>
  <c r="AC8" i="857" s="1"/>
  <c r="O8" i="857"/>
  <c r="M8" i="857"/>
  <c r="AF7" i="857"/>
  <c r="AB7" i="857"/>
  <c r="Q7" i="857"/>
  <c r="P7" i="857" s="1"/>
  <c r="AC7" i="857" s="1"/>
  <c r="M7" i="857"/>
  <c r="AF6" i="857"/>
  <c r="Q6" i="857"/>
  <c r="L21" i="857"/>
  <c r="O21" i="857" s="1"/>
  <c r="AE19" i="860" l="1"/>
  <c r="AE16" i="860"/>
  <c r="AE13" i="860"/>
  <c r="AE14" i="860"/>
  <c r="AE21" i="860"/>
  <c r="AE18" i="860"/>
  <c r="AE15" i="860"/>
  <c r="AE7" i="860"/>
  <c r="AE12" i="860"/>
  <c r="AE8" i="860"/>
  <c r="AE9" i="860"/>
  <c r="AE6" i="860"/>
  <c r="AE20" i="860"/>
  <c r="AE17" i="860"/>
  <c r="AE11" i="860"/>
  <c r="AC21" i="859"/>
  <c r="AD6" i="859"/>
  <c r="AD21" i="859" s="1"/>
  <c r="AD7" i="858"/>
  <c r="AB21" i="858"/>
  <c r="AC21" i="858"/>
  <c r="AD6" i="858"/>
  <c r="M21" i="858"/>
  <c r="AD20" i="858"/>
  <c r="P21" i="858"/>
  <c r="AD20" i="857"/>
  <c r="Q21" i="857"/>
  <c r="AD8" i="857"/>
  <c r="AD18" i="857"/>
  <c r="AD11" i="857"/>
  <c r="M6" i="857"/>
  <c r="AB6" i="857"/>
  <c r="O7" i="857"/>
  <c r="AD7" i="857" s="1"/>
  <c r="M9" i="857"/>
  <c r="AB9" i="857"/>
  <c r="M10" i="857"/>
  <c r="AB10" i="857"/>
  <c r="AD10" i="857" s="1"/>
  <c r="M13" i="857"/>
  <c r="AB13" i="857"/>
  <c r="AD13" i="857" s="1"/>
  <c r="O14" i="857"/>
  <c r="AD14" i="857" s="1"/>
  <c r="M16" i="857"/>
  <c r="AB16" i="857"/>
  <c r="AD16" i="857" s="1"/>
  <c r="O19" i="857"/>
  <c r="O6" i="857"/>
  <c r="O9" i="857"/>
  <c r="O10" i="857"/>
  <c r="P19" i="857"/>
  <c r="AC19" i="857" s="1"/>
  <c r="AD19" i="857" s="1"/>
  <c r="P6" i="857"/>
  <c r="O12" i="857"/>
  <c r="AD12" i="857" s="1"/>
  <c r="M14" i="857"/>
  <c r="M19" i="857"/>
  <c r="O18" i="16"/>
  <c r="N18" i="16"/>
  <c r="O17" i="16"/>
  <c r="N17" i="16"/>
  <c r="O16" i="16"/>
  <c r="N16" i="16"/>
  <c r="O15" i="16"/>
  <c r="N15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O7" i="16"/>
  <c r="N7" i="16"/>
  <c r="O6" i="16"/>
  <c r="N6" i="16"/>
  <c r="O5" i="16"/>
  <c r="N5" i="16"/>
  <c r="O4" i="16"/>
  <c r="N4" i="16"/>
  <c r="N3" i="16"/>
  <c r="O3" i="16"/>
  <c r="L20" i="856"/>
  <c r="L19" i="856"/>
  <c r="K19" i="856" s="1"/>
  <c r="L16" i="856"/>
  <c r="K16" i="856" s="1"/>
  <c r="L14" i="856"/>
  <c r="L13" i="856"/>
  <c r="L12" i="856"/>
  <c r="L10" i="856"/>
  <c r="K10" i="856" s="1"/>
  <c r="I10" i="856"/>
  <c r="L9" i="856"/>
  <c r="L7" i="856"/>
  <c r="L6" i="856"/>
  <c r="K6" i="856" s="1"/>
  <c r="AE18" i="859" l="1"/>
  <c r="AE16" i="859"/>
  <c r="AE13" i="859"/>
  <c r="AE8" i="859"/>
  <c r="AE19" i="859"/>
  <c r="AE20" i="859"/>
  <c r="AE17" i="859"/>
  <c r="AE12" i="859"/>
  <c r="AE9" i="859"/>
  <c r="AE7" i="859"/>
  <c r="AE15" i="859"/>
  <c r="AE10" i="859"/>
  <c r="AE14" i="859"/>
  <c r="AE11" i="859"/>
  <c r="AE6" i="859"/>
  <c r="AD21" i="858"/>
  <c r="AE18" i="858" s="1"/>
  <c r="AE10" i="858"/>
  <c r="AE20" i="858"/>
  <c r="AE8" i="858"/>
  <c r="AD9" i="857"/>
  <c r="AB21" i="857"/>
  <c r="M21" i="857"/>
  <c r="P21" i="857"/>
  <c r="AC6" i="857"/>
  <c r="K21" i="857"/>
  <c r="K20" i="856"/>
  <c r="K14" i="856"/>
  <c r="K13" i="856"/>
  <c r="K12" i="856"/>
  <c r="K9" i="856"/>
  <c r="K7" i="856"/>
  <c r="A74" i="856"/>
  <c r="A75" i="856" s="1"/>
  <c r="A76" i="856" s="1"/>
  <c r="A77" i="856" s="1"/>
  <c r="A78" i="856" s="1"/>
  <c r="A79" i="856" s="1"/>
  <c r="A80" i="856" s="1"/>
  <c r="A81" i="856" s="1"/>
  <c r="AF60" i="856"/>
  <c r="AF62" i="856" s="1"/>
  <c r="AF59" i="856"/>
  <c r="AA21" i="856"/>
  <c r="Z21" i="856"/>
  <c r="Y21" i="856"/>
  <c r="X21" i="856"/>
  <c r="W21" i="856"/>
  <c r="V21" i="856"/>
  <c r="U21" i="856"/>
  <c r="T21" i="856"/>
  <c r="R21" i="856"/>
  <c r="N21" i="856"/>
  <c r="J21" i="856"/>
  <c r="I21" i="856"/>
  <c r="AF20" i="856"/>
  <c r="AB20" i="856"/>
  <c r="Q20" i="856"/>
  <c r="M20" i="856"/>
  <c r="O20" i="856"/>
  <c r="AF19" i="856"/>
  <c r="AB19" i="856"/>
  <c r="Q19" i="856"/>
  <c r="P19" i="856" s="1"/>
  <c r="AC19" i="856" s="1"/>
  <c r="O19" i="856"/>
  <c r="M19" i="856"/>
  <c r="AF18" i="856"/>
  <c r="AB18" i="856"/>
  <c r="Q18" i="856"/>
  <c r="P18" i="856"/>
  <c r="AC18" i="856" s="1"/>
  <c r="AD18" i="856" s="1"/>
  <c r="O18" i="856"/>
  <c r="M18" i="856"/>
  <c r="K18" i="856"/>
  <c r="AF17" i="856"/>
  <c r="AB17" i="856"/>
  <c r="Q17" i="856"/>
  <c r="P17" i="856"/>
  <c r="AC17" i="856" s="1"/>
  <c r="O17" i="856"/>
  <c r="M17" i="856"/>
  <c r="K17" i="856"/>
  <c r="AF16" i="856"/>
  <c r="AB16" i="856"/>
  <c r="Q16" i="856"/>
  <c r="P16" i="856" s="1"/>
  <c r="AC16" i="856" s="1"/>
  <c r="O16" i="856"/>
  <c r="M16" i="856"/>
  <c r="AF15" i="856"/>
  <c r="AB15" i="856"/>
  <c r="Q15" i="856"/>
  <c r="P15" i="856"/>
  <c r="AC15" i="856" s="1"/>
  <c r="AD15" i="856" s="1"/>
  <c r="O15" i="856"/>
  <c r="M15" i="856"/>
  <c r="K15" i="856"/>
  <c r="AF14" i="856"/>
  <c r="AB14" i="856"/>
  <c r="Q14" i="856"/>
  <c r="P14" i="856" s="1"/>
  <c r="AC14" i="856" s="1"/>
  <c r="O14" i="856"/>
  <c r="M14" i="856"/>
  <c r="AF13" i="856"/>
  <c r="AB13" i="856"/>
  <c r="Q13" i="856"/>
  <c r="M13" i="856"/>
  <c r="O13" i="856"/>
  <c r="AF12" i="856"/>
  <c r="Q12" i="856"/>
  <c r="AB12" i="856"/>
  <c r="AF11" i="856"/>
  <c r="AB11" i="856"/>
  <c r="Q11" i="856"/>
  <c r="P11" i="856"/>
  <c r="AC11" i="856" s="1"/>
  <c r="AD11" i="856" s="1"/>
  <c r="O11" i="856"/>
  <c r="M11" i="856"/>
  <c r="K11" i="856"/>
  <c r="AF10" i="856"/>
  <c r="AB10" i="856"/>
  <c r="Q10" i="856"/>
  <c r="M10" i="856"/>
  <c r="O10" i="856"/>
  <c r="AF9" i="856"/>
  <c r="Q9" i="856"/>
  <c r="AB9" i="856"/>
  <c r="AF8" i="856"/>
  <c r="AB8" i="856"/>
  <c r="Q8" i="856"/>
  <c r="P8" i="856"/>
  <c r="AC8" i="856" s="1"/>
  <c r="AD8" i="856" s="1"/>
  <c r="O8" i="856"/>
  <c r="M8" i="856"/>
  <c r="K8" i="856"/>
  <c r="AF7" i="856"/>
  <c r="AB7" i="856"/>
  <c r="Q7" i="856"/>
  <c r="M7" i="856"/>
  <c r="O7" i="856"/>
  <c r="AF6" i="856"/>
  <c r="S21" i="856"/>
  <c r="M6" i="856"/>
  <c r="AB6" i="856"/>
  <c r="AE11" i="858" l="1"/>
  <c r="AE12" i="858"/>
  <c r="AE19" i="858"/>
  <c r="AE13" i="858"/>
  <c r="AE6" i="858"/>
  <c r="AE15" i="858"/>
  <c r="AE7" i="858"/>
  <c r="AE16" i="858"/>
  <c r="AE14" i="858"/>
  <c r="AE17" i="858"/>
  <c r="AE9" i="858"/>
  <c r="AC21" i="857"/>
  <c r="AD6" i="857"/>
  <c r="AD21" i="857" s="1"/>
  <c r="AD16" i="856"/>
  <c r="AD19" i="856"/>
  <c r="AD14" i="856"/>
  <c r="AD17" i="856"/>
  <c r="AB21" i="856"/>
  <c r="P7" i="856"/>
  <c r="AC7" i="856" s="1"/>
  <c r="AD7" i="856" s="1"/>
  <c r="O9" i="856"/>
  <c r="P10" i="856"/>
  <c r="AC10" i="856" s="1"/>
  <c r="AD10" i="856" s="1"/>
  <c r="AD21" i="856" s="1"/>
  <c r="O12" i="856"/>
  <c r="P13" i="856"/>
  <c r="AC13" i="856" s="1"/>
  <c r="AD13" i="856" s="1"/>
  <c r="P20" i="856"/>
  <c r="AC20" i="856" s="1"/>
  <c r="AD20" i="856" s="1"/>
  <c r="Q6" i="856"/>
  <c r="Q21" i="856" s="1"/>
  <c r="P9" i="856"/>
  <c r="AC9" i="856" s="1"/>
  <c r="P12" i="856"/>
  <c r="AC12" i="856" s="1"/>
  <c r="L21" i="856"/>
  <c r="O21" i="856" s="1"/>
  <c r="O6" i="856"/>
  <c r="M9" i="856"/>
  <c r="M12" i="856"/>
  <c r="L20" i="855"/>
  <c r="K20" i="855"/>
  <c r="L14" i="855"/>
  <c r="L13" i="855"/>
  <c r="L12" i="855"/>
  <c r="K12" i="855" s="1"/>
  <c r="L10" i="855"/>
  <c r="K10" i="855"/>
  <c r="L9" i="855"/>
  <c r="L7" i="855"/>
  <c r="S6" i="855"/>
  <c r="L6" i="855"/>
  <c r="K6" i="855"/>
  <c r="K19" i="855"/>
  <c r="K18" i="855"/>
  <c r="K17" i="855"/>
  <c r="K16" i="855"/>
  <c r="K14" i="855"/>
  <c r="K13" i="855"/>
  <c r="K9" i="855"/>
  <c r="K7" i="855"/>
  <c r="A75" i="855"/>
  <c r="A76" i="855" s="1"/>
  <c r="A77" i="855" s="1"/>
  <c r="A78" i="855" s="1"/>
  <c r="A79" i="855" s="1"/>
  <c r="A80" i="855" s="1"/>
  <c r="A81" i="855" s="1"/>
  <c r="A74" i="855"/>
  <c r="AF60" i="855"/>
  <c r="AF59" i="855"/>
  <c r="AF62" i="855" s="1"/>
  <c r="AA21" i="855"/>
  <c r="Z21" i="855"/>
  <c r="Y21" i="855"/>
  <c r="X21" i="855"/>
  <c r="W21" i="855"/>
  <c r="V21" i="855"/>
  <c r="U21" i="855"/>
  <c r="T21" i="855"/>
  <c r="S21" i="855"/>
  <c r="R21" i="855"/>
  <c r="N21" i="855"/>
  <c r="J21" i="855"/>
  <c r="I21" i="855"/>
  <c r="AF20" i="855"/>
  <c r="AB20" i="855"/>
  <c r="Q20" i="855"/>
  <c r="P20" i="855"/>
  <c r="AC20" i="855" s="1"/>
  <c r="O20" i="855"/>
  <c r="M20" i="855"/>
  <c r="AF19" i="855"/>
  <c r="AB19" i="855"/>
  <c r="Q19" i="855"/>
  <c r="P19" i="855"/>
  <c r="AC19" i="855" s="1"/>
  <c r="AD19" i="855" s="1"/>
  <c r="O19" i="855"/>
  <c r="M19" i="855"/>
  <c r="AF18" i="855"/>
  <c r="Q18" i="855"/>
  <c r="O18" i="855"/>
  <c r="AF17" i="855"/>
  <c r="AB17" i="855"/>
  <c r="Q17" i="855"/>
  <c r="P17" i="855"/>
  <c r="AC17" i="855" s="1"/>
  <c r="O17" i="855"/>
  <c r="M17" i="855"/>
  <c r="AF16" i="855"/>
  <c r="AB16" i="855"/>
  <c r="Q16" i="855"/>
  <c r="P16" i="855"/>
  <c r="AC16" i="855" s="1"/>
  <c r="AD16" i="855" s="1"/>
  <c r="O16" i="855"/>
  <c r="M16" i="855"/>
  <c r="AF15" i="855"/>
  <c r="AC15" i="855"/>
  <c r="AD15" i="855" s="1"/>
  <c r="AB15" i="855"/>
  <c r="Q15" i="855"/>
  <c r="P15" i="855"/>
  <c r="O15" i="855"/>
  <c r="M15" i="855"/>
  <c r="K15" i="855"/>
  <c r="AF14" i="855"/>
  <c r="Q14" i="855"/>
  <c r="P14" i="855" s="1"/>
  <c r="AC14" i="855" s="1"/>
  <c r="O14" i="855"/>
  <c r="AF13" i="855"/>
  <c r="AB13" i="855"/>
  <c r="Q13" i="855"/>
  <c r="P13" i="855"/>
  <c r="AC13" i="855" s="1"/>
  <c r="O13" i="855"/>
  <c r="M13" i="855"/>
  <c r="AF12" i="855"/>
  <c r="Q12" i="855"/>
  <c r="AB12" i="855"/>
  <c r="AF11" i="855"/>
  <c r="AB11" i="855"/>
  <c r="Q11" i="855"/>
  <c r="P11" i="855"/>
  <c r="AC11" i="855" s="1"/>
  <c r="O11" i="855"/>
  <c r="M11" i="855"/>
  <c r="K11" i="855"/>
  <c r="AF10" i="855"/>
  <c r="AB10" i="855"/>
  <c r="Q10" i="855"/>
  <c r="P10" i="855" s="1"/>
  <c r="AC10" i="855" s="1"/>
  <c r="O10" i="855"/>
  <c r="M10" i="855"/>
  <c r="AF9" i="855"/>
  <c r="AB9" i="855"/>
  <c r="Q9" i="855"/>
  <c r="P9" i="855"/>
  <c r="AC9" i="855" s="1"/>
  <c r="M9" i="855"/>
  <c r="O9" i="855"/>
  <c r="AF8" i="855"/>
  <c r="AB8" i="855"/>
  <c r="Q8" i="855"/>
  <c r="P8" i="855"/>
  <c r="AC8" i="855" s="1"/>
  <c r="AD8" i="855" s="1"/>
  <c r="O8" i="855"/>
  <c r="M8" i="855"/>
  <c r="K8" i="855"/>
  <c r="AF7" i="855"/>
  <c r="Q7" i="855"/>
  <c r="AB7" i="855"/>
  <c r="AF6" i="855"/>
  <c r="AB6" i="855"/>
  <c r="Q6" i="855"/>
  <c r="M6" i="855"/>
  <c r="L21" i="855"/>
  <c r="O21" i="855" s="1"/>
  <c r="AE18" i="857" l="1"/>
  <c r="AE16" i="857"/>
  <c r="AE13" i="857"/>
  <c r="AE10" i="857"/>
  <c r="AE9" i="857"/>
  <c r="AE6" i="857"/>
  <c r="AE19" i="857"/>
  <c r="AE14" i="857"/>
  <c r="AE7" i="857"/>
  <c r="AE20" i="857"/>
  <c r="AE17" i="857"/>
  <c r="AE11" i="857"/>
  <c r="AE15" i="857"/>
  <c r="AE12" i="857"/>
  <c r="AE8" i="857"/>
  <c r="AD12" i="856"/>
  <c r="M21" i="856"/>
  <c r="AD9" i="856"/>
  <c r="P6" i="856"/>
  <c r="K21" i="856"/>
  <c r="AD20" i="855"/>
  <c r="Q21" i="855"/>
  <c r="P6" i="855"/>
  <c r="AD17" i="855"/>
  <c r="AD11" i="855"/>
  <c r="AD10" i="855"/>
  <c r="AD13" i="855"/>
  <c r="AD9" i="855"/>
  <c r="O7" i="855"/>
  <c r="O12" i="855"/>
  <c r="O6" i="855"/>
  <c r="AC6" i="855"/>
  <c r="K21" i="855"/>
  <c r="P7" i="855"/>
  <c r="AC7" i="855" s="1"/>
  <c r="P12" i="855"/>
  <c r="AC12" i="855" s="1"/>
  <c r="M14" i="855"/>
  <c r="AB14" i="855"/>
  <c r="AD14" i="855" s="1"/>
  <c r="P18" i="855"/>
  <c r="AC18" i="855" s="1"/>
  <c r="M7" i="855"/>
  <c r="M12" i="855"/>
  <c r="M18" i="855"/>
  <c r="AB18" i="855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19" i="854"/>
  <c r="L18" i="854"/>
  <c r="K18" i="854"/>
  <c r="L16" i="854"/>
  <c r="K16" i="854"/>
  <c r="L14" i="854"/>
  <c r="K14" i="854" s="1"/>
  <c r="L13" i="854"/>
  <c r="K13" i="854"/>
  <c r="L12" i="854"/>
  <c r="P12" i="854" s="1"/>
  <c r="AC12" i="854" s="1"/>
  <c r="L9" i="854"/>
  <c r="L7" i="854"/>
  <c r="L6" i="854"/>
  <c r="K6" i="854" s="1"/>
  <c r="K17" i="854"/>
  <c r="K12" i="854"/>
  <c r="K11" i="854"/>
  <c r="K10" i="854"/>
  <c r="K9" i="854"/>
  <c r="K7" i="854"/>
  <c r="A74" i="854"/>
  <c r="A75" i="854" s="1"/>
  <c r="A76" i="854" s="1"/>
  <c r="A77" i="854" s="1"/>
  <c r="A78" i="854" s="1"/>
  <c r="A79" i="854" s="1"/>
  <c r="A80" i="854" s="1"/>
  <c r="A81" i="854" s="1"/>
  <c r="AF60" i="854"/>
  <c r="AF59" i="854"/>
  <c r="AA21" i="854"/>
  <c r="Z21" i="854"/>
  <c r="Y21" i="854"/>
  <c r="X21" i="854"/>
  <c r="W21" i="854"/>
  <c r="V21" i="854"/>
  <c r="U21" i="854"/>
  <c r="T21" i="854"/>
  <c r="S21" i="854"/>
  <c r="R21" i="854"/>
  <c r="N21" i="854"/>
  <c r="J21" i="854"/>
  <c r="I21" i="854"/>
  <c r="AF20" i="854"/>
  <c r="AB20" i="854"/>
  <c r="Q20" i="854"/>
  <c r="P20" i="854"/>
  <c r="AC20" i="854" s="1"/>
  <c r="O20" i="854"/>
  <c r="M20" i="854"/>
  <c r="K20" i="854"/>
  <c r="AF19" i="854"/>
  <c r="Q19" i="854"/>
  <c r="P19" i="854" s="1"/>
  <c r="AC19" i="854" s="1"/>
  <c r="O19" i="854"/>
  <c r="AF18" i="854"/>
  <c r="Q18" i="854"/>
  <c r="P18" i="854" s="1"/>
  <c r="AC18" i="854" s="1"/>
  <c r="O18" i="854"/>
  <c r="AB18" i="854"/>
  <c r="AF17" i="854"/>
  <c r="AB17" i="854"/>
  <c r="Q17" i="854"/>
  <c r="P17" i="854"/>
  <c r="AC17" i="854" s="1"/>
  <c r="O17" i="854"/>
  <c r="M17" i="854"/>
  <c r="AF16" i="854"/>
  <c r="Q16" i="854"/>
  <c r="P16" i="854"/>
  <c r="AC16" i="854" s="1"/>
  <c r="AF15" i="854"/>
  <c r="AB15" i="854"/>
  <c r="Q15" i="854"/>
  <c r="P15" i="854"/>
  <c r="AC15" i="854" s="1"/>
  <c r="O15" i="854"/>
  <c r="M15" i="854"/>
  <c r="K15" i="854"/>
  <c r="AF14" i="854"/>
  <c r="AB14" i="854"/>
  <c r="Q14" i="854"/>
  <c r="P14" i="854" s="1"/>
  <c r="AC14" i="854" s="1"/>
  <c r="O14" i="854"/>
  <c r="M14" i="854"/>
  <c r="AF13" i="854"/>
  <c r="AB13" i="854"/>
  <c r="Q13" i="854"/>
  <c r="P13" i="854" s="1"/>
  <c r="AC13" i="854" s="1"/>
  <c r="O13" i="854"/>
  <c r="M13" i="854"/>
  <c r="AF12" i="854"/>
  <c r="Q12" i="854"/>
  <c r="AF11" i="854"/>
  <c r="Q11" i="854"/>
  <c r="P11" i="854"/>
  <c r="AC11" i="854" s="1"/>
  <c r="O11" i="854"/>
  <c r="AF10" i="854"/>
  <c r="AB10" i="854"/>
  <c r="Q10" i="854"/>
  <c r="P10" i="854"/>
  <c r="AC10" i="854" s="1"/>
  <c r="O10" i="854"/>
  <c r="M10" i="854"/>
  <c r="AF9" i="854"/>
  <c r="Q9" i="854"/>
  <c r="P9" i="854"/>
  <c r="AC9" i="854" s="1"/>
  <c r="AF8" i="854"/>
  <c r="AB8" i="854"/>
  <c r="Q8" i="854"/>
  <c r="P8" i="854"/>
  <c r="AC8" i="854" s="1"/>
  <c r="O8" i="854"/>
  <c r="M8" i="854"/>
  <c r="K8" i="854"/>
  <c r="AF7" i="854"/>
  <c r="AB7" i="854"/>
  <c r="Q7" i="854"/>
  <c r="P7" i="854" s="1"/>
  <c r="AC7" i="854" s="1"/>
  <c r="O7" i="854"/>
  <c r="M7" i="854"/>
  <c r="AF6" i="854"/>
  <c r="Q6" i="854"/>
  <c r="L21" i="854"/>
  <c r="O21" i="854" s="1"/>
  <c r="P21" i="856" l="1"/>
  <c r="AC6" i="856"/>
  <c r="AB21" i="855"/>
  <c r="M21" i="855"/>
  <c r="AD12" i="855"/>
  <c r="AD7" i="855"/>
  <c r="AD18" i="855"/>
  <c r="AC21" i="855"/>
  <c r="AD6" i="855"/>
  <c r="P21" i="855"/>
  <c r="Q21" i="854"/>
  <c r="AD10" i="854"/>
  <c r="AD14" i="854"/>
  <c r="AD17" i="854"/>
  <c r="AF62" i="854"/>
  <c r="AD13" i="854"/>
  <c r="AD8" i="854"/>
  <c r="AD15" i="854"/>
  <c r="AD20" i="854"/>
  <c r="AD7" i="854"/>
  <c r="AD18" i="854"/>
  <c r="M6" i="854"/>
  <c r="AB6" i="854"/>
  <c r="M9" i="854"/>
  <c r="AB9" i="854"/>
  <c r="M12" i="854"/>
  <c r="AB12" i="854"/>
  <c r="M16" i="854"/>
  <c r="O6" i="854"/>
  <c r="O9" i="854"/>
  <c r="M11" i="854"/>
  <c r="AB11" i="854"/>
  <c r="AD11" i="854" s="1"/>
  <c r="O12" i="854"/>
  <c r="O16" i="854"/>
  <c r="M19" i="854"/>
  <c r="AB19" i="854"/>
  <c r="AD19" i="854" s="1"/>
  <c r="AB16" i="854"/>
  <c r="P6" i="854"/>
  <c r="M18" i="854"/>
  <c r="K10" i="853"/>
  <c r="J17" i="16"/>
  <c r="J16" i="16"/>
  <c r="J15" i="16"/>
  <c r="J14" i="16"/>
  <c r="J13" i="16"/>
  <c r="J12" i="16"/>
  <c r="J11" i="16"/>
  <c r="J10" i="16"/>
  <c r="J9" i="16"/>
  <c r="J8" i="16"/>
  <c r="J6" i="16"/>
  <c r="J5" i="16"/>
  <c r="J4" i="16"/>
  <c r="J3" i="16"/>
  <c r="L20" i="853"/>
  <c r="L19" i="853"/>
  <c r="AB19" i="853" s="1"/>
  <c r="L18" i="853"/>
  <c r="K18" i="853" s="1"/>
  <c r="L17" i="853"/>
  <c r="L13" i="853"/>
  <c r="K13" i="853" s="1"/>
  <c r="AF13" i="853"/>
  <c r="AB13" i="853"/>
  <c r="Q13" i="853"/>
  <c r="P13" i="853" s="1"/>
  <c r="AC13" i="853" s="1"/>
  <c r="O13" i="853"/>
  <c r="M13" i="853"/>
  <c r="L12" i="853"/>
  <c r="K12" i="853" s="1"/>
  <c r="L11" i="853"/>
  <c r="L9" i="853"/>
  <c r="K9" i="853" s="1"/>
  <c r="L7" i="853"/>
  <c r="K7" i="853" s="1"/>
  <c r="L6" i="853"/>
  <c r="K20" i="853"/>
  <c r="K19" i="853"/>
  <c r="K17" i="853"/>
  <c r="K14" i="853"/>
  <c r="K11" i="853"/>
  <c r="K6" i="853"/>
  <c r="A76" i="853"/>
  <c r="A77" i="853" s="1"/>
  <c r="A78" i="853" s="1"/>
  <c r="A79" i="853" s="1"/>
  <c r="A80" i="853" s="1"/>
  <c r="A81" i="853" s="1"/>
  <c r="A82" i="853" s="1"/>
  <c r="A75" i="853"/>
  <c r="AF61" i="853"/>
  <c r="AF60" i="853"/>
  <c r="AF63" i="853" s="1"/>
  <c r="AA22" i="853"/>
  <c r="Z22" i="853"/>
  <c r="Y22" i="853"/>
  <c r="X22" i="853"/>
  <c r="W22" i="853"/>
  <c r="V22" i="853"/>
  <c r="U22" i="853"/>
  <c r="T22" i="853"/>
  <c r="S22" i="853"/>
  <c r="R22" i="853"/>
  <c r="N22" i="853"/>
  <c r="J22" i="853"/>
  <c r="I22" i="853"/>
  <c r="AF21" i="853"/>
  <c r="AB21" i="853"/>
  <c r="Q21" i="853"/>
  <c r="P21" i="853"/>
  <c r="AC21" i="853" s="1"/>
  <c r="AD21" i="853" s="1"/>
  <c r="O21" i="853"/>
  <c r="M21" i="853"/>
  <c r="K21" i="853"/>
  <c r="AF20" i="853"/>
  <c r="Q20" i="853"/>
  <c r="P20" i="853"/>
  <c r="AC20" i="853" s="1"/>
  <c r="O20" i="853"/>
  <c r="AB20" i="853"/>
  <c r="AF19" i="853"/>
  <c r="Q19" i="853"/>
  <c r="O19" i="853"/>
  <c r="AF18" i="853"/>
  <c r="AB18" i="853"/>
  <c r="Q18" i="853"/>
  <c r="O18" i="853"/>
  <c r="M18" i="853"/>
  <c r="AF17" i="853"/>
  <c r="Q17" i="853"/>
  <c r="P17" i="853"/>
  <c r="AC17" i="853" s="1"/>
  <c r="O17" i="853"/>
  <c r="AB17" i="853"/>
  <c r="AF16" i="853"/>
  <c r="AB16" i="853"/>
  <c r="Q16" i="853"/>
  <c r="P16" i="853"/>
  <c r="AC16" i="853" s="1"/>
  <c r="O16" i="853"/>
  <c r="M16" i="853"/>
  <c r="K16" i="853"/>
  <c r="AF15" i="853"/>
  <c r="AB15" i="853"/>
  <c r="Q15" i="853"/>
  <c r="P15" i="853"/>
  <c r="AC15" i="853" s="1"/>
  <c r="O15" i="853"/>
  <c r="M15" i="853"/>
  <c r="K15" i="853"/>
  <c r="AF14" i="853"/>
  <c r="AB14" i="853"/>
  <c r="Q14" i="853"/>
  <c r="P14" i="853"/>
  <c r="AC14" i="853" s="1"/>
  <c r="O14" i="853"/>
  <c r="M14" i="853"/>
  <c r="AF12" i="853"/>
  <c r="AB12" i="853"/>
  <c r="Q12" i="853"/>
  <c r="M12" i="853"/>
  <c r="O12" i="853"/>
  <c r="AF11" i="853"/>
  <c r="Q11" i="853"/>
  <c r="AB11" i="853"/>
  <c r="AF10" i="853"/>
  <c r="AB10" i="853"/>
  <c r="Q10" i="853"/>
  <c r="P10" i="853" s="1"/>
  <c r="AC10" i="853" s="1"/>
  <c r="O10" i="853"/>
  <c r="M10" i="853"/>
  <c r="AF9" i="853"/>
  <c r="AB9" i="853"/>
  <c r="Q9" i="853"/>
  <c r="M9" i="853"/>
  <c r="O9" i="853"/>
  <c r="AF8" i="853"/>
  <c r="AB8" i="853"/>
  <c r="Q8" i="853"/>
  <c r="P8" i="853"/>
  <c r="AC8" i="853" s="1"/>
  <c r="O8" i="853"/>
  <c r="M8" i="853"/>
  <c r="K8" i="853"/>
  <c r="AF7" i="853"/>
  <c r="AB7" i="853"/>
  <c r="Q7" i="853"/>
  <c r="P7" i="853" s="1"/>
  <c r="AC7" i="853" s="1"/>
  <c r="O7" i="853"/>
  <c r="M7" i="853"/>
  <c r="AF6" i="853"/>
  <c r="Q6" i="853"/>
  <c r="AB6" i="853"/>
  <c r="AC21" i="856" l="1"/>
  <c r="AD6" i="856"/>
  <c r="AD21" i="855"/>
  <c r="AD16" i="854"/>
  <c r="AD12" i="854"/>
  <c r="AD9" i="854"/>
  <c r="K21" i="854"/>
  <c r="AB21" i="854"/>
  <c r="P21" i="854"/>
  <c r="AC6" i="854"/>
  <c r="M21" i="854"/>
  <c r="M19" i="853"/>
  <c r="P18" i="853"/>
  <c r="AC18" i="853" s="1"/>
  <c r="P19" i="853"/>
  <c r="AC19" i="853" s="1"/>
  <c r="AD19" i="853" s="1"/>
  <c r="AD13" i="853"/>
  <c r="AD14" i="853"/>
  <c r="Q22" i="853"/>
  <c r="AD16" i="853"/>
  <c r="AD15" i="853"/>
  <c r="AB22" i="853"/>
  <c r="AD7" i="853"/>
  <c r="AD8" i="853"/>
  <c r="AD10" i="853"/>
  <c r="J7" i="16" s="1"/>
  <c r="AD17" i="853"/>
  <c r="AD18" i="853"/>
  <c r="AD20" i="853"/>
  <c r="O6" i="853"/>
  <c r="P9" i="853"/>
  <c r="AC9" i="853" s="1"/>
  <c r="AD9" i="853" s="1"/>
  <c r="O11" i="853"/>
  <c r="P12" i="853"/>
  <c r="AC12" i="853" s="1"/>
  <c r="AD12" i="853" s="1"/>
  <c r="M17" i="853"/>
  <c r="M20" i="853"/>
  <c r="K22" i="853"/>
  <c r="P6" i="853"/>
  <c r="P11" i="853"/>
  <c r="AC11" i="853" s="1"/>
  <c r="L22" i="853"/>
  <c r="O22" i="853" s="1"/>
  <c r="M6" i="853"/>
  <c r="M11" i="853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0" i="852"/>
  <c r="L19" i="852"/>
  <c r="L17" i="852"/>
  <c r="K17" i="852"/>
  <c r="L14" i="852"/>
  <c r="L13" i="852"/>
  <c r="L12" i="852"/>
  <c r="L10" i="852"/>
  <c r="K10" i="852" s="1"/>
  <c r="L8" i="852"/>
  <c r="K8" i="852" s="1"/>
  <c r="AF8" i="852"/>
  <c r="AB8" i="852"/>
  <c r="Q8" i="852"/>
  <c r="P8" i="852" s="1"/>
  <c r="AC8" i="852" s="1"/>
  <c r="M8" i="852"/>
  <c r="O8" i="852"/>
  <c r="L7" i="852"/>
  <c r="L6" i="852"/>
  <c r="K6" i="852" s="1"/>
  <c r="K20" i="852"/>
  <c r="K19" i="852"/>
  <c r="K16" i="852"/>
  <c r="K14" i="852"/>
  <c r="K13" i="852"/>
  <c r="K12" i="852"/>
  <c r="K7" i="852"/>
  <c r="A75" i="852"/>
  <c r="A76" i="852" s="1"/>
  <c r="A77" i="852" s="1"/>
  <c r="A78" i="852" s="1"/>
  <c r="A79" i="852" s="1"/>
  <c r="A80" i="852" s="1"/>
  <c r="A81" i="852" s="1"/>
  <c r="A82" i="852" s="1"/>
  <c r="AF61" i="852"/>
  <c r="AF63" i="852" s="1"/>
  <c r="AF60" i="852"/>
  <c r="AA22" i="852"/>
  <c r="Z22" i="852"/>
  <c r="Y22" i="852"/>
  <c r="X22" i="852"/>
  <c r="W22" i="852"/>
  <c r="V22" i="852"/>
  <c r="U22" i="852"/>
  <c r="T22" i="852"/>
  <c r="S22" i="852"/>
  <c r="R22" i="852"/>
  <c r="N22" i="852"/>
  <c r="J22" i="852"/>
  <c r="I22" i="852"/>
  <c r="AF21" i="852"/>
  <c r="AB21" i="852"/>
  <c r="Q21" i="852"/>
  <c r="P21" i="852"/>
  <c r="AC21" i="852" s="1"/>
  <c r="O21" i="852"/>
  <c r="M21" i="852"/>
  <c r="K21" i="852"/>
  <c r="AF20" i="852"/>
  <c r="AB20" i="852"/>
  <c r="Q20" i="852"/>
  <c r="P20" i="852" s="1"/>
  <c r="AC20" i="852" s="1"/>
  <c r="O20" i="852"/>
  <c r="M20" i="852"/>
  <c r="AF19" i="852"/>
  <c r="AB19" i="852"/>
  <c r="Q19" i="852"/>
  <c r="P19" i="852" s="1"/>
  <c r="AC19" i="852" s="1"/>
  <c r="O19" i="852"/>
  <c r="M19" i="852"/>
  <c r="AF18" i="852"/>
  <c r="AC18" i="852"/>
  <c r="AB18" i="852"/>
  <c r="Q18" i="852"/>
  <c r="P18" i="852"/>
  <c r="O18" i="852"/>
  <c r="M18" i="852"/>
  <c r="K18" i="852"/>
  <c r="AF17" i="852"/>
  <c r="Q17" i="852"/>
  <c r="P17" i="852" s="1"/>
  <c r="AC17" i="852" s="1"/>
  <c r="O17" i="852"/>
  <c r="AF16" i="852"/>
  <c r="AB16" i="852"/>
  <c r="Q16" i="852"/>
  <c r="P16" i="852"/>
  <c r="AC16" i="852" s="1"/>
  <c r="O16" i="852"/>
  <c r="M16" i="852"/>
  <c r="AF15" i="852"/>
  <c r="AB15" i="852"/>
  <c r="Q15" i="852"/>
  <c r="P15" i="852"/>
  <c r="AC15" i="852" s="1"/>
  <c r="O15" i="852"/>
  <c r="M15" i="852"/>
  <c r="K15" i="852"/>
  <c r="AF14" i="852"/>
  <c r="Q14" i="852"/>
  <c r="P14" i="852" s="1"/>
  <c r="AC14" i="852" s="1"/>
  <c r="O14" i="852"/>
  <c r="AF13" i="852"/>
  <c r="AB13" i="852"/>
  <c r="Q13" i="852"/>
  <c r="P13" i="852"/>
  <c r="AC13" i="852" s="1"/>
  <c r="O13" i="852"/>
  <c r="M13" i="852"/>
  <c r="AF12" i="852"/>
  <c r="AB12" i="852"/>
  <c r="Q12" i="852"/>
  <c r="P12" i="852" s="1"/>
  <c r="AC12" i="852" s="1"/>
  <c r="O12" i="852"/>
  <c r="M12" i="852"/>
  <c r="AF11" i="852"/>
  <c r="AB11" i="852"/>
  <c r="Q11" i="852"/>
  <c r="P11" i="852"/>
  <c r="AC11" i="852" s="1"/>
  <c r="O11" i="852"/>
  <c r="M11" i="852"/>
  <c r="K11" i="852"/>
  <c r="AF10" i="852"/>
  <c r="Q10" i="852"/>
  <c r="P10" i="852"/>
  <c r="AC10" i="852" s="1"/>
  <c r="AF9" i="852"/>
  <c r="AB9" i="852"/>
  <c r="Q9" i="852"/>
  <c r="P9" i="852"/>
  <c r="AC9" i="852" s="1"/>
  <c r="O9" i="852"/>
  <c r="M9" i="852"/>
  <c r="K9" i="852"/>
  <c r="AF7" i="852"/>
  <c r="AB7" i="852"/>
  <c r="Q7" i="852"/>
  <c r="P7" i="852" s="1"/>
  <c r="AC7" i="852" s="1"/>
  <c r="O7" i="852"/>
  <c r="M7" i="852"/>
  <c r="AF6" i="852"/>
  <c r="Q6" i="852"/>
  <c r="L22" i="852"/>
  <c r="O22" i="852" s="1"/>
  <c r="AE11" i="856" l="1"/>
  <c r="AE8" i="856"/>
  <c r="AE19" i="856"/>
  <c r="AE20" i="856"/>
  <c r="AE13" i="856"/>
  <c r="AE10" i="856"/>
  <c r="AE7" i="856"/>
  <c r="AE15" i="856"/>
  <c r="AE12" i="856"/>
  <c r="AE6" i="856"/>
  <c r="AE18" i="856"/>
  <c r="AE16" i="856"/>
  <c r="AE14" i="856"/>
  <c r="AE17" i="856"/>
  <c r="AE9" i="856"/>
  <c r="AE19" i="855"/>
  <c r="AE17" i="855"/>
  <c r="AE11" i="855"/>
  <c r="AE9" i="855"/>
  <c r="AE6" i="855"/>
  <c r="AE12" i="855"/>
  <c r="AE20" i="855"/>
  <c r="AE18" i="855"/>
  <c r="AE15" i="855"/>
  <c r="AE7" i="855"/>
  <c r="AE16" i="855"/>
  <c r="AE13" i="855"/>
  <c r="AE10" i="855"/>
  <c r="AE14" i="855"/>
  <c r="AE8" i="855"/>
  <c r="AC21" i="854"/>
  <c r="AD6" i="854"/>
  <c r="AD21" i="854" s="1"/>
  <c r="AD11" i="853"/>
  <c r="M22" i="853"/>
  <c r="P22" i="853"/>
  <c r="AC6" i="853"/>
  <c r="AD11" i="852"/>
  <c r="Q22" i="852"/>
  <c r="AD8" i="852"/>
  <c r="P6" i="852"/>
  <c r="AC6" i="852" s="1"/>
  <c r="AD20" i="852"/>
  <c r="AD21" i="852"/>
  <c r="AD19" i="852"/>
  <c r="AD16" i="852"/>
  <c r="AD18" i="852"/>
  <c r="AD13" i="852"/>
  <c r="AD9" i="852"/>
  <c r="AD12" i="852"/>
  <c r="AD7" i="852"/>
  <c r="AD15" i="852"/>
  <c r="P22" i="852"/>
  <c r="M6" i="852"/>
  <c r="AB6" i="852"/>
  <c r="O10" i="852"/>
  <c r="M14" i="852"/>
  <c r="AB14" i="852"/>
  <c r="AD14" i="852" s="1"/>
  <c r="M17" i="852"/>
  <c r="AB17" i="852"/>
  <c r="AD17" i="852" s="1"/>
  <c r="M10" i="852"/>
  <c r="AB10" i="852"/>
  <c r="O6" i="852"/>
  <c r="K22" i="852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K20" i="851"/>
  <c r="L19" i="851"/>
  <c r="K19" i="851" s="1"/>
  <c r="L17" i="851"/>
  <c r="AB17" i="851" s="1"/>
  <c r="L16" i="851"/>
  <c r="K16" i="851" s="1"/>
  <c r="L14" i="851"/>
  <c r="O14" i="851" s="1"/>
  <c r="L13" i="851"/>
  <c r="L12" i="851"/>
  <c r="K12" i="851"/>
  <c r="AF12" i="851"/>
  <c r="AB12" i="851"/>
  <c r="Q12" i="851"/>
  <c r="P12" i="851" s="1"/>
  <c r="AC12" i="851" s="1"/>
  <c r="O12" i="851"/>
  <c r="M12" i="851"/>
  <c r="L9" i="851"/>
  <c r="K9" i="851" s="1"/>
  <c r="K7" i="851"/>
  <c r="L6" i="851"/>
  <c r="K6" i="851" s="1"/>
  <c r="K15" i="851"/>
  <c r="K13" i="851"/>
  <c r="K11" i="851"/>
  <c r="K10" i="851"/>
  <c r="A75" i="851"/>
  <c r="A76" i="851" s="1"/>
  <c r="A77" i="851" s="1"/>
  <c r="A78" i="851" s="1"/>
  <c r="A79" i="851" s="1"/>
  <c r="A80" i="851" s="1"/>
  <c r="A81" i="851" s="1"/>
  <c r="A82" i="851" s="1"/>
  <c r="AF61" i="851"/>
  <c r="AF63" i="851" s="1"/>
  <c r="AF60" i="851"/>
  <c r="AA22" i="851"/>
  <c r="Z22" i="851"/>
  <c r="Y22" i="851"/>
  <c r="X22" i="851"/>
  <c r="W22" i="851"/>
  <c r="V22" i="851"/>
  <c r="U22" i="851"/>
  <c r="T22" i="851"/>
  <c r="S22" i="851"/>
  <c r="R22" i="851"/>
  <c r="N22" i="851"/>
  <c r="J22" i="851"/>
  <c r="I22" i="851"/>
  <c r="AF21" i="851"/>
  <c r="AB21" i="851"/>
  <c r="Q21" i="851"/>
  <c r="P21" i="851"/>
  <c r="AC21" i="851" s="1"/>
  <c r="AD21" i="851" s="1"/>
  <c r="O21" i="851"/>
  <c r="M21" i="851"/>
  <c r="K21" i="851"/>
  <c r="AF20" i="851"/>
  <c r="AB20" i="851"/>
  <c r="Q20" i="851"/>
  <c r="P20" i="851"/>
  <c r="AC20" i="851" s="1"/>
  <c r="O20" i="851"/>
  <c r="M20" i="851"/>
  <c r="AF19" i="851"/>
  <c r="AB19" i="851"/>
  <c r="Q19" i="851"/>
  <c r="M19" i="851"/>
  <c r="AF18" i="851"/>
  <c r="AB18" i="851"/>
  <c r="Q18" i="851"/>
  <c r="P18" i="851"/>
  <c r="AC18" i="851" s="1"/>
  <c r="O18" i="851"/>
  <c r="M18" i="851"/>
  <c r="K18" i="851"/>
  <c r="AF17" i="851"/>
  <c r="Q17" i="851"/>
  <c r="AF16" i="851"/>
  <c r="Q16" i="851"/>
  <c r="P16" i="851"/>
  <c r="AC16" i="851" s="1"/>
  <c r="AF15" i="851"/>
  <c r="Q15" i="851"/>
  <c r="P15" i="851"/>
  <c r="AC15" i="851" s="1"/>
  <c r="O15" i="851"/>
  <c r="AF14" i="851"/>
  <c r="Q14" i="851"/>
  <c r="AF13" i="851"/>
  <c r="AB13" i="851"/>
  <c r="Q13" i="851"/>
  <c r="P13" i="851" s="1"/>
  <c r="AC13" i="851" s="1"/>
  <c r="O13" i="851"/>
  <c r="M13" i="851"/>
  <c r="AF11" i="851"/>
  <c r="Q11" i="851"/>
  <c r="P11" i="851" s="1"/>
  <c r="AC11" i="851" s="1"/>
  <c r="AF10" i="851"/>
  <c r="Q10" i="851"/>
  <c r="P10" i="851"/>
  <c r="AC10" i="851" s="1"/>
  <c r="AF9" i="851"/>
  <c r="Q9" i="851"/>
  <c r="P9" i="851" s="1"/>
  <c r="AC9" i="851" s="1"/>
  <c r="O9" i="851"/>
  <c r="AB9" i="851"/>
  <c r="AF8" i="851"/>
  <c r="AB8" i="851"/>
  <c r="Q8" i="851"/>
  <c r="P8" i="851"/>
  <c r="AC8" i="851" s="1"/>
  <c r="O8" i="851"/>
  <c r="M8" i="851"/>
  <c r="K8" i="851"/>
  <c r="AF7" i="851"/>
  <c r="AB7" i="851"/>
  <c r="Q7" i="851"/>
  <c r="P7" i="851" s="1"/>
  <c r="AC7" i="851" s="1"/>
  <c r="O7" i="851"/>
  <c r="M7" i="851"/>
  <c r="AF6" i="851"/>
  <c r="Q6" i="851"/>
  <c r="O6" i="851"/>
  <c r="AE16" i="854" l="1"/>
  <c r="AE12" i="854"/>
  <c r="AE20" i="854"/>
  <c r="AE17" i="854"/>
  <c r="AE14" i="854"/>
  <c r="AE7" i="854"/>
  <c r="AE19" i="854"/>
  <c r="AE18" i="854"/>
  <c r="AE10" i="854"/>
  <c r="AE15" i="854"/>
  <c r="AE13" i="854"/>
  <c r="AE11" i="854"/>
  <c r="AE8" i="854"/>
  <c r="AE9" i="854"/>
  <c r="AE6" i="854"/>
  <c r="AC22" i="853"/>
  <c r="AD6" i="853"/>
  <c r="AD22" i="853" s="1"/>
  <c r="AD10" i="852"/>
  <c r="M22" i="852"/>
  <c r="AC22" i="852"/>
  <c r="AD6" i="852"/>
  <c r="AD22" i="852" s="1"/>
  <c r="AE8" i="852" s="1"/>
  <c r="AB22" i="852"/>
  <c r="AD12" i="851"/>
  <c r="O19" i="851"/>
  <c r="P19" i="851"/>
  <c r="AC19" i="851" s="1"/>
  <c r="AD19" i="851" s="1"/>
  <c r="O17" i="851"/>
  <c r="P17" i="851"/>
  <c r="AC17" i="851" s="1"/>
  <c r="K17" i="851"/>
  <c r="M17" i="851"/>
  <c r="K14" i="851"/>
  <c r="K22" i="851" s="1"/>
  <c r="L22" i="851"/>
  <c r="O22" i="851" s="1"/>
  <c r="AB14" i="851"/>
  <c r="P14" i="851"/>
  <c r="AC14" i="851" s="1"/>
  <c r="AD14" i="851" s="1"/>
  <c r="AD8" i="851"/>
  <c r="AD20" i="851"/>
  <c r="Q22" i="851"/>
  <c r="AB6" i="851"/>
  <c r="P6" i="851"/>
  <c r="AC6" i="851" s="1"/>
  <c r="M6" i="851"/>
  <c r="AD18" i="851"/>
  <c r="AD7" i="851"/>
  <c r="AD13" i="851"/>
  <c r="AD9" i="851"/>
  <c r="M11" i="851"/>
  <c r="AB11" i="851"/>
  <c r="M16" i="851"/>
  <c r="AB16" i="851"/>
  <c r="M10" i="851"/>
  <c r="AB10" i="851"/>
  <c r="O11" i="851"/>
  <c r="M15" i="851"/>
  <c r="AB15" i="851"/>
  <c r="AD15" i="851" s="1"/>
  <c r="O16" i="851"/>
  <c r="M9" i="851"/>
  <c r="O10" i="851"/>
  <c r="M14" i="851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16" i="850"/>
  <c r="L15" i="850"/>
  <c r="K15" i="850" s="1"/>
  <c r="L14" i="850"/>
  <c r="K14" i="850"/>
  <c r="L13" i="850"/>
  <c r="K13" i="850" s="1"/>
  <c r="L12" i="850"/>
  <c r="K12" i="850" s="1"/>
  <c r="L11" i="850"/>
  <c r="L10" i="850"/>
  <c r="K10" i="850"/>
  <c r="L9" i="850"/>
  <c r="L6" i="850"/>
  <c r="K18" i="850"/>
  <c r="K17" i="850"/>
  <c r="K16" i="850"/>
  <c r="K11" i="850"/>
  <c r="K9" i="850"/>
  <c r="K6" i="850"/>
  <c r="A74" i="850"/>
  <c r="A75" i="850" s="1"/>
  <c r="A76" i="850" s="1"/>
  <c r="A77" i="850" s="1"/>
  <c r="A78" i="850" s="1"/>
  <c r="A79" i="850" s="1"/>
  <c r="A80" i="850" s="1"/>
  <c r="A81" i="850" s="1"/>
  <c r="AF60" i="850"/>
  <c r="AF59" i="850"/>
  <c r="AA21" i="850"/>
  <c r="Z21" i="850"/>
  <c r="Y21" i="850"/>
  <c r="X21" i="850"/>
  <c r="W21" i="850"/>
  <c r="V21" i="850"/>
  <c r="U21" i="850"/>
  <c r="T21" i="850"/>
  <c r="S21" i="850"/>
  <c r="R21" i="850"/>
  <c r="N21" i="850"/>
  <c r="J21" i="850"/>
  <c r="I21" i="850"/>
  <c r="AF20" i="850"/>
  <c r="AB20" i="850"/>
  <c r="Q20" i="850"/>
  <c r="P20" i="850"/>
  <c r="AC20" i="850" s="1"/>
  <c r="O20" i="850"/>
  <c r="M20" i="850"/>
  <c r="K20" i="850"/>
  <c r="AF19" i="850"/>
  <c r="AB19" i="850"/>
  <c r="Q19" i="850"/>
  <c r="P19" i="850"/>
  <c r="AC19" i="850" s="1"/>
  <c r="O19" i="850"/>
  <c r="M19" i="850"/>
  <c r="K19" i="850"/>
  <c r="AF18" i="850"/>
  <c r="AB18" i="850"/>
  <c r="Q18" i="850"/>
  <c r="P18" i="850"/>
  <c r="AC18" i="850" s="1"/>
  <c r="O18" i="850"/>
  <c r="M18" i="850"/>
  <c r="AF17" i="850"/>
  <c r="AB17" i="850"/>
  <c r="Q17" i="850"/>
  <c r="P17" i="850" s="1"/>
  <c r="AC17" i="850" s="1"/>
  <c r="O17" i="850"/>
  <c r="M17" i="850"/>
  <c r="AF16" i="850"/>
  <c r="Q16" i="850"/>
  <c r="O16" i="850"/>
  <c r="P16" i="850"/>
  <c r="AC16" i="850" s="1"/>
  <c r="AF15" i="850"/>
  <c r="AB15" i="850"/>
  <c r="Q15" i="850"/>
  <c r="P15" i="850"/>
  <c r="AC15" i="850" s="1"/>
  <c r="O15" i="850"/>
  <c r="M15" i="850"/>
  <c r="AF14" i="850"/>
  <c r="AB14" i="850"/>
  <c r="Q14" i="850"/>
  <c r="P14" i="850" s="1"/>
  <c r="AC14" i="850" s="1"/>
  <c r="O14" i="850"/>
  <c r="M14" i="850"/>
  <c r="AF13" i="850"/>
  <c r="Q13" i="850"/>
  <c r="P13" i="850"/>
  <c r="AC13" i="850" s="1"/>
  <c r="AF12" i="850"/>
  <c r="AB12" i="850"/>
  <c r="Q12" i="850"/>
  <c r="P12" i="850" s="1"/>
  <c r="AC12" i="850" s="1"/>
  <c r="M12" i="850"/>
  <c r="O12" i="850"/>
  <c r="AF11" i="850"/>
  <c r="Q11" i="850"/>
  <c r="O11" i="850"/>
  <c r="AB11" i="850"/>
  <c r="AF10" i="850"/>
  <c r="AB10" i="850"/>
  <c r="Q10" i="850"/>
  <c r="P10" i="850" s="1"/>
  <c r="AC10" i="850" s="1"/>
  <c r="O10" i="850"/>
  <c r="M10" i="850"/>
  <c r="AF9" i="850"/>
  <c r="AB9" i="850"/>
  <c r="Q9" i="850"/>
  <c r="P9" i="850" s="1"/>
  <c r="AC9" i="850" s="1"/>
  <c r="M9" i="850"/>
  <c r="O9" i="850"/>
  <c r="AF8" i="850"/>
  <c r="AB8" i="850"/>
  <c r="Q8" i="850"/>
  <c r="P8" i="850"/>
  <c r="AC8" i="850" s="1"/>
  <c r="O8" i="850"/>
  <c r="M8" i="850"/>
  <c r="K8" i="850"/>
  <c r="AF7" i="850"/>
  <c r="AB7" i="850"/>
  <c r="Q7" i="850"/>
  <c r="P7" i="850"/>
  <c r="AC7" i="850" s="1"/>
  <c r="O7" i="850"/>
  <c r="M7" i="850"/>
  <c r="K7" i="850"/>
  <c r="AF6" i="850"/>
  <c r="Q6" i="850"/>
  <c r="O6" i="850"/>
  <c r="AB6" i="850"/>
  <c r="L21" i="850"/>
  <c r="O21" i="850" s="1"/>
  <c r="AE13" i="853" l="1"/>
  <c r="J18" i="16"/>
  <c r="AE20" i="853"/>
  <c r="AE17" i="853"/>
  <c r="AE10" i="853"/>
  <c r="AE15" i="853"/>
  <c r="AE11" i="853"/>
  <c r="AE21" i="853"/>
  <c r="AE18" i="853"/>
  <c r="AE12" i="853"/>
  <c r="AE9" i="853"/>
  <c r="AE19" i="853"/>
  <c r="AE16" i="853"/>
  <c r="AE14" i="853"/>
  <c r="AE7" i="853"/>
  <c r="AE8" i="853"/>
  <c r="AE6" i="853"/>
  <c r="AE18" i="852"/>
  <c r="AE15" i="852"/>
  <c r="AE12" i="852"/>
  <c r="AE7" i="852"/>
  <c r="AE14" i="852"/>
  <c r="AE9" i="852"/>
  <c r="AE6" i="852"/>
  <c r="AE20" i="852"/>
  <c r="AE10" i="852"/>
  <c r="AE21" i="852"/>
  <c r="AE19" i="852"/>
  <c r="AE16" i="852"/>
  <c r="AE13" i="852"/>
  <c r="AE11" i="852"/>
  <c r="AE17" i="852"/>
  <c r="AD17" i="851"/>
  <c r="P22" i="851"/>
  <c r="AD16" i="851"/>
  <c r="AD11" i="851"/>
  <c r="AD10" i="851"/>
  <c r="M22" i="851"/>
  <c r="AB22" i="851"/>
  <c r="AC22" i="851"/>
  <c r="AD6" i="851"/>
  <c r="AD15" i="850"/>
  <c r="Q21" i="850"/>
  <c r="AF62" i="850"/>
  <c r="AD14" i="850"/>
  <c r="AD20" i="850"/>
  <c r="AD10" i="850"/>
  <c r="AD12" i="850"/>
  <c r="AD18" i="850"/>
  <c r="AD7" i="850"/>
  <c r="AD8" i="850"/>
  <c r="AD17" i="850"/>
  <c r="AD19" i="850"/>
  <c r="AD9" i="850"/>
  <c r="K21" i="850"/>
  <c r="P6" i="850"/>
  <c r="AC6" i="850" s="1"/>
  <c r="AD6" i="850" s="1"/>
  <c r="P11" i="850"/>
  <c r="AC11" i="850" s="1"/>
  <c r="AD11" i="850" s="1"/>
  <c r="M13" i="850"/>
  <c r="AB13" i="850"/>
  <c r="M16" i="850"/>
  <c r="AB16" i="850"/>
  <c r="AD16" i="850" s="1"/>
  <c r="O13" i="850"/>
  <c r="M6" i="850"/>
  <c r="M11" i="850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19" i="849"/>
  <c r="L17" i="849"/>
  <c r="P17" i="849" s="1"/>
  <c r="AC17" i="849" s="1"/>
  <c r="L16" i="849"/>
  <c r="K16" i="849" s="1"/>
  <c r="L14" i="849"/>
  <c r="K14" i="849" s="1"/>
  <c r="L13" i="849"/>
  <c r="K13" i="849" s="1"/>
  <c r="L12" i="849"/>
  <c r="K12" i="849" s="1"/>
  <c r="L10" i="849"/>
  <c r="K10" i="849" s="1"/>
  <c r="L7" i="849"/>
  <c r="K7" i="849" s="1"/>
  <c r="AF7" i="849"/>
  <c r="Q7" i="849"/>
  <c r="L6" i="849"/>
  <c r="K6" i="849" s="1"/>
  <c r="K19" i="849"/>
  <c r="K18" i="849"/>
  <c r="K15" i="849"/>
  <c r="K11" i="849"/>
  <c r="K8" i="849"/>
  <c r="A75" i="849"/>
  <c r="A76" i="849" s="1"/>
  <c r="A77" i="849" s="1"/>
  <c r="A78" i="849" s="1"/>
  <c r="A79" i="849" s="1"/>
  <c r="A80" i="849" s="1"/>
  <c r="A81" i="849" s="1"/>
  <c r="A82" i="849" s="1"/>
  <c r="AF61" i="849"/>
  <c r="AF60" i="849"/>
  <c r="AA22" i="849"/>
  <c r="Z22" i="849"/>
  <c r="Y22" i="849"/>
  <c r="X22" i="849"/>
  <c r="W22" i="849"/>
  <c r="V22" i="849"/>
  <c r="U22" i="849"/>
  <c r="T22" i="849"/>
  <c r="S22" i="849"/>
  <c r="R22" i="849"/>
  <c r="N22" i="849"/>
  <c r="J22" i="849"/>
  <c r="I22" i="849"/>
  <c r="AF21" i="849"/>
  <c r="AB21" i="849"/>
  <c r="Q21" i="849"/>
  <c r="P21" i="849"/>
  <c r="AC21" i="849" s="1"/>
  <c r="O21" i="849"/>
  <c r="M21" i="849"/>
  <c r="K21" i="849"/>
  <c r="AF20" i="849"/>
  <c r="AB20" i="849"/>
  <c r="Q20" i="849"/>
  <c r="P20" i="849"/>
  <c r="AC20" i="849" s="1"/>
  <c r="AD20" i="849" s="1"/>
  <c r="O20" i="849"/>
  <c r="M20" i="849"/>
  <c r="K20" i="849"/>
  <c r="AF19" i="849"/>
  <c r="AB19" i="849"/>
  <c r="Q19" i="849"/>
  <c r="P19" i="849" s="1"/>
  <c r="AC19" i="849" s="1"/>
  <c r="O19" i="849"/>
  <c r="M19" i="849"/>
  <c r="AF18" i="849"/>
  <c r="Q18" i="849"/>
  <c r="P18" i="849" s="1"/>
  <c r="AC18" i="849" s="1"/>
  <c r="AF17" i="849"/>
  <c r="Q17" i="849"/>
  <c r="AF16" i="849"/>
  <c r="AB16" i="849"/>
  <c r="Q16" i="849"/>
  <c r="P16" i="849"/>
  <c r="AC16" i="849" s="1"/>
  <c r="AD16" i="849" s="1"/>
  <c r="O16" i="849"/>
  <c r="M16" i="849"/>
  <c r="AF15" i="849"/>
  <c r="AB15" i="849"/>
  <c r="Q15" i="849"/>
  <c r="P15" i="849"/>
  <c r="AC15" i="849" s="1"/>
  <c r="O15" i="849"/>
  <c r="M15" i="849"/>
  <c r="AF14" i="849"/>
  <c r="AB14" i="849"/>
  <c r="Q14" i="849"/>
  <c r="P14" i="849" s="1"/>
  <c r="AC14" i="849" s="1"/>
  <c r="O14" i="849"/>
  <c r="M14" i="849"/>
  <c r="AF13" i="849"/>
  <c r="Q13" i="849"/>
  <c r="O13" i="849"/>
  <c r="AB13" i="849"/>
  <c r="AF12" i="849"/>
  <c r="Q12" i="849"/>
  <c r="O12" i="849"/>
  <c r="M12" i="849"/>
  <c r="AF11" i="849"/>
  <c r="AB11" i="849"/>
  <c r="Q11" i="849"/>
  <c r="P11" i="849"/>
  <c r="AC11" i="849" s="1"/>
  <c r="O11" i="849"/>
  <c r="M11" i="849"/>
  <c r="AF10" i="849"/>
  <c r="AB10" i="849"/>
  <c r="Q10" i="849"/>
  <c r="P10" i="849" s="1"/>
  <c r="AC10" i="849" s="1"/>
  <c r="O10" i="849"/>
  <c r="M10" i="849"/>
  <c r="AF9" i="849"/>
  <c r="AB9" i="849"/>
  <c r="Q9" i="849"/>
  <c r="P9" i="849"/>
  <c r="AC9" i="849" s="1"/>
  <c r="O9" i="849"/>
  <c r="M9" i="849"/>
  <c r="K9" i="849"/>
  <c r="AF8" i="849"/>
  <c r="AB8" i="849"/>
  <c r="Q8" i="849"/>
  <c r="P8" i="849" s="1"/>
  <c r="AC8" i="849" s="1"/>
  <c r="O8" i="849"/>
  <c r="M8" i="849"/>
  <c r="AF6" i="849"/>
  <c r="Q6" i="849"/>
  <c r="AD22" i="851" l="1"/>
  <c r="M21" i="850"/>
  <c r="AB21" i="850"/>
  <c r="AD13" i="850"/>
  <c r="AC21" i="850"/>
  <c r="P21" i="850"/>
  <c r="K17" i="849"/>
  <c r="K22" i="849" s="1"/>
  <c r="O17" i="849"/>
  <c r="L22" i="849"/>
  <c r="O22" i="849" s="1"/>
  <c r="P12" i="849"/>
  <c r="AC12" i="849" s="1"/>
  <c r="AB12" i="849"/>
  <c r="P13" i="849"/>
  <c r="AC13" i="849" s="1"/>
  <c r="AD13" i="849" s="1"/>
  <c r="AB7" i="849"/>
  <c r="AD19" i="849"/>
  <c r="AF63" i="849"/>
  <c r="AD12" i="849"/>
  <c r="O7" i="849"/>
  <c r="P7" i="849"/>
  <c r="AC7" i="849" s="1"/>
  <c r="AD7" i="849" s="1"/>
  <c r="Q22" i="849"/>
  <c r="AD10" i="849"/>
  <c r="M7" i="849"/>
  <c r="P6" i="849"/>
  <c r="P22" i="849" s="1"/>
  <c r="AD15" i="849"/>
  <c r="AD9" i="849"/>
  <c r="AD14" i="849"/>
  <c r="AD8" i="849"/>
  <c r="AD11" i="849"/>
  <c r="AD21" i="849"/>
  <c r="M6" i="849"/>
  <c r="AB6" i="849"/>
  <c r="M17" i="849"/>
  <c r="AB17" i="849"/>
  <c r="AD17" i="849" s="1"/>
  <c r="O18" i="849"/>
  <c r="M18" i="849"/>
  <c r="AB18" i="849"/>
  <c r="O6" i="849"/>
  <c r="AC6" i="849"/>
  <c r="M13" i="849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848"/>
  <c r="L19" i="848"/>
  <c r="L18" i="848"/>
  <c r="AF16" i="848"/>
  <c r="AB16" i="848"/>
  <c r="Q16" i="848"/>
  <c r="P16" i="848" s="1"/>
  <c r="AC16" i="848" s="1"/>
  <c r="O16" i="848"/>
  <c r="M16" i="848"/>
  <c r="K16" i="848"/>
  <c r="K15" i="848"/>
  <c r="L13" i="848"/>
  <c r="L12" i="848"/>
  <c r="K12" i="848" s="1"/>
  <c r="L11" i="848"/>
  <c r="O11" i="848" s="1"/>
  <c r="AF11" i="848"/>
  <c r="AB11" i="848"/>
  <c r="Q11" i="848"/>
  <c r="P11" i="848" s="1"/>
  <c r="AC11" i="848" s="1"/>
  <c r="M11" i="848"/>
  <c r="K11" i="848"/>
  <c r="K10" i="848"/>
  <c r="K7" i="848"/>
  <c r="L6" i="848"/>
  <c r="K6" i="848" s="1"/>
  <c r="K21" i="848"/>
  <c r="K20" i="848"/>
  <c r="K19" i="848"/>
  <c r="K18" i="848"/>
  <c r="K14" i="848"/>
  <c r="K13" i="848"/>
  <c r="AE16" i="851" l="1"/>
  <c r="AE12" i="851"/>
  <c r="AE10" i="851"/>
  <c r="AE14" i="851"/>
  <c r="AE13" i="851"/>
  <c r="AE7" i="851"/>
  <c r="AE9" i="851"/>
  <c r="AE21" i="851"/>
  <c r="AE15" i="851"/>
  <c r="AE20" i="851"/>
  <c r="AE17" i="851"/>
  <c r="AE11" i="851"/>
  <c r="AE8" i="851"/>
  <c r="AE18" i="851"/>
  <c r="AE6" i="851"/>
  <c r="AE19" i="851"/>
  <c r="AD21" i="850"/>
  <c r="AE17" i="850" s="1"/>
  <c r="AD18" i="849"/>
  <c r="AB22" i="849"/>
  <c r="M22" i="849"/>
  <c r="AC22" i="849"/>
  <c r="AD6" i="849"/>
  <c r="AD22" i="849" s="1"/>
  <c r="AE7" i="849" s="1"/>
  <c r="AD16" i="848"/>
  <c r="AD11" i="848"/>
  <c r="AE11" i="850" l="1"/>
  <c r="AE16" i="850"/>
  <c r="AE19" i="850"/>
  <c r="AE9" i="850"/>
  <c r="AE18" i="850"/>
  <c r="AE6" i="850"/>
  <c r="AE12" i="850"/>
  <c r="AE10" i="850"/>
  <c r="AE14" i="850"/>
  <c r="AE13" i="850"/>
  <c r="AE20" i="850"/>
  <c r="AE7" i="850"/>
  <c r="AE15" i="850"/>
  <c r="AE8" i="850"/>
  <c r="AE18" i="849"/>
  <c r="AE21" i="849"/>
  <c r="AE19" i="849"/>
  <c r="AE12" i="849"/>
  <c r="AE10" i="849"/>
  <c r="AE8" i="849"/>
  <c r="AE20" i="849"/>
  <c r="AE9" i="849"/>
  <c r="AE6" i="849"/>
  <c r="AE14" i="849"/>
  <c r="AE16" i="849"/>
  <c r="AE15" i="849"/>
  <c r="AE13" i="849"/>
  <c r="AE17" i="849"/>
  <c r="AE11" i="849"/>
  <c r="A77" i="848"/>
  <c r="A78" i="848" s="1"/>
  <c r="A79" i="848" s="1"/>
  <c r="A80" i="848" s="1"/>
  <c r="A81" i="848" s="1"/>
  <c r="A82" i="848" s="1"/>
  <c r="A83" i="848" s="1"/>
  <c r="A76" i="848"/>
  <c r="AF62" i="848"/>
  <c r="AF61" i="848"/>
  <c r="AF64" i="848" s="1"/>
  <c r="AA23" i="848"/>
  <c r="Z23" i="848"/>
  <c r="Y23" i="848"/>
  <c r="X23" i="848"/>
  <c r="W23" i="848"/>
  <c r="V23" i="848"/>
  <c r="U23" i="848"/>
  <c r="T23" i="848"/>
  <c r="S23" i="848"/>
  <c r="R23" i="848"/>
  <c r="N23" i="848"/>
  <c r="J23" i="848"/>
  <c r="I23" i="848"/>
  <c r="AF22" i="848"/>
  <c r="AB22" i="848"/>
  <c r="Q22" i="848"/>
  <c r="P22" i="848"/>
  <c r="AC22" i="848" s="1"/>
  <c r="AD22" i="848" s="1"/>
  <c r="O22" i="848"/>
  <c r="M22" i="848"/>
  <c r="K22" i="848"/>
  <c r="AF21" i="848"/>
  <c r="Q21" i="848"/>
  <c r="P21" i="848"/>
  <c r="AC21" i="848" s="1"/>
  <c r="O21" i="848"/>
  <c r="AB21" i="848"/>
  <c r="AF20" i="848"/>
  <c r="AB20" i="848"/>
  <c r="Q20" i="848"/>
  <c r="P20" i="848"/>
  <c r="AC20" i="848" s="1"/>
  <c r="O20" i="848"/>
  <c r="M20" i="848"/>
  <c r="AF19" i="848"/>
  <c r="Q19" i="848"/>
  <c r="P19" i="848" s="1"/>
  <c r="AC19" i="848" s="1"/>
  <c r="AB19" i="848"/>
  <c r="AF18" i="848"/>
  <c r="Q18" i="848"/>
  <c r="P18" i="848"/>
  <c r="AC18" i="848" s="1"/>
  <c r="O18" i="848"/>
  <c r="AB18" i="848"/>
  <c r="AF17" i="848"/>
  <c r="AB17" i="848"/>
  <c r="Q17" i="848"/>
  <c r="P17" i="848"/>
  <c r="AC17" i="848" s="1"/>
  <c r="O17" i="848"/>
  <c r="M17" i="848"/>
  <c r="K17" i="848"/>
  <c r="AF15" i="848"/>
  <c r="AB15" i="848"/>
  <c r="Q15" i="848"/>
  <c r="P15" i="848" s="1"/>
  <c r="AC15" i="848" s="1"/>
  <c r="O15" i="848"/>
  <c r="M15" i="848"/>
  <c r="AF14" i="848"/>
  <c r="AB14" i="848"/>
  <c r="Q14" i="848"/>
  <c r="P14" i="848"/>
  <c r="AC14" i="848" s="1"/>
  <c r="O14" i="848"/>
  <c r="M14" i="848"/>
  <c r="AF13" i="848"/>
  <c r="Q13" i="848"/>
  <c r="O13" i="848"/>
  <c r="AF12" i="848"/>
  <c r="Q12" i="848"/>
  <c r="P12" i="848"/>
  <c r="AC12" i="848" s="1"/>
  <c r="AB12" i="848"/>
  <c r="AF10" i="848"/>
  <c r="AB10" i="848"/>
  <c r="Q10" i="848"/>
  <c r="P10" i="848" s="1"/>
  <c r="AC10" i="848" s="1"/>
  <c r="O10" i="848"/>
  <c r="M10" i="848"/>
  <c r="AF9" i="848"/>
  <c r="AB9" i="848"/>
  <c r="Q9" i="848"/>
  <c r="P9" i="848"/>
  <c r="AC9" i="848" s="1"/>
  <c r="O9" i="848"/>
  <c r="M9" i="848"/>
  <c r="K9" i="848"/>
  <c r="AF8" i="848"/>
  <c r="AB8" i="848"/>
  <c r="Q8" i="848"/>
  <c r="P8" i="848"/>
  <c r="AC8" i="848" s="1"/>
  <c r="O8" i="848"/>
  <c r="M8" i="848"/>
  <c r="K8" i="848"/>
  <c r="AF7" i="848"/>
  <c r="AB7" i="848"/>
  <c r="Q7" i="848"/>
  <c r="P7" i="848" s="1"/>
  <c r="AC7" i="848" s="1"/>
  <c r="O7" i="848"/>
  <c r="M7" i="848"/>
  <c r="AF6" i="848"/>
  <c r="Q6" i="848"/>
  <c r="O6" i="848"/>
  <c r="L23" i="848"/>
  <c r="O23" i="848" s="1"/>
  <c r="AD7" i="848" l="1"/>
  <c r="AD10" i="848"/>
  <c r="AD20" i="848"/>
  <c r="AD8" i="848"/>
  <c r="Q23" i="848"/>
  <c r="AD14" i="848"/>
  <c r="P6" i="848"/>
  <c r="AC6" i="848" s="1"/>
  <c r="AD9" i="848"/>
  <c r="AD15" i="848"/>
  <c r="AD17" i="848"/>
  <c r="AD18" i="848"/>
  <c r="AD21" i="848"/>
  <c r="M13" i="848"/>
  <c r="AB13" i="848"/>
  <c r="M6" i="848"/>
  <c r="AB6" i="848"/>
  <c r="O12" i="848"/>
  <c r="AD12" i="848" s="1"/>
  <c r="K23" i="848"/>
  <c r="P13" i="848"/>
  <c r="AC13" i="848" s="1"/>
  <c r="M18" i="848"/>
  <c r="O19" i="848"/>
  <c r="AD19" i="848" s="1"/>
  <c r="M21" i="848"/>
  <c r="M12" i="848"/>
  <c r="M19" i="848"/>
  <c r="B18" i="16"/>
  <c r="B17" i="16"/>
  <c r="AG17" i="16" s="1"/>
  <c r="B16" i="16"/>
  <c r="AG16" i="16" s="1"/>
  <c r="B15" i="16"/>
  <c r="B14" i="16"/>
  <c r="B13" i="16"/>
  <c r="AG13" i="16" s="1"/>
  <c r="B12" i="16"/>
  <c r="AG12" i="16" s="1"/>
  <c r="B11" i="16"/>
  <c r="B10" i="16"/>
  <c r="B9" i="16"/>
  <c r="AG9" i="16" s="1"/>
  <c r="B8" i="16"/>
  <c r="B7" i="16"/>
  <c r="B6" i="16"/>
  <c r="B5" i="16"/>
  <c r="AG5" i="16" s="1"/>
  <c r="B4" i="16"/>
  <c r="AG4" i="16" s="1"/>
  <c r="B3" i="16"/>
  <c r="AG3" i="16" s="1"/>
  <c r="L19" i="847"/>
  <c r="K19" i="847"/>
  <c r="L17" i="847"/>
  <c r="K17" i="847"/>
  <c r="L16" i="847"/>
  <c r="K14" i="847"/>
  <c r="L13" i="847"/>
  <c r="K13" i="847"/>
  <c r="L12" i="847"/>
  <c r="L11" i="847"/>
  <c r="K11" i="847" s="1"/>
  <c r="L6" i="847"/>
  <c r="K6" i="847" s="1"/>
  <c r="K18" i="847"/>
  <c r="K16" i="847"/>
  <c r="K12" i="847"/>
  <c r="K10" i="847"/>
  <c r="AG18" i="16"/>
  <c r="AG15" i="16"/>
  <c r="AG14" i="16"/>
  <c r="AG11" i="16"/>
  <c r="AG10" i="16"/>
  <c r="AG8" i="16"/>
  <c r="AG7" i="16"/>
  <c r="AG6" i="16"/>
  <c r="AD13" i="848" l="1"/>
  <c r="AC23" i="848"/>
  <c r="AB23" i="848"/>
  <c r="AD6" i="848"/>
  <c r="AD23" i="848" s="1"/>
  <c r="P23" i="848"/>
  <c r="M23" i="848"/>
  <c r="K8" i="847"/>
  <c r="A75" i="847"/>
  <c r="A76" i="847" s="1"/>
  <c r="A77" i="847" s="1"/>
  <c r="A78" i="847" s="1"/>
  <c r="A79" i="847" s="1"/>
  <c r="A80" i="847" s="1"/>
  <c r="A81" i="847" s="1"/>
  <c r="A74" i="847"/>
  <c r="AF60" i="847"/>
  <c r="AF59" i="847"/>
  <c r="AF62" i="847" s="1"/>
  <c r="AA21" i="847"/>
  <c r="Z21" i="847"/>
  <c r="Y21" i="847"/>
  <c r="X21" i="847"/>
  <c r="W21" i="847"/>
  <c r="V21" i="847"/>
  <c r="U21" i="847"/>
  <c r="T21" i="847"/>
  <c r="S21" i="847"/>
  <c r="R21" i="847"/>
  <c r="N21" i="847"/>
  <c r="J21" i="847"/>
  <c r="I21" i="847"/>
  <c r="AF20" i="847"/>
  <c r="AC20" i="847"/>
  <c r="AB20" i="847"/>
  <c r="Q20" i="847"/>
  <c r="P20" i="847"/>
  <c r="O20" i="847"/>
  <c r="M20" i="847"/>
  <c r="K20" i="847"/>
  <c r="AF19" i="847"/>
  <c r="AB19" i="847"/>
  <c r="Q19" i="847"/>
  <c r="P19" i="847"/>
  <c r="AC19" i="847" s="1"/>
  <c r="O19" i="847"/>
  <c r="M19" i="847"/>
  <c r="AF18" i="847"/>
  <c r="Q18" i="847"/>
  <c r="AB18" i="847"/>
  <c r="AF17" i="847"/>
  <c r="AB17" i="847"/>
  <c r="Q17" i="847"/>
  <c r="P17" i="847" s="1"/>
  <c r="AC17" i="847" s="1"/>
  <c r="O17" i="847"/>
  <c r="M17" i="847"/>
  <c r="AF16" i="847"/>
  <c r="AB16" i="847"/>
  <c r="Q16" i="847"/>
  <c r="P16" i="847" s="1"/>
  <c r="AC16" i="847" s="1"/>
  <c r="O16" i="847"/>
  <c r="M16" i="847"/>
  <c r="AF15" i="847"/>
  <c r="AB15" i="847"/>
  <c r="Q15" i="847"/>
  <c r="P15" i="847"/>
  <c r="AC15" i="847" s="1"/>
  <c r="O15" i="847"/>
  <c r="M15" i="847"/>
  <c r="K15" i="847"/>
  <c r="AF14" i="847"/>
  <c r="AB14" i="847"/>
  <c r="Q14" i="847"/>
  <c r="P14" i="847"/>
  <c r="AC14" i="847" s="1"/>
  <c r="AD14" i="847" s="1"/>
  <c r="O14" i="847"/>
  <c r="M14" i="847"/>
  <c r="AF13" i="847"/>
  <c r="AB13" i="847"/>
  <c r="Q13" i="847"/>
  <c r="P13" i="847" s="1"/>
  <c r="AC13" i="847" s="1"/>
  <c r="O13" i="847"/>
  <c r="M13" i="847"/>
  <c r="AF12" i="847"/>
  <c r="AB12" i="847"/>
  <c r="Q12" i="847"/>
  <c r="P12" i="847" s="1"/>
  <c r="AC12" i="847" s="1"/>
  <c r="O12" i="847"/>
  <c r="M12" i="847"/>
  <c r="AF11" i="847"/>
  <c r="AB11" i="847"/>
  <c r="Q11" i="847"/>
  <c r="P11" i="847"/>
  <c r="AC11" i="847" s="1"/>
  <c r="O11" i="847"/>
  <c r="M11" i="847"/>
  <c r="AF10" i="847"/>
  <c r="Q10" i="847"/>
  <c r="P10" i="847"/>
  <c r="AC10" i="847" s="1"/>
  <c r="AF9" i="847"/>
  <c r="AB9" i="847"/>
  <c r="Q9" i="847"/>
  <c r="P9" i="847"/>
  <c r="AC9" i="847" s="1"/>
  <c r="O9" i="847"/>
  <c r="M9" i="847"/>
  <c r="K9" i="847"/>
  <c r="AF8" i="847"/>
  <c r="AB8" i="847"/>
  <c r="Q8" i="847"/>
  <c r="P8" i="847"/>
  <c r="AC8" i="847" s="1"/>
  <c r="M8" i="847"/>
  <c r="O8" i="847"/>
  <c r="AF7" i="847"/>
  <c r="AB7" i="847"/>
  <c r="Q7" i="847"/>
  <c r="P7" i="847"/>
  <c r="AC7" i="847" s="1"/>
  <c r="O7" i="847"/>
  <c r="M7" i="847"/>
  <c r="K7" i="847"/>
  <c r="AF6" i="847"/>
  <c r="Q6" i="847"/>
  <c r="O6" i="847"/>
  <c r="AE11" i="848" l="1"/>
  <c r="AE16" i="848"/>
  <c r="AE21" i="848"/>
  <c r="AE18" i="848"/>
  <c r="AE10" i="848"/>
  <c r="AE8" i="848"/>
  <c r="AE7" i="848"/>
  <c r="AE19" i="848"/>
  <c r="AE22" i="848"/>
  <c r="AE13" i="848"/>
  <c r="AE20" i="848"/>
  <c r="AE17" i="848"/>
  <c r="AE14" i="848"/>
  <c r="AE6" i="848"/>
  <c r="AE15" i="848"/>
  <c r="AE12" i="848"/>
  <c r="AE9" i="848"/>
  <c r="AD7" i="847"/>
  <c r="Q21" i="847"/>
  <c r="AD11" i="847"/>
  <c r="AD9" i="847"/>
  <c r="AD13" i="847"/>
  <c r="AD12" i="847"/>
  <c r="AD15" i="847"/>
  <c r="AD17" i="847"/>
  <c r="AD16" i="847"/>
  <c r="AD19" i="847"/>
  <c r="AD20" i="847"/>
  <c r="AD8" i="847"/>
  <c r="O18" i="847"/>
  <c r="K21" i="847"/>
  <c r="P6" i="847"/>
  <c r="M10" i="847"/>
  <c r="AB10" i="847"/>
  <c r="P18" i="847"/>
  <c r="AC18" i="847" s="1"/>
  <c r="O10" i="847"/>
  <c r="M6" i="847"/>
  <c r="AB6" i="847"/>
  <c r="AB21" i="847" s="1"/>
  <c r="M18" i="847"/>
  <c r="L21" i="847"/>
  <c r="O21" i="847" s="1"/>
  <c r="AD10" i="847" l="1"/>
  <c r="M21" i="847"/>
  <c r="AD18" i="847"/>
  <c r="P21" i="847"/>
  <c r="AC6" i="847"/>
  <c r="AC21" i="847" l="1"/>
  <c r="AD6" i="847"/>
  <c r="AD21" i="847" s="1"/>
  <c r="AE6" i="847" l="1"/>
  <c r="AE17" i="847"/>
  <c r="AE15" i="847"/>
  <c r="AE13" i="847"/>
  <c r="AE8" i="847"/>
  <c r="AE18" i="847"/>
  <c r="AE11" i="847"/>
  <c r="AE20" i="847"/>
  <c r="AE16" i="847"/>
  <c r="AE14" i="847"/>
  <c r="AE12" i="847"/>
  <c r="AE9" i="847"/>
  <c r="AE19" i="847"/>
  <c r="AE10" i="847"/>
  <c r="AE7" i="847"/>
</calcChain>
</file>

<file path=xl/sharedStrings.xml><?xml version="1.0" encoding="utf-8"?>
<sst xmlns="http://schemas.openxmlformats.org/spreadsheetml/2006/main" count="4867" uniqueCount="1060">
  <si>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</si>
  <si>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</si>
  <si>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</si>
  <si>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</si>
  <si>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</si>
  <si>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</si>
  <si>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</si>
  <si>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</si>
  <si>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</si>
  <si>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</si>
  <si>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</si>
  <si>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</si>
  <si>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</si>
  <si>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</si>
  <si>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</si>
  <si>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</si>
  <si>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</si>
  <si>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</si>
  <si>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</si>
  <si>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</si>
  <si>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</si>
  <si>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</si>
  <si>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</si>
  <si>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</si>
  <si>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</si>
  <si>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</si>
  <si>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</si>
  <si>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</si>
  <si>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</si>
  <si>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</si>
  <si>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</si>
  <si>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</si>
  <si>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</si>
  <si>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</si>
  <si>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</si>
  <si>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</si>
  <si>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</si>
  <si>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순위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</si>
  <si>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</si>
  <si>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</si>
  <si>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</si>
  <si>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</si>
  <si>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</si>
  <si>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</si>
  <si>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</si>
  <si>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</si>
  <si>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</si>
  <si>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</si>
  <si>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</si>
  <si>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</si>
  <si>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</si>
  <si>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</si>
  <si>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</si>
  <si>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</si>
  <si>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</si>
  <si>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</si>
  <si>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</si>
  <si>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</si>
  <si>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BASE</t>
    <phoneticPr fontId="2" type="noConversion"/>
  </si>
  <si>
    <t>발주</t>
    <phoneticPr fontId="2" type="noConversion"/>
  </si>
  <si>
    <t>불량 내역</t>
    <phoneticPr fontId="2" type="noConversion"/>
  </si>
  <si>
    <t xml:space="preserve"> 세척</t>
    <phoneticPr fontId="2" type="noConversion"/>
  </si>
  <si>
    <t>HICON</t>
    <phoneticPr fontId="2" type="noConversion"/>
  </si>
  <si>
    <t>2829H-05-001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</si>
  <si>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</si>
  <si>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</si>
  <si>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</si>
  <si>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</si>
  <si>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</si>
  <si>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</si>
  <si>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</si>
  <si>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</si>
  <si>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</si>
  <si>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</si>
  <si>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</si>
  <si>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</si>
  <si>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</si>
  <si>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</si>
  <si>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</si>
  <si>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</si>
  <si>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</si>
  <si>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</si>
  <si>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</si>
  <si>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</si>
  <si>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</si>
  <si>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</si>
  <si>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</si>
  <si>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</si>
  <si>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</si>
  <si>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</si>
  <si>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</si>
  <si>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</si>
  <si>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</si>
  <si>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</si>
  <si>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</si>
  <si>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</si>
  <si>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</si>
  <si>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</si>
  <si>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</si>
  <si>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</si>
  <si>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</si>
  <si>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</si>
  <si>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</si>
  <si>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</si>
  <si>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</si>
  <si>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</si>
  <si>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</si>
  <si>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</si>
  <si>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</si>
  <si>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</si>
  <si>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</si>
  <si>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</si>
  <si>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</si>
  <si>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</si>
  <si>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</si>
  <si>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</si>
  <si>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</si>
  <si>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</si>
  <si>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</si>
  <si>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DI</t>
    <phoneticPr fontId="2" type="noConversion"/>
  </si>
  <si>
    <t>PA46</t>
    <phoneticPr fontId="2" type="noConversion"/>
  </si>
  <si>
    <t>SLIDER</t>
    <phoneticPr fontId="2" type="noConversion"/>
  </si>
  <si>
    <t>MCS</t>
    <phoneticPr fontId="2" type="noConversion"/>
  </si>
  <si>
    <t>STOPPER</t>
    <phoneticPr fontId="2" type="noConversion"/>
  </si>
  <si>
    <t>HICON</t>
    <phoneticPr fontId="2" type="noConversion"/>
  </si>
  <si>
    <t>SGF2030 N/P</t>
    <phoneticPr fontId="2" type="noConversion"/>
  </si>
  <si>
    <t>HSA65-M002C1(A)</t>
    <phoneticPr fontId="2" type="noConversion"/>
  </si>
  <si>
    <t>HSA65-M002C1(CD)</t>
    <phoneticPr fontId="2" type="noConversion"/>
  </si>
  <si>
    <t>HSA65-M001B1(A)</t>
    <phoneticPr fontId="2" type="noConversion"/>
  </si>
  <si>
    <t>SGF2030</t>
    <phoneticPr fontId="2" type="noConversion"/>
  </si>
  <si>
    <t>SGF2041 N/P</t>
    <phoneticPr fontId="2" type="noConversion"/>
  </si>
  <si>
    <t>HSB05-M004B1</t>
    <phoneticPr fontId="2" type="noConversion"/>
  </si>
  <si>
    <t>HSB05-M002B1-15BI</t>
    <phoneticPr fontId="2" type="noConversion"/>
  </si>
  <si>
    <t xml:space="preserve"> 코아파손</t>
    <phoneticPr fontId="2" type="noConversion"/>
  </si>
  <si>
    <t>수리후양산</t>
    <phoneticPr fontId="2" type="noConversion"/>
  </si>
  <si>
    <t>SST</t>
    <phoneticPr fontId="2" type="noConversion"/>
  </si>
  <si>
    <t>SGF2033</t>
    <phoneticPr fontId="2" type="noConversion"/>
  </si>
  <si>
    <t>PA9T</t>
    <phoneticPr fontId="2" type="noConversion"/>
  </si>
  <si>
    <t>8</t>
    <phoneticPr fontId="2" type="noConversion"/>
  </si>
  <si>
    <t>13</t>
    <phoneticPr fontId="2" type="noConversion"/>
  </si>
  <si>
    <t>SST</t>
    <phoneticPr fontId="2" type="noConversion"/>
  </si>
  <si>
    <t>STOPPER</t>
    <phoneticPr fontId="2" type="noConversion"/>
  </si>
  <si>
    <t>3</t>
    <phoneticPr fontId="2" type="noConversion"/>
  </si>
  <si>
    <t>PBT</t>
    <phoneticPr fontId="2" type="noConversion"/>
  </si>
  <si>
    <t>72P</t>
    <phoneticPr fontId="2" type="noConversion"/>
  </si>
  <si>
    <t>5</t>
    <phoneticPr fontId="2" type="noConversion"/>
  </si>
  <si>
    <t>12</t>
    <phoneticPr fontId="2" type="noConversion"/>
  </si>
  <si>
    <t>KR6182-B624CB</t>
    <phoneticPr fontId="2" type="noConversion"/>
  </si>
  <si>
    <t>KR6170BD740UB</t>
    <phoneticPr fontId="2" type="noConversion"/>
  </si>
  <si>
    <t>KR6182-A308WA</t>
    <phoneticPr fontId="2" type="noConversion"/>
  </si>
  <si>
    <t>KR6182-A308WA</t>
    <phoneticPr fontId="2" type="noConversion"/>
  </si>
  <si>
    <t>테라</t>
    <phoneticPr fontId="2" type="noConversion"/>
  </si>
  <si>
    <t>BRACKET</t>
    <phoneticPr fontId="2" type="noConversion"/>
  </si>
  <si>
    <t>MPT</t>
    <phoneticPr fontId="2" type="noConversion"/>
  </si>
  <si>
    <t>MPT-02</t>
    <phoneticPr fontId="2" type="noConversion"/>
  </si>
  <si>
    <t>CB001</t>
    <phoneticPr fontId="2" type="noConversion"/>
  </si>
  <si>
    <t>HSC65-M052A1(4C)</t>
    <phoneticPr fontId="2" type="noConversion"/>
  </si>
  <si>
    <t>SGF2030</t>
    <phoneticPr fontId="2" type="noConversion"/>
  </si>
  <si>
    <t>JD4901</t>
    <phoneticPr fontId="2" type="noConversion"/>
  </si>
  <si>
    <t>7301</t>
    <phoneticPr fontId="2" type="noConversion"/>
  </si>
  <si>
    <t>SLIDER</t>
    <phoneticPr fontId="2" type="noConversion"/>
  </si>
  <si>
    <t>MPT</t>
    <phoneticPr fontId="2" type="noConversion"/>
  </si>
  <si>
    <t>MPT-02</t>
    <phoneticPr fontId="2" type="noConversion"/>
  </si>
  <si>
    <t>HOLDER</t>
    <phoneticPr fontId="2" type="noConversion"/>
  </si>
  <si>
    <t>HSB05-M006B1</t>
    <phoneticPr fontId="2" type="noConversion"/>
  </si>
  <si>
    <t>AYE</t>
    <phoneticPr fontId="2" type="noConversion"/>
  </si>
  <si>
    <t>ESD101</t>
    <phoneticPr fontId="2" type="noConversion"/>
  </si>
  <si>
    <t>STOPPER</t>
    <phoneticPr fontId="2" type="noConversion"/>
  </si>
  <si>
    <t>HSB05-M004B1</t>
    <phoneticPr fontId="2" type="noConversion"/>
  </si>
  <si>
    <t>HICON</t>
    <phoneticPr fontId="2" type="noConversion"/>
  </si>
  <si>
    <t>발주분양산</t>
    <phoneticPr fontId="2" type="noConversion"/>
  </si>
  <si>
    <t>발주분양산</t>
    <phoneticPr fontId="2" type="noConversion"/>
  </si>
  <si>
    <t>TCSOP-0056-0.50-06-IN-A</t>
    <phoneticPr fontId="2" type="noConversion"/>
  </si>
  <si>
    <t>11</t>
    <phoneticPr fontId="2" type="noConversion"/>
  </si>
  <si>
    <t>HSB05-M004B1</t>
    <phoneticPr fontId="2" type="noConversion"/>
  </si>
  <si>
    <t>발주분양산</t>
    <phoneticPr fontId="2" type="noConversion"/>
  </si>
  <si>
    <t>MCS</t>
    <phoneticPr fontId="2" type="noConversion"/>
  </si>
  <si>
    <t>9</t>
    <phoneticPr fontId="2" type="noConversion"/>
  </si>
  <si>
    <t>288BASE</t>
    <phoneticPr fontId="2" type="noConversion"/>
  </si>
  <si>
    <t>STOPPER</t>
    <phoneticPr fontId="2" type="noConversion"/>
  </si>
  <si>
    <t>SST</t>
    <phoneticPr fontId="2" type="noConversion"/>
  </si>
  <si>
    <t>MPT</t>
    <phoneticPr fontId="2" type="noConversion"/>
  </si>
  <si>
    <t>MPT-02</t>
    <phoneticPr fontId="2" type="noConversion"/>
  </si>
  <si>
    <t xml:space="preserve"> 에젝터 수리</t>
    <phoneticPr fontId="2" type="noConversion"/>
  </si>
  <si>
    <r>
      <t>2017년 02월 01일 일일생산현황</t>
    </r>
    <r>
      <rPr>
        <b/>
        <sz val="14"/>
        <color indexed="8"/>
        <rFont val="굴림체"/>
        <family val="3"/>
        <charset val="129"/>
      </rPr>
      <t>(02일(목) 09시 현재)</t>
    </r>
    <phoneticPr fontId="2" type="noConversion"/>
  </si>
  <si>
    <t>02월 호기별 가동현황</t>
    <phoneticPr fontId="2" type="noConversion"/>
  </si>
  <si>
    <t>HRCS-03C17/C18</t>
    <phoneticPr fontId="2" type="noConversion"/>
  </si>
  <si>
    <t>2*1</t>
    <phoneticPr fontId="2" type="noConversion"/>
  </si>
  <si>
    <t>AMM0840A-KAB-R2</t>
    <phoneticPr fontId="2" type="noConversion"/>
  </si>
  <si>
    <t>IC GUIDE</t>
    <phoneticPr fontId="2" type="noConversion"/>
  </si>
  <si>
    <t>HSB05-M007B3</t>
    <phoneticPr fontId="2" type="noConversion"/>
  </si>
  <si>
    <t>BASE</t>
    <phoneticPr fontId="2" type="noConversion"/>
  </si>
  <si>
    <t>K-JR01918-B484AWA</t>
    <phoneticPr fontId="2" type="noConversion"/>
  </si>
  <si>
    <t>전일 ISSUE 사항(01일)</t>
    <phoneticPr fontId="2" type="noConversion"/>
  </si>
  <si>
    <t>IC GUIDE</t>
    <phoneticPr fontId="2" type="noConversion"/>
  </si>
  <si>
    <t>HSB05-M007B3</t>
    <phoneticPr fontId="2" type="noConversion"/>
  </si>
  <si>
    <t>코아파손정지</t>
    <phoneticPr fontId="2" type="noConversion"/>
  </si>
  <si>
    <t>HRCS-03C17/C18</t>
    <phoneticPr fontId="2" type="noConversion"/>
  </si>
  <si>
    <t>발주분양산</t>
    <phoneticPr fontId="2" type="noConversion"/>
  </si>
  <si>
    <t>수리후양산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</si>
  <si>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</si>
  <si>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</si>
  <si>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</si>
  <si>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AMM0840A-KAB-R2</t>
    <phoneticPr fontId="2" type="noConversion"/>
  </si>
  <si>
    <t>발주분양산-&gt;밀핀파손 금형사고남</t>
    <phoneticPr fontId="2" type="noConversion"/>
  </si>
  <si>
    <t>14</t>
    <phoneticPr fontId="2" type="noConversion"/>
  </si>
  <si>
    <t>BASE</t>
    <phoneticPr fontId="2" type="noConversion"/>
  </si>
  <si>
    <t>K-JR01918-B484AWA</t>
    <phoneticPr fontId="2" type="noConversion"/>
  </si>
  <si>
    <t>8</t>
    <phoneticPr fontId="2" type="noConversion"/>
  </si>
  <si>
    <t>KR6182-B624CB</t>
    <phoneticPr fontId="2" type="noConversion"/>
  </si>
  <si>
    <t>세척후양산</t>
    <phoneticPr fontId="2" type="noConversion"/>
  </si>
  <si>
    <t>당일 진행 사항(02일)</t>
    <phoneticPr fontId="2" type="noConversion"/>
  </si>
  <si>
    <t>PlungeR2/PUSHER</t>
    <phoneticPr fontId="2" type="noConversion"/>
  </si>
  <si>
    <t>OKINS</t>
    <phoneticPr fontId="2" type="noConversion"/>
  </si>
  <si>
    <t>2</t>
    <phoneticPr fontId="2" type="noConversion"/>
  </si>
  <si>
    <t>LEAD GUIDE</t>
    <phoneticPr fontId="2" type="noConversion"/>
  </si>
  <si>
    <t>92-178V-LG949C</t>
    <phoneticPr fontId="2" type="noConversion"/>
  </si>
  <si>
    <t>AAM0818C-KAB-R3</t>
    <phoneticPr fontId="2" type="noConversion"/>
  </si>
  <si>
    <t>OKINS</t>
    <phoneticPr fontId="2" type="noConversion"/>
  </si>
  <si>
    <t>92-178V-ST949B-2</t>
    <phoneticPr fontId="2" type="noConversion"/>
  </si>
  <si>
    <t>LATCH</t>
    <phoneticPr fontId="2" type="noConversion"/>
  </si>
  <si>
    <t>92-178V-LC949B</t>
    <phoneticPr fontId="2" type="noConversion"/>
  </si>
  <si>
    <t>KR6182-A308WA</t>
    <phoneticPr fontId="2" type="noConversion"/>
  </si>
  <si>
    <t>SST</t>
    <phoneticPr fontId="2" type="noConversion"/>
  </si>
  <si>
    <t>13</t>
    <phoneticPr fontId="2" type="noConversion"/>
  </si>
  <si>
    <t>SLIDER</t>
    <phoneticPr fontId="2" type="noConversion"/>
  </si>
  <si>
    <t>SAMPLE 진행 사항(01일)</t>
    <phoneticPr fontId="2" type="noConversion"/>
  </si>
  <si>
    <t>STOPPER</t>
    <phoneticPr fontId="2" type="noConversion"/>
  </si>
  <si>
    <t>AMB0224A-KAA-R1</t>
    <phoneticPr fontId="2" type="noConversion"/>
  </si>
  <si>
    <t>SF2255</t>
    <phoneticPr fontId="2" type="noConversion"/>
  </si>
  <si>
    <t>요청</t>
    <phoneticPr fontId="2" type="noConversion"/>
  </si>
  <si>
    <t>SLIDER</t>
    <phoneticPr fontId="2" type="noConversion"/>
  </si>
  <si>
    <t>KR6197-A221YA</t>
    <phoneticPr fontId="2" type="noConversion"/>
  </si>
  <si>
    <t>SGF2050</t>
    <phoneticPr fontId="2" type="noConversion"/>
  </si>
  <si>
    <t>수정</t>
    <phoneticPr fontId="2" type="noConversion"/>
  </si>
  <si>
    <t>금형 수리 내역(01일)</t>
    <phoneticPr fontId="2" type="noConversion"/>
  </si>
  <si>
    <t>KR6182-A308WA</t>
    <phoneticPr fontId="2" type="noConversion"/>
  </si>
  <si>
    <t>설비 점검 내역(01일)</t>
    <phoneticPr fontId="2" type="noConversion"/>
  </si>
  <si>
    <r>
      <t>2017년 02월 02일 일일생산현황</t>
    </r>
    <r>
      <rPr>
        <b/>
        <sz val="14"/>
        <color indexed="8"/>
        <rFont val="굴림체"/>
        <family val="3"/>
        <charset val="129"/>
      </rPr>
      <t>(03일(금) 09시 현재)</t>
    </r>
    <phoneticPr fontId="2" type="noConversion"/>
  </si>
  <si>
    <t>OKINS</t>
    <phoneticPr fontId="2" type="noConversion"/>
  </si>
  <si>
    <t>LEAD GUIDE</t>
    <phoneticPr fontId="2" type="noConversion"/>
  </si>
  <si>
    <t>92-178V-LG949C</t>
    <phoneticPr fontId="2" type="noConversion"/>
  </si>
  <si>
    <t>SF2250</t>
    <phoneticPr fontId="2" type="noConversion"/>
  </si>
  <si>
    <t>OKINS</t>
    <phoneticPr fontId="2" type="noConversion"/>
  </si>
  <si>
    <t>STOPPER</t>
    <phoneticPr fontId="2" type="noConversion"/>
  </si>
  <si>
    <t>92-178V-ST949B-2</t>
    <phoneticPr fontId="2" type="noConversion"/>
  </si>
  <si>
    <t>SF2250</t>
    <phoneticPr fontId="2" type="noConversion"/>
  </si>
  <si>
    <t>LATCH</t>
    <phoneticPr fontId="2" type="noConversion"/>
  </si>
  <si>
    <t>92-178V-LC949B</t>
    <phoneticPr fontId="2" type="noConversion"/>
  </si>
  <si>
    <t>AAM0818C-KAB-R3</t>
    <phoneticPr fontId="2" type="noConversion"/>
  </si>
  <si>
    <t>AAM0818A-KAA-R3</t>
    <phoneticPr fontId="2" type="noConversion"/>
  </si>
  <si>
    <t>전일 ISSUE 사항(02일)</t>
    <phoneticPr fontId="2" type="noConversion"/>
  </si>
  <si>
    <t>수리후양산-&gt;코아파손정지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</si>
  <si>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</si>
  <si>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</si>
  <si>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</si>
  <si>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MCS</t>
    <phoneticPr fontId="2" type="noConversion"/>
  </si>
  <si>
    <t>발주분양산</t>
    <phoneticPr fontId="2" type="noConversion"/>
  </si>
  <si>
    <t>OKINS</t>
    <phoneticPr fontId="2" type="noConversion"/>
  </si>
  <si>
    <t>2</t>
    <phoneticPr fontId="2" type="noConversion"/>
  </si>
  <si>
    <t>LEAD GUIDE</t>
    <phoneticPr fontId="2" type="noConversion"/>
  </si>
  <si>
    <t>92-178V-LG949C</t>
    <phoneticPr fontId="2" type="noConversion"/>
  </si>
  <si>
    <t>5</t>
    <phoneticPr fontId="2" type="noConversion"/>
  </si>
  <si>
    <t>STOPPER</t>
    <phoneticPr fontId="2" type="noConversion"/>
  </si>
  <si>
    <t>92-178V-ST949B-2</t>
    <phoneticPr fontId="2" type="noConversion"/>
  </si>
  <si>
    <t>당일 진행 사항(03일)</t>
    <phoneticPr fontId="2" type="noConversion"/>
  </si>
  <si>
    <t>1</t>
    <phoneticPr fontId="2" type="noConversion"/>
  </si>
  <si>
    <t>COVER</t>
    <phoneticPr fontId="2" type="noConversion"/>
  </si>
  <si>
    <t>KR6156AC841TA</t>
    <phoneticPr fontId="2" type="noConversion"/>
  </si>
  <si>
    <t>발주분양산</t>
    <phoneticPr fontId="2" type="noConversion"/>
  </si>
  <si>
    <t>8</t>
    <phoneticPr fontId="2" type="noConversion"/>
  </si>
  <si>
    <t>KR6156-D841PA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</si>
  <si>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</si>
  <si>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</si>
  <si>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</si>
  <si>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SAMPLE 진행 사항(02일)</t>
    <phoneticPr fontId="2" type="noConversion"/>
  </si>
  <si>
    <t>BODY</t>
    <phoneticPr fontId="2" type="noConversion"/>
  </si>
  <si>
    <t>AMB0151A-KAA-R1</t>
    <phoneticPr fontId="2" type="noConversion"/>
  </si>
  <si>
    <t>SGP2020R</t>
    <phoneticPr fontId="2" type="noConversion"/>
  </si>
  <si>
    <t>ADAPTER</t>
    <phoneticPr fontId="2" type="noConversion"/>
  </si>
  <si>
    <t>K-JR01926-G01NWA</t>
    <phoneticPr fontId="2" type="noConversion"/>
  </si>
  <si>
    <t>SGF2030</t>
    <phoneticPr fontId="2" type="noConversion"/>
  </si>
  <si>
    <t>수정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</si>
  <si>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</si>
  <si>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</si>
  <si>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2017년 02월 03일 일일생산현황</t>
    </r>
    <r>
      <rPr>
        <b/>
        <sz val="14"/>
        <color indexed="8"/>
        <rFont val="굴림체"/>
        <family val="3"/>
        <charset val="129"/>
      </rPr>
      <t>(04일(토) 09시 현재)</t>
    </r>
    <phoneticPr fontId="2" type="noConversion"/>
  </si>
  <si>
    <t>COVER</t>
    <phoneticPr fontId="2" type="noConversion"/>
  </si>
  <si>
    <t>KR6156AC841TA</t>
    <phoneticPr fontId="2" type="noConversion"/>
  </si>
  <si>
    <t>SLIDER</t>
    <phoneticPr fontId="2" type="noConversion"/>
  </si>
  <si>
    <t>KR6156FA841YA</t>
    <phoneticPr fontId="2" type="noConversion"/>
  </si>
  <si>
    <t>SGF2050</t>
    <phoneticPr fontId="2" type="noConversion"/>
  </si>
  <si>
    <t>KR6156-D841PA</t>
    <phoneticPr fontId="2" type="noConversion"/>
  </si>
  <si>
    <t>SF2255</t>
    <phoneticPr fontId="2" type="noConversion"/>
  </si>
  <si>
    <t>TMSP</t>
    <phoneticPr fontId="2" type="noConversion"/>
  </si>
  <si>
    <t>DETECTOR</t>
    <phoneticPr fontId="2" type="noConversion"/>
  </si>
  <si>
    <t>PA9T N/P</t>
    <phoneticPr fontId="2" type="noConversion"/>
  </si>
  <si>
    <t>전일 ISSUE 사항(03일)</t>
    <phoneticPr fontId="2" type="noConversion"/>
  </si>
  <si>
    <t>SST</t>
    <phoneticPr fontId="2" type="noConversion"/>
  </si>
  <si>
    <t>COVER</t>
    <phoneticPr fontId="2" type="noConversion"/>
  </si>
  <si>
    <t>4</t>
    <phoneticPr fontId="2" type="noConversion"/>
  </si>
  <si>
    <t>STOPPER</t>
    <phoneticPr fontId="2" type="noConversion"/>
  </si>
  <si>
    <t>TMSP</t>
    <phoneticPr fontId="2" type="noConversion"/>
  </si>
  <si>
    <t>10</t>
    <phoneticPr fontId="2" type="noConversion"/>
  </si>
  <si>
    <t>DETECTOR</t>
    <phoneticPr fontId="2" type="noConversion"/>
  </si>
  <si>
    <t>불량대치분양산</t>
    <phoneticPr fontId="2" type="noConversion"/>
  </si>
  <si>
    <t>당일 진행 사항(06일)</t>
    <phoneticPr fontId="2" type="noConversion"/>
  </si>
  <si>
    <t>AMB4101A-KAA-R1</t>
    <phoneticPr fontId="2" type="noConversion"/>
  </si>
  <si>
    <t>MCS</t>
    <phoneticPr fontId="2" type="noConversion"/>
  </si>
  <si>
    <t>5</t>
    <phoneticPr fontId="2" type="noConversion"/>
  </si>
  <si>
    <t>CLAMP</t>
    <phoneticPr fontId="2" type="noConversion"/>
  </si>
  <si>
    <t>KR6156-F841UA</t>
    <phoneticPr fontId="2" type="noConversion"/>
  </si>
  <si>
    <t>SST</t>
    <phoneticPr fontId="2" type="noConversion"/>
  </si>
  <si>
    <t>7</t>
    <phoneticPr fontId="2" type="noConversion"/>
  </si>
  <si>
    <t>LEAD GUIDE</t>
    <phoneticPr fontId="2" type="noConversion"/>
  </si>
  <si>
    <t>세척후양산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</si>
  <si>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</si>
  <si>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</si>
  <si>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</si>
  <si>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HSB05-M002B1-15BI</t>
    <phoneticPr fontId="2" type="noConversion"/>
  </si>
  <si>
    <t>11</t>
    <phoneticPr fontId="2" type="noConversion"/>
  </si>
  <si>
    <t>STOPPER</t>
    <phoneticPr fontId="2" type="noConversion"/>
  </si>
  <si>
    <t>SAMPLE 진행 사항(03일)</t>
    <phoneticPr fontId="2" type="noConversion"/>
  </si>
  <si>
    <t>KR6197CA432XX</t>
    <phoneticPr fontId="2" type="noConversion"/>
  </si>
  <si>
    <t>수정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</si>
  <si>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</si>
  <si>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</si>
  <si>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t>MCS</t>
    <phoneticPr fontId="2" type="noConversion"/>
  </si>
  <si>
    <t>CLAMP</t>
    <phoneticPr fontId="2" type="noConversion"/>
  </si>
  <si>
    <t>AMB4101A-KAA-R1</t>
    <phoneticPr fontId="2" type="noConversion"/>
  </si>
  <si>
    <t>JCL3030</t>
    <phoneticPr fontId="2" type="noConversion"/>
  </si>
  <si>
    <t>LEAD GUIDE</t>
    <phoneticPr fontId="2" type="noConversion"/>
  </si>
  <si>
    <t>KR6156-F841UA</t>
    <phoneticPr fontId="2" type="noConversion"/>
  </si>
  <si>
    <t>AMM0840A-KAB-R2</t>
    <phoneticPr fontId="2" type="noConversion"/>
  </si>
  <si>
    <t>전일 ISSUE 사항(06일)</t>
    <phoneticPr fontId="2" type="noConversion"/>
  </si>
  <si>
    <t>7</t>
    <phoneticPr fontId="2" type="noConversion"/>
  </si>
  <si>
    <t>LEAD GUIDE</t>
    <phoneticPr fontId="2" type="noConversion"/>
  </si>
  <si>
    <t>발주분양산</t>
    <phoneticPr fontId="2" type="noConversion"/>
  </si>
  <si>
    <t>BURR정지</t>
    <phoneticPr fontId="2" type="noConversion"/>
  </si>
  <si>
    <t>5</t>
    <phoneticPr fontId="2" type="noConversion"/>
  </si>
  <si>
    <t>FLAP</t>
    <phoneticPr fontId="2" type="noConversion"/>
  </si>
  <si>
    <t>발주분양산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</si>
  <si>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</si>
  <si>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</si>
  <si>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</si>
  <si>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AMM0840A-KAB-R2</t>
    <phoneticPr fontId="2" type="noConversion"/>
  </si>
  <si>
    <t>HSB05-M002B1-15BI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</si>
  <si>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</si>
  <si>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</si>
  <si>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</si>
  <si>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세척후양산-&gt;단차수리후양산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</si>
  <si>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</si>
  <si>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</si>
  <si>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</si>
  <si>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HSB05-M004B1</t>
    <phoneticPr fontId="2" type="noConversion"/>
  </si>
  <si>
    <t>세척후양산</t>
    <phoneticPr fontId="2" type="noConversion"/>
  </si>
  <si>
    <t>당일 진행 사항(07일)</t>
    <phoneticPr fontId="2" type="noConversion"/>
  </si>
  <si>
    <t>SST</t>
    <phoneticPr fontId="2" type="noConversion"/>
  </si>
  <si>
    <t>8</t>
    <phoneticPr fontId="2" type="noConversion"/>
  </si>
  <si>
    <t>KR6156-D841PA</t>
    <phoneticPr fontId="2" type="noConversion"/>
  </si>
  <si>
    <t>수리후양산</t>
    <phoneticPr fontId="2" type="noConversion"/>
  </si>
  <si>
    <t>13</t>
    <phoneticPr fontId="2" type="noConversion"/>
  </si>
  <si>
    <t>ACTUATOR</t>
    <phoneticPr fontId="2" type="noConversion"/>
  </si>
  <si>
    <t>AMB1904D-KAA-R2</t>
    <phoneticPr fontId="2" type="noConversion"/>
  </si>
  <si>
    <t>발주분양산</t>
    <phoneticPr fontId="2" type="noConversion"/>
  </si>
  <si>
    <t>SAMPLE 진행 사항(06일)</t>
    <phoneticPr fontId="2" type="noConversion"/>
  </si>
  <si>
    <t>ADAPTER</t>
    <phoneticPr fontId="2" type="noConversion"/>
  </si>
  <si>
    <t>AMB07N3A-KAA-R1</t>
    <phoneticPr fontId="2" type="noConversion"/>
  </si>
  <si>
    <t>SGF2050 N/P</t>
    <phoneticPr fontId="2" type="noConversion"/>
  </si>
  <si>
    <t>치수검토</t>
    <phoneticPr fontId="2" type="noConversion"/>
  </si>
  <si>
    <t>AMB09A8A-KAA-R1</t>
    <phoneticPr fontId="2" type="noConversion"/>
  </si>
  <si>
    <t>SGF2050</t>
    <phoneticPr fontId="2" type="noConversion"/>
  </si>
  <si>
    <t>옵션</t>
    <phoneticPr fontId="2" type="noConversion"/>
  </si>
  <si>
    <t>BASE</t>
    <phoneticPr fontId="2" type="noConversion"/>
  </si>
  <si>
    <t>AMB0149B-KAA-R2</t>
    <phoneticPr fontId="2" type="noConversion"/>
  </si>
  <si>
    <t>수정</t>
    <phoneticPr fontId="2" type="noConversion"/>
  </si>
  <si>
    <t>금형 수리 내역(06일)</t>
    <phoneticPr fontId="2" type="noConversion"/>
  </si>
  <si>
    <t>KR6156-D841PA</t>
    <phoneticPr fontId="2" type="noConversion"/>
  </si>
  <si>
    <t xml:space="preserve"> BURR</t>
    <phoneticPr fontId="2" type="noConversion"/>
  </si>
  <si>
    <t>설비 점검 내역(06일)</t>
    <phoneticPr fontId="2" type="noConversion"/>
  </si>
  <si>
    <r>
      <t>2017년 02월 07일 일일생산현황</t>
    </r>
    <r>
      <rPr>
        <b/>
        <sz val="14"/>
        <color indexed="8"/>
        <rFont val="굴림체"/>
        <family val="3"/>
        <charset val="129"/>
      </rPr>
      <t>(08일(수) 09시 현재)</t>
    </r>
    <phoneticPr fontId="2" type="noConversion"/>
  </si>
  <si>
    <r>
      <t>2017년 02월 06일 일일생산현황</t>
    </r>
    <r>
      <rPr>
        <b/>
        <sz val="14"/>
        <color indexed="8"/>
        <rFont val="굴림체"/>
        <family val="3"/>
        <charset val="129"/>
      </rPr>
      <t>(07일(화) 09시 현재)</t>
    </r>
    <phoneticPr fontId="2" type="noConversion"/>
  </si>
  <si>
    <t>MCS</t>
    <phoneticPr fontId="2" type="noConversion"/>
  </si>
  <si>
    <t>BODY</t>
    <phoneticPr fontId="2" type="noConversion"/>
  </si>
  <si>
    <t>AMB0104J-KAA-R2</t>
    <phoneticPr fontId="2" type="noConversion"/>
  </si>
  <si>
    <t>7301</t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</si>
  <si>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</si>
  <si>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</si>
  <si>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</si>
  <si>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STOPPER</t>
    <phoneticPr fontId="2" type="noConversion"/>
  </si>
  <si>
    <t>KR6170BD740UB</t>
    <phoneticPr fontId="2" type="noConversion"/>
  </si>
  <si>
    <t>SGF2033</t>
    <phoneticPr fontId="2" type="noConversion"/>
  </si>
  <si>
    <t>LEAD GUIDE</t>
    <phoneticPr fontId="2" type="noConversion"/>
  </si>
  <si>
    <t>KR6170AF1440UA</t>
    <phoneticPr fontId="2" type="noConversion"/>
  </si>
  <si>
    <t>전일 ISSUE 사항(07일)</t>
    <phoneticPr fontId="2" type="noConversion"/>
  </si>
  <si>
    <t>세척후양산</t>
    <phoneticPr fontId="2" type="noConversion"/>
  </si>
  <si>
    <t>BURR수리후양산</t>
    <phoneticPr fontId="2" type="noConversion"/>
  </si>
  <si>
    <t>2</t>
    <phoneticPr fontId="2" type="noConversion"/>
  </si>
  <si>
    <t>BODY</t>
    <phoneticPr fontId="2" type="noConversion"/>
  </si>
  <si>
    <t>AMB0104J-KAA-R2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</si>
  <si>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</si>
  <si>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</si>
  <si>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</si>
  <si>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AMB1904D-KAA-R2</t>
    <phoneticPr fontId="2" type="noConversion"/>
  </si>
  <si>
    <t>SST</t>
    <phoneticPr fontId="2" type="noConversion"/>
  </si>
  <si>
    <t>13</t>
    <phoneticPr fontId="2" type="noConversion"/>
  </si>
  <si>
    <t>KR6170BD740UB</t>
    <phoneticPr fontId="2" type="noConversion"/>
  </si>
  <si>
    <t>발주분양산-&gt;코아파손수리</t>
    <phoneticPr fontId="2" type="noConversion"/>
  </si>
  <si>
    <t>SST</t>
    <phoneticPr fontId="2" type="noConversion"/>
  </si>
  <si>
    <t>14</t>
    <phoneticPr fontId="2" type="noConversion"/>
  </si>
  <si>
    <t>LEAD GUIDE</t>
    <phoneticPr fontId="2" type="noConversion"/>
  </si>
  <si>
    <t>KR6170AF1440UA</t>
    <phoneticPr fontId="2" type="noConversion"/>
  </si>
  <si>
    <t>당일 진행 사항(08일)</t>
    <phoneticPr fontId="2" type="noConversion"/>
  </si>
  <si>
    <t>11</t>
    <phoneticPr fontId="2" type="noConversion"/>
  </si>
  <si>
    <t>END PLATE</t>
    <phoneticPr fontId="2" type="noConversion"/>
  </si>
  <si>
    <t>BF1-EP530A</t>
    <phoneticPr fontId="2" type="noConversion"/>
  </si>
  <si>
    <t>발주분양산</t>
    <phoneticPr fontId="2" type="noConversion"/>
  </si>
  <si>
    <t>SAMPLE 진행 사항(07일)</t>
    <phoneticPr fontId="2" type="noConversion"/>
  </si>
  <si>
    <t>AMB0104J-KAA-R2</t>
    <phoneticPr fontId="2" type="noConversion"/>
  </si>
  <si>
    <t>SLIDER</t>
    <phoneticPr fontId="2" type="noConversion"/>
  </si>
  <si>
    <t>KR6197-A221YA</t>
    <phoneticPr fontId="2" type="noConversion"/>
  </si>
  <si>
    <t>SGF2050</t>
    <phoneticPr fontId="2" type="noConversion"/>
  </si>
  <si>
    <t>수정</t>
    <phoneticPr fontId="2" type="noConversion"/>
  </si>
  <si>
    <t>치수변경 2회진행</t>
    <phoneticPr fontId="2" type="noConversion"/>
  </si>
  <si>
    <t>HWT</t>
    <phoneticPr fontId="2" type="noConversion"/>
  </si>
  <si>
    <t>PALLET</t>
    <phoneticPr fontId="2" type="noConversion"/>
  </si>
  <si>
    <t>PKPT-0670026-1000</t>
    <phoneticPr fontId="2" type="noConversion"/>
  </si>
  <si>
    <t>HP1000X</t>
    <phoneticPr fontId="2" type="noConversion"/>
  </si>
  <si>
    <t>신작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</si>
  <si>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</si>
  <si>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</si>
  <si>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2017년 02월 08일 일일생산현황</t>
    </r>
    <r>
      <rPr>
        <b/>
        <sz val="14"/>
        <color indexed="8"/>
        <rFont val="굴림체"/>
        <family val="3"/>
        <charset val="129"/>
      </rPr>
      <t>(09일(목) 09시 현재)</t>
    </r>
    <phoneticPr fontId="2" type="noConversion"/>
  </si>
  <si>
    <t>ODT</t>
    <phoneticPr fontId="2" type="noConversion"/>
  </si>
  <si>
    <t>203T</t>
    <phoneticPr fontId="2" type="noConversion"/>
  </si>
  <si>
    <t>SW-003068</t>
    <phoneticPr fontId="2" type="noConversion"/>
  </si>
  <si>
    <t>PC15%</t>
    <phoneticPr fontId="2" type="noConversion"/>
  </si>
  <si>
    <t>OKINS</t>
    <phoneticPr fontId="2" type="noConversion"/>
  </si>
  <si>
    <t>END PLATE</t>
    <phoneticPr fontId="2" type="noConversion"/>
  </si>
  <si>
    <t>BF1-EP530A</t>
    <phoneticPr fontId="2" type="noConversion"/>
  </si>
  <si>
    <t>전일 ISSUE 사항(08일)</t>
    <phoneticPr fontId="2" type="noConversion"/>
  </si>
  <si>
    <t>END PLATE</t>
    <phoneticPr fontId="2" type="noConversion"/>
  </si>
  <si>
    <t>발주분양산</t>
    <phoneticPr fontId="2" type="noConversion"/>
  </si>
  <si>
    <t>KR6170BD740UB</t>
    <phoneticPr fontId="2" type="noConversion"/>
  </si>
  <si>
    <t>203T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</si>
  <si>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</si>
  <si>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</si>
  <si>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</si>
  <si>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세척후양산</t>
    <phoneticPr fontId="2" type="noConversion"/>
  </si>
  <si>
    <t>당일 진행 사항(09일)</t>
    <phoneticPr fontId="2" type="noConversion"/>
  </si>
  <si>
    <t>BASE</t>
    <phoneticPr fontId="2" type="noConversion"/>
  </si>
  <si>
    <t>204F51M-B047D</t>
    <phoneticPr fontId="2" type="noConversion"/>
  </si>
  <si>
    <t>SST</t>
    <phoneticPr fontId="2" type="noConversion"/>
  </si>
  <si>
    <t>7</t>
    <phoneticPr fontId="2" type="noConversion"/>
  </si>
  <si>
    <t>KR6156DB841CA</t>
    <phoneticPr fontId="2" type="noConversion"/>
  </si>
  <si>
    <t>SAMPLE 진행 사항(08일)</t>
    <phoneticPr fontId="2" type="noConversion"/>
  </si>
  <si>
    <t>ADAPTER</t>
    <phoneticPr fontId="2" type="noConversion"/>
  </si>
  <si>
    <t>AMB07N3A-KAA-R1</t>
    <phoneticPr fontId="2" type="noConversion"/>
  </si>
  <si>
    <t>SGF2050 N/P</t>
    <phoneticPr fontId="2" type="noConversion"/>
  </si>
  <si>
    <t>옵션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</si>
  <si>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</si>
  <si>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</si>
  <si>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2017년 02월 09일 일일생산현황</t>
    </r>
    <r>
      <rPr>
        <b/>
        <sz val="14"/>
        <color indexed="8"/>
        <rFont val="굴림체"/>
        <family val="3"/>
        <charset val="129"/>
      </rPr>
      <t>(10일(금) 09시 현재)</t>
    </r>
    <phoneticPr fontId="2" type="noConversion"/>
  </si>
  <si>
    <t>KR6156DB841CA</t>
    <phoneticPr fontId="2" type="noConversion"/>
  </si>
  <si>
    <t>SGF2033</t>
    <phoneticPr fontId="2" type="noConversion"/>
  </si>
  <si>
    <t>BASE</t>
    <phoneticPr fontId="2" type="noConversion"/>
  </si>
  <si>
    <t>204F51M-B047D</t>
    <phoneticPr fontId="2" type="noConversion"/>
  </si>
  <si>
    <t>PA9T</t>
    <phoneticPr fontId="2" type="noConversion"/>
  </si>
  <si>
    <t>MCS</t>
    <phoneticPr fontId="2" type="noConversion"/>
  </si>
  <si>
    <t>SAM</t>
    <phoneticPr fontId="2" type="noConversion"/>
  </si>
  <si>
    <t>AM0610B-J</t>
    <phoneticPr fontId="2" type="noConversion"/>
  </si>
  <si>
    <t>전일 ISSUE 사항(09일)</t>
    <phoneticPr fontId="2" type="noConversion"/>
  </si>
  <si>
    <t>ADAPTER</t>
    <phoneticPr fontId="2" type="noConversion"/>
  </si>
  <si>
    <t>SGF2030</t>
    <phoneticPr fontId="2" type="noConversion"/>
  </si>
  <si>
    <t>SST</t>
    <phoneticPr fontId="2" type="noConversion"/>
  </si>
  <si>
    <t>7</t>
    <phoneticPr fontId="2" type="noConversion"/>
  </si>
  <si>
    <t>KR6156-D841PA</t>
    <phoneticPr fontId="2" type="noConversion"/>
  </si>
  <si>
    <t>세척후양산</t>
    <phoneticPr fontId="2" type="noConversion"/>
  </si>
  <si>
    <t>OKINS</t>
    <phoneticPr fontId="2" type="noConversion"/>
  </si>
  <si>
    <t>204F51M-B047D</t>
    <phoneticPr fontId="2" type="noConversion"/>
  </si>
  <si>
    <t>당일 진행 사항(10일)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</si>
  <si>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</si>
  <si>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</si>
  <si>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</si>
  <si>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코아파손수리후양산</t>
    <phoneticPr fontId="2" type="noConversion"/>
  </si>
  <si>
    <t>12</t>
    <phoneticPr fontId="2" type="noConversion"/>
  </si>
  <si>
    <t>5</t>
    <phoneticPr fontId="2" type="noConversion"/>
  </si>
  <si>
    <t>K-JR01926-G01NWA</t>
    <phoneticPr fontId="2" type="noConversion"/>
  </si>
  <si>
    <t>9</t>
    <phoneticPr fontId="2" type="noConversion"/>
  </si>
  <si>
    <t>COVER</t>
    <phoneticPr fontId="2" type="noConversion"/>
  </si>
  <si>
    <t>KR6156-C841TB</t>
    <phoneticPr fontId="2" type="noConversion"/>
  </si>
  <si>
    <t>KR6156-F841UA</t>
    <phoneticPr fontId="2" type="noConversion"/>
  </si>
  <si>
    <t>AM0149A-K</t>
    <phoneticPr fontId="2" type="noConversion"/>
  </si>
  <si>
    <t>AMB0114B-JAA-R5</t>
    <phoneticPr fontId="2" type="noConversion"/>
  </si>
  <si>
    <t>14</t>
    <phoneticPr fontId="2" type="noConversion"/>
  </si>
  <si>
    <t>SAMPLE 진행 사항(09일)</t>
    <phoneticPr fontId="2" type="noConversion"/>
  </si>
  <si>
    <t>K-JR01926-G01NWA</t>
    <phoneticPr fontId="2" type="noConversion"/>
  </si>
  <si>
    <t>SGF2030</t>
    <phoneticPr fontId="2" type="noConversion"/>
  </si>
  <si>
    <t>수정</t>
    <phoneticPr fontId="2" type="noConversion"/>
  </si>
  <si>
    <t>COVER</t>
    <phoneticPr fontId="2" type="noConversion"/>
  </si>
  <si>
    <t>KR6182-C841TB</t>
    <phoneticPr fontId="2" type="noConversion"/>
  </si>
  <si>
    <t>JD4901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</si>
  <si>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</si>
  <si>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</si>
  <si>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2017년 02월 10일 일일생산현황</t>
    </r>
    <r>
      <rPr>
        <b/>
        <sz val="14"/>
        <color indexed="8"/>
        <rFont val="굴림체"/>
        <family val="3"/>
        <charset val="129"/>
      </rPr>
      <t>(11일(토) 09시 현재)</t>
    </r>
    <phoneticPr fontId="2" type="noConversion"/>
  </si>
  <si>
    <t>MCS</t>
    <phoneticPr fontId="2" type="noConversion"/>
  </si>
  <si>
    <t>BODY</t>
    <phoneticPr fontId="2" type="noConversion"/>
  </si>
  <si>
    <t>AMB0104J-KAA-R2</t>
    <phoneticPr fontId="2" type="noConversion"/>
  </si>
  <si>
    <t>COVER</t>
    <phoneticPr fontId="2" type="noConversion"/>
  </si>
  <si>
    <t>KR6156-C841TB</t>
    <phoneticPr fontId="2" type="noConversion"/>
  </si>
  <si>
    <t>JD4901</t>
    <phoneticPr fontId="2" type="noConversion"/>
  </si>
  <si>
    <t>LEAD GUIDE</t>
    <phoneticPr fontId="2" type="noConversion"/>
  </si>
  <si>
    <t>KR6156-F841UA</t>
    <phoneticPr fontId="2" type="noConversion"/>
  </si>
  <si>
    <t>BODY</t>
    <phoneticPr fontId="2" type="noConversion"/>
  </si>
  <si>
    <t>AM0149A-K</t>
    <phoneticPr fontId="2" type="noConversion"/>
  </si>
  <si>
    <t>7301</t>
    <phoneticPr fontId="2" type="noConversion"/>
  </si>
  <si>
    <t>AMB0114B-JAA-R5</t>
    <phoneticPr fontId="2" type="noConversion"/>
  </si>
  <si>
    <t>SF2255</t>
    <phoneticPr fontId="2" type="noConversion"/>
  </si>
  <si>
    <t>전일 ISSUE 사항(10일)</t>
    <phoneticPr fontId="2" type="noConversion"/>
  </si>
  <si>
    <t>MCS</t>
    <phoneticPr fontId="2" type="noConversion"/>
  </si>
  <si>
    <t>1</t>
    <phoneticPr fontId="2" type="noConversion"/>
  </si>
  <si>
    <t>BURR수리후양산</t>
    <phoneticPr fontId="2" type="noConversion"/>
  </si>
  <si>
    <t>SST</t>
    <phoneticPr fontId="2" type="noConversion"/>
  </si>
  <si>
    <t>9</t>
    <phoneticPr fontId="2" type="noConversion"/>
  </si>
  <si>
    <t>11</t>
    <phoneticPr fontId="2" type="noConversion"/>
  </si>
  <si>
    <t>LEAD GUIDE</t>
    <phoneticPr fontId="2" type="noConversion"/>
  </si>
  <si>
    <t>발주분양산</t>
    <phoneticPr fontId="2" type="noConversion"/>
  </si>
  <si>
    <t>13</t>
    <phoneticPr fontId="2" type="noConversion"/>
  </si>
  <si>
    <t>14</t>
    <phoneticPr fontId="2" type="noConversion"/>
  </si>
  <si>
    <t>AMB0114B-JAA-R5</t>
    <phoneticPr fontId="2" type="noConversion"/>
  </si>
  <si>
    <t>당일 진행 사항(13일)</t>
    <phoneticPr fontId="2" type="noConversion"/>
  </si>
  <si>
    <t>AM0340A-K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</si>
  <si>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</si>
  <si>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</si>
  <si>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</si>
  <si>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</si>
  <si>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세척후양산</t>
    <phoneticPr fontId="2" type="noConversion"/>
  </si>
  <si>
    <t>SAMPLE 진행 사항(10일)</t>
    <phoneticPr fontId="2" type="noConversion"/>
  </si>
  <si>
    <t>SLIDER</t>
    <phoneticPr fontId="2" type="noConversion"/>
  </si>
  <si>
    <t>HSB05-M002B2-09BI</t>
    <phoneticPr fontId="2" type="noConversion"/>
  </si>
  <si>
    <t>SGF2041 N/P</t>
    <phoneticPr fontId="2" type="noConversion"/>
  </si>
  <si>
    <t>ABS</t>
    <phoneticPr fontId="2" type="noConversion"/>
  </si>
  <si>
    <t>수축 작업안됨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</si>
  <si>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</si>
  <si>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</si>
  <si>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t xml:space="preserve"> 세척</t>
    <phoneticPr fontId="2" type="noConversion"/>
  </si>
  <si>
    <r>
      <t>2017년 02월 13일 일일생산현황</t>
    </r>
    <r>
      <rPr>
        <b/>
        <sz val="14"/>
        <color indexed="8"/>
        <rFont val="굴림체"/>
        <family val="3"/>
        <charset val="129"/>
      </rPr>
      <t>(14일(화) 09시 현재)</t>
    </r>
    <phoneticPr fontId="2" type="noConversion"/>
  </si>
  <si>
    <t>COVER</t>
    <phoneticPr fontId="2" type="noConversion"/>
  </si>
  <si>
    <t>AM0340A-K</t>
    <phoneticPr fontId="2" type="noConversion"/>
  </si>
  <si>
    <t>JD4901</t>
    <phoneticPr fontId="2" type="noConversion"/>
  </si>
  <si>
    <t>HICON</t>
    <phoneticPr fontId="2" type="noConversion"/>
  </si>
  <si>
    <t>BASE</t>
    <phoneticPr fontId="2" type="noConversion"/>
  </si>
  <si>
    <t>HSB08-M01A1</t>
    <phoneticPr fontId="2" type="noConversion"/>
  </si>
  <si>
    <t>SGF2041</t>
    <phoneticPr fontId="2" type="noConversion"/>
  </si>
  <si>
    <t>22P(4p)</t>
    <phoneticPr fontId="2" type="noConversion"/>
  </si>
  <si>
    <t>전일 ISSUE 사항(13일)</t>
    <phoneticPr fontId="2" type="noConversion"/>
  </si>
  <si>
    <t>AM0340A-K</t>
    <phoneticPr fontId="2" type="noConversion"/>
  </si>
  <si>
    <t>발주분양산-&gt;GATE BURR정지</t>
    <phoneticPr fontId="2" type="noConversion"/>
  </si>
  <si>
    <t>4</t>
    <phoneticPr fontId="2" type="noConversion"/>
  </si>
  <si>
    <t>SLIDER</t>
    <phoneticPr fontId="2" type="noConversion"/>
  </si>
  <si>
    <t>KR6156FA841YA</t>
    <phoneticPr fontId="2" type="noConversion"/>
  </si>
  <si>
    <t>5</t>
    <phoneticPr fontId="2" type="noConversion"/>
  </si>
  <si>
    <t xml:space="preserve">PIN변경 테스트 </t>
    <phoneticPr fontId="2" type="noConversion"/>
  </si>
  <si>
    <t>22P(4POST)</t>
    <phoneticPr fontId="2" type="noConversion"/>
  </si>
  <si>
    <t>DI</t>
    <phoneticPr fontId="2" type="noConversion"/>
  </si>
  <si>
    <t>15</t>
    <phoneticPr fontId="2" type="noConversion"/>
  </si>
  <si>
    <t>발주분양산</t>
    <phoneticPr fontId="2" type="noConversion"/>
  </si>
  <si>
    <t>당일 진행 사항(14일)</t>
    <phoneticPr fontId="2" type="noConversion"/>
  </si>
  <si>
    <t>AM0244A-K</t>
    <phoneticPr fontId="2" type="noConversion"/>
  </si>
  <si>
    <t>11</t>
    <phoneticPr fontId="2" type="noConversion"/>
  </si>
  <si>
    <t>STOPPER</t>
    <phoneticPr fontId="2" type="noConversion"/>
  </si>
  <si>
    <t>SAMPLE 진행 사항(13일)</t>
    <phoneticPr fontId="2" type="noConversion"/>
  </si>
  <si>
    <t>MCS</t>
    <phoneticPr fontId="2" type="noConversion"/>
  </si>
  <si>
    <t>BASE</t>
    <phoneticPr fontId="2" type="noConversion"/>
  </si>
  <si>
    <t>AMB0154A-KAA-R1</t>
    <phoneticPr fontId="2" type="noConversion"/>
  </si>
  <si>
    <t>SF2255</t>
    <phoneticPr fontId="2" type="noConversion"/>
  </si>
  <si>
    <t>ACTUATOR</t>
    <phoneticPr fontId="2" type="noConversion"/>
  </si>
  <si>
    <t>AMB1918A-KAA-R1</t>
    <phoneticPr fontId="2" type="noConversion"/>
  </si>
  <si>
    <t>SGF2030</t>
    <phoneticPr fontId="2" type="noConversion"/>
  </si>
  <si>
    <t>신작</t>
    <phoneticPr fontId="2" type="noConversion"/>
  </si>
  <si>
    <t>AMB0226A-KAA-R1</t>
    <phoneticPr fontId="2" type="noConversion"/>
  </si>
  <si>
    <t>SF2255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</si>
  <si>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</si>
  <si>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</si>
  <si>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2017년 02월 14일 일일생산현황</t>
    </r>
    <r>
      <rPr>
        <b/>
        <sz val="14"/>
        <color indexed="8"/>
        <rFont val="굴림체"/>
        <family val="3"/>
        <charset val="129"/>
      </rPr>
      <t>(15일(수) 09시 현재)</t>
    </r>
    <phoneticPr fontId="2" type="noConversion"/>
  </si>
  <si>
    <t>STOPPER</t>
    <phoneticPr fontId="2" type="noConversion"/>
  </si>
  <si>
    <t>AM0244A-K</t>
    <phoneticPr fontId="2" type="noConversion"/>
  </si>
  <si>
    <t>SHAFT</t>
    <phoneticPr fontId="2" type="noConversion"/>
  </si>
  <si>
    <t>KR6197-06KA</t>
    <phoneticPr fontId="2" type="noConversion"/>
  </si>
  <si>
    <t>JCL3030</t>
    <phoneticPr fontId="2" type="noConversion"/>
  </si>
  <si>
    <t>KR6197-F841UA</t>
    <phoneticPr fontId="2" type="noConversion"/>
  </si>
  <si>
    <t>BASE</t>
    <phoneticPr fontId="2" type="noConversion"/>
  </si>
  <si>
    <t>KR6197AB841CA</t>
    <phoneticPr fontId="2" type="noConversion"/>
  </si>
  <si>
    <t>SGF2033</t>
    <phoneticPr fontId="2" type="noConversion"/>
  </si>
  <si>
    <t>전일 ISSUE 사항(14일)</t>
    <phoneticPr fontId="2" type="noConversion"/>
  </si>
  <si>
    <t>STOPPER</t>
    <phoneticPr fontId="2" type="noConversion"/>
  </si>
  <si>
    <t>AM0244A-K</t>
    <phoneticPr fontId="2" type="noConversion"/>
  </si>
  <si>
    <t>발주분양산</t>
    <phoneticPr fontId="2" type="noConversion"/>
  </si>
  <si>
    <t>HOOK 휨수리-&gt;낙하불량</t>
    <phoneticPr fontId="2" type="noConversion"/>
  </si>
  <si>
    <t>5</t>
    <phoneticPr fontId="2" type="noConversion"/>
  </si>
  <si>
    <t>SHAFT</t>
    <phoneticPr fontId="2" type="noConversion"/>
  </si>
  <si>
    <t>14</t>
    <phoneticPr fontId="2" type="noConversion"/>
  </si>
  <si>
    <t>BASE</t>
    <phoneticPr fontId="2" type="noConversion"/>
  </si>
  <si>
    <t>발주분양산-&gt;코아파손수리</t>
    <phoneticPr fontId="2" type="noConversion"/>
  </si>
  <si>
    <t>당일 진행 사항(15일)</t>
    <phoneticPr fontId="2" type="noConversion"/>
  </si>
  <si>
    <t>SST</t>
    <phoneticPr fontId="2" type="noConversion"/>
  </si>
  <si>
    <t>1</t>
    <phoneticPr fontId="2" type="noConversion"/>
  </si>
  <si>
    <t>STOPPER</t>
    <phoneticPr fontId="2" type="noConversion"/>
  </si>
  <si>
    <t>KR6197-D841PB</t>
    <phoneticPr fontId="2" type="noConversion"/>
  </si>
  <si>
    <t>COVER</t>
    <phoneticPr fontId="2" type="noConversion"/>
  </si>
  <si>
    <t>KR6197-C841TA</t>
    <phoneticPr fontId="2" type="noConversion"/>
  </si>
  <si>
    <t>MCS</t>
    <phoneticPr fontId="2" type="noConversion"/>
  </si>
  <si>
    <t>13</t>
    <phoneticPr fontId="2" type="noConversion"/>
  </si>
  <si>
    <t>AMB0129A-KAA-R3</t>
    <phoneticPr fontId="2" type="noConversion"/>
  </si>
  <si>
    <t>SAMPLE 진행 사항(14일)</t>
    <phoneticPr fontId="2" type="noConversion"/>
  </si>
  <si>
    <t>G3-M01A1</t>
    <phoneticPr fontId="2" type="noConversion"/>
  </si>
  <si>
    <t>JCL3030</t>
    <phoneticPr fontId="2" type="noConversion"/>
  </si>
  <si>
    <t>원재료</t>
    <phoneticPr fontId="2" type="noConversion"/>
  </si>
  <si>
    <t>원재료 테스트</t>
    <phoneticPr fontId="2" type="noConversion"/>
  </si>
  <si>
    <t>SLIDER</t>
    <phoneticPr fontId="2" type="noConversion"/>
  </si>
  <si>
    <t>HSB05-M002B1-15BI</t>
    <phoneticPr fontId="2" type="noConversion"/>
  </si>
  <si>
    <t>SGF2041 N/P</t>
    <phoneticPr fontId="2" type="noConversion"/>
  </si>
  <si>
    <t>수정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</si>
  <si>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</si>
  <si>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</si>
  <si>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2017년 02월 15일 일일생산현황</t>
    </r>
    <r>
      <rPr>
        <b/>
        <sz val="14"/>
        <color indexed="8"/>
        <rFont val="굴림체"/>
        <family val="3"/>
        <charset val="129"/>
      </rPr>
      <t>(16일(목) 09시 현재)</t>
    </r>
    <phoneticPr fontId="2" type="noConversion"/>
  </si>
  <si>
    <t>KR6197-D841PB</t>
    <phoneticPr fontId="2" type="noConversion"/>
  </si>
  <si>
    <t>SF2255</t>
    <phoneticPr fontId="2" type="noConversion"/>
  </si>
  <si>
    <t>HWT</t>
    <phoneticPr fontId="2" type="noConversion"/>
  </si>
  <si>
    <t>PLATE</t>
    <phoneticPr fontId="2" type="noConversion"/>
  </si>
  <si>
    <t>PKPT-0670026-1000</t>
    <phoneticPr fontId="2" type="noConversion"/>
  </si>
  <si>
    <t>PC/ABS</t>
    <phoneticPr fontId="2" type="noConversion"/>
  </si>
  <si>
    <t>KR6197-C841TA</t>
    <phoneticPr fontId="2" type="noConversion"/>
  </si>
  <si>
    <t>AMB0129A-KAA-R3</t>
    <phoneticPr fontId="2" type="noConversion"/>
  </si>
  <si>
    <t>전일 ISSUE 사항(15일)</t>
    <phoneticPr fontId="2" type="noConversion"/>
  </si>
  <si>
    <t>SST</t>
    <phoneticPr fontId="2" type="noConversion"/>
  </si>
  <si>
    <t>발주분양산-&gt;게이트BURR수리</t>
    <phoneticPr fontId="2" type="noConversion"/>
  </si>
  <si>
    <t>KR6408-01PCA</t>
    <phoneticPr fontId="2" type="noConversion"/>
  </si>
  <si>
    <t>밀핀높이TEST</t>
    <phoneticPr fontId="2" type="noConversion"/>
  </si>
  <si>
    <t>내측이물정지</t>
    <phoneticPr fontId="2" type="noConversion"/>
  </si>
  <si>
    <t>KR6156DB841CA</t>
    <phoneticPr fontId="2" type="noConversion"/>
  </si>
  <si>
    <t>수지뜯김정지</t>
    <phoneticPr fontId="2" type="noConversion"/>
  </si>
  <si>
    <t>ODT</t>
    <phoneticPr fontId="2" type="noConversion"/>
  </si>
  <si>
    <t>203T</t>
    <phoneticPr fontId="2" type="noConversion"/>
  </si>
  <si>
    <t>SW-003068</t>
    <phoneticPr fontId="2" type="noConversion"/>
  </si>
  <si>
    <t>밀핀파손수리</t>
    <phoneticPr fontId="2" type="noConversion"/>
  </si>
  <si>
    <t>KR6197-C841TA</t>
    <phoneticPr fontId="2" type="noConversion"/>
  </si>
  <si>
    <t>COVER</t>
    <phoneticPr fontId="2" type="noConversion"/>
  </si>
  <si>
    <t>발주분양산</t>
    <phoneticPr fontId="2" type="noConversion"/>
  </si>
  <si>
    <t>당일 진행 사항(16일)</t>
    <phoneticPr fontId="2" type="noConversion"/>
  </si>
  <si>
    <t>MCS</t>
    <phoneticPr fontId="2" type="noConversion"/>
  </si>
  <si>
    <t>13</t>
    <phoneticPr fontId="2" type="noConversion"/>
  </si>
  <si>
    <t>AMB0129A-KAA-R3</t>
    <phoneticPr fontId="2" type="noConversion"/>
  </si>
  <si>
    <t>연구소발주분양산</t>
    <phoneticPr fontId="2" type="noConversion"/>
  </si>
  <si>
    <t>BASE</t>
    <phoneticPr fontId="2" type="noConversion"/>
  </si>
  <si>
    <t>KR6156DB841CA</t>
    <phoneticPr fontId="2" type="noConversion"/>
  </si>
  <si>
    <t>수리후양산</t>
    <phoneticPr fontId="2" type="noConversion"/>
  </si>
  <si>
    <t>KR6197AB841CA</t>
    <phoneticPr fontId="2" type="noConversion"/>
  </si>
  <si>
    <t>SHAFT</t>
    <phoneticPr fontId="2" type="noConversion"/>
  </si>
  <si>
    <t>수리후양산</t>
    <phoneticPr fontId="2" type="noConversion"/>
  </si>
  <si>
    <t>SAMPLE 진행 사항(15일)</t>
    <phoneticPr fontId="2" type="noConversion"/>
  </si>
  <si>
    <t>NEXT</t>
    <phoneticPr fontId="2" type="noConversion"/>
  </si>
  <si>
    <t>PC BLOCK 상/하</t>
    <phoneticPr fontId="2" type="noConversion"/>
  </si>
  <si>
    <t>0.4X24PIN</t>
    <phoneticPr fontId="2" type="noConversion"/>
  </si>
  <si>
    <t>SF2255</t>
    <phoneticPr fontId="2" type="noConversion"/>
  </si>
  <si>
    <t>신작</t>
    <phoneticPr fontId="2" type="noConversion"/>
  </si>
  <si>
    <t>0.35X24PIN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</si>
  <si>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</si>
  <si>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</si>
  <si>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2017년 02월 16일 일일생산현황</t>
    </r>
    <r>
      <rPr>
        <b/>
        <sz val="14"/>
        <color indexed="8"/>
        <rFont val="굴림체"/>
        <family val="3"/>
        <charset val="129"/>
      </rPr>
      <t>(17일(금) 09시 현재)</t>
    </r>
    <phoneticPr fontId="2" type="noConversion"/>
  </si>
  <si>
    <t>KR6408-01PCA</t>
    <phoneticPr fontId="2" type="noConversion"/>
  </si>
  <si>
    <t>SF2255</t>
    <phoneticPr fontId="2" type="noConversion"/>
  </si>
  <si>
    <t>전일 ISSUE 사항(16일)</t>
    <phoneticPr fontId="2" type="noConversion"/>
  </si>
  <si>
    <t>수리후양산</t>
    <phoneticPr fontId="2" type="noConversion"/>
  </si>
  <si>
    <t>수리후양산-&gt;오조립</t>
    <phoneticPr fontId="2" type="noConversion"/>
  </si>
  <si>
    <t>밀핀파손정지</t>
    <phoneticPr fontId="2" type="noConversion"/>
  </si>
  <si>
    <t>당일 진행 사항(17일)</t>
    <phoneticPr fontId="2" type="noConversion"/>
  </si>
  <si>
    <t>OKINS</t>
    <phoneticPr fontId="2" type="noConversion"/>
  </si>
  <si>
    <t>PUSHER</t>
    <phoneticPr fontId="2" type="noConversion"/>
  </si>
  <si>
    <t>OK80SSDA-200-T20-PA</t>
    <phoneticPr fontId="2" type="noConversion"/>
  </si>
  <si>
    <t>발주분양산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</si>
  <si>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</si>
  <si>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</si>
  <si>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</si>
  <si>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KR6197-C841TA</t>
    <phoneticPr fontId="2" type="noConversion"/>
  </si>
  <si>
    <t>COVER</t>
    <phoneticPr fontId="2" type="noConversion"/>
  </si>
  <si>
    <t>게이트 수리후양산</t>
    <phoneticPr fontId="2" type="noConversion"/>
  </si>
  <si>
    <t>ODT</t>
    <phoneticPr fontId="2" type="noConversion"/>
  </si>
  <si>
    <t>203T</t>
    <phoneticPr fontId="2" type="noConversion"/>
  </si>
  <si>
    <t>SW-003068</t>
    <phoneticPr fontId="2" type="noConversion"/>
  </si>
  <si>
    <t>SW-003068</t>
    <phoneticPr fontId="2" type="noConversion"/>
  </si>
  <si>
    <t>수리후양산</t>
    <phoneticPr fontId="2" type="noConversion"/>
  </si>
  <si>
    <t>SAMPLE 진행 사항(16일)</t>
    <phoneticPr fontId="2" type="noConversion"/>
  </si>
  <si>
    <t>MCS</t>
    <phoneticPr fontId="2" type="noConversion"/>
  </si>
  <si>
    <t>BODY</t>
    <phoneticPr fontId="2" type="noConversion"/>
  </si>
  <si>
    <t>AMB0104B-KAA-R2</t>
    <phoneticPr fontId="2" type="noConversion"/>
  </si>
  <si>
    <t>수정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</si>
  <si>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</si>
  <si>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</si>
  <si>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2017년 02월 17일 일일생산현황</t>
    </r>
    <r>
      <rPr>
        <b/>
        <sz val="14"/>
        <color indexed="8"/>
        <rFont val="굴림체"/>
        <family val="3"/>
        <charset val="129"/>
      </rPr>
      <t>(18일(토) 09시 현재)</t>
    </r>
    <phoneticPr fontId="2" type="noConversion"/>
  </si>
  <si>
    <t>ADAPTER</t>
    <phoneticPr fontId="2" type="noConversion"/>
  </si>
  <si>
    <t>AMB0201A-JAA-R2</t>
    <phoneticPr fontId="2" type="noConversion"/>
  </si>
  <si>
    <t>SF2255</t>
    <phoneticPr fontId="2" type="noConversion"/>
  </si>
  <si>
    <t>BASE</t>
    <phoneticPr fontId="2" type="noConversion"/>
  </si>
  <si>
    <t>AM0149A-K</t>
    <phoneticPr fontId="2" type="noConversion"/>
  </si>
  <si>
    <t>OKINS</t>
    <phoneticPr fontId="2" type="noConversion"/>
  </si>
  <si>
    <t>PUSHER</t>
    <phoneticPr fontId="2" type="noConversion"/>
  </si>
  <si>
    <t>7301</t>
    <phoneticPr fontId="2" type="noConversion"/>
  </si>
  <si>
    <t>전일 ISSUE 사항(17일)</t>
    <phoneticPr fontId="2" type="noConversion"/>
  </si>
  <si>
    <t>MCS</t>
    <phoneticPr fontId="2" type="noConversion"/>
  </si>
  <si>
    <t>4</t>
    <phoneticPr fontId="2" type="noConversion"/>
  </si>
  <si>
    <t>ADAPTER</t>
    <phoneticPr fontId="2" type="noConversion"/>
  </si>
  <si>
    <t>발주분양산</t>
    <phoneticPr fontId="2" type="noConversion"/>
  </si>
  <si>
    <t>8</t>
    <phoneticPr fontId="2" type="noConversion"/>
  </si>
  <si>
    <t>이물정지</t>
    <phoneticPr fontId="2" type="noConversion"/>
  </si>
  <si>
    <t>수리후양산</t>
    <phoneticPr fontId="2" type="noConversion"/>
  </si>
  <si>
    <t>12</t>
    <phoneticPr fontId="2" type="noConversion"/>
  </si>
  <si>
    <t>SAM</t>
    <phoneticPr fontId="2" type="noConversion"/>
  </si>
  <si>
    <t>AM0610B-J</t>
    <phoneticPr fontId="2" type="noConversion"/>
  </si>
  <si>
    <t>발주분양산</t>
    <phoneticPr fontId="2" type="noConversion"/>
  </si>
  <si>
    <t>SST</t>
    <phoneticPr fontId="2" type="noConversion"/>
  </si>
  <si>
    <t>11</t>
    <phoneticPr fontId="2" type="noConversion"/>
  </si>
  <si>
    <t>LEAD GUIDE</t>
    <phoneticPr fontId="2" type="noConversion"/>
  </si>
  <si>
    <t>KR6197-F841UA</t>
    <phoneticPr fontId="2" type="noConversion"/>
  </si>
  <si>
    <t>세척후양산</t>
    <phoneticPr fontId="2" type="noConversion"/>
  </si>
  <si>
    <t>9</t>
    <phoneticPr fontId="2" type="noConversion"/>
  </si>
  <si>
    <t>PUSHER</t>
    <phoneticPr fontId="2" type="noConversion"/>
  </si>
  <si>
    <t>0K80SSDA-200-T20-PA</t>
    <phoneticPr fontId="2" type="noConversion"/>
  </si>
  <si>
    <t>당일 진행 사항(20일)</t>
    <phoneticPr fontId="2" type="noConversion"/>
  </si>
  <si>
    <t>MCS</t>
    <phoneticPr fontId="2" type="noConversion"/>
  </si>
  <si>
    <t>2</t>
    <phoneticPr fontId="2" type="noConversion"/>
  </si>
  <si>
    <t>AM0340A-K</t>
    <phoneticPr fontId="2" type="noConversion"/>
  </si>
  <si>
    <t>COVER</t>
    <phoneticPr fontId="2" type="noConversion"/>
  </si>
  <si>
    <t>3</t>
    <phoneticPr fontId="2" type="noConversion"/>
  </si>
  <si>
    <t>STOPPER</t>
    <phoneticPr fontId="2" type="noConversion"/>
  </si>
  <si>
    <t>AM0244A-K</t>
    <phoneticPr fontId="2" type="noConversion"/>
  </si>
  <si>
    <t>BASE</t>
    <phoneticPr fontId="2" type="noConversion"/>
  </si>
  <si>
    <t>BODY</t>
    <phoneticPr fontId="2" type="noConversion"/>
  </si>
  <si>
    <t>AMB0114E-JAA-R2</t>
    <phoneticPr fontId="2" type="noConversion"/>
  </si>
  <si>
    <t>AMB1901D-JAA-R2</t>
    <phoneticPr fontId="2" type="noConversion"/>
  </si>
  <si>
    <t>5</t>
    <phoneticPr fontId="2" type="noConversion"/>
  </si>
  <si>
    <t>ACTUATOR</t>
    <phoneticPr fontId="2" type="noConversion"/>
  </si>
  <si>
    <t>KR6197-C841TA</t>
    <phoneticPr fontId="2" type="noConversion"/>
  </si>
  <si>
    <t>KR6197AB841CA</t>
    <phoneticPr fontId="2" type="noConversion"/>
  </si>
  <si>
    <t>14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</si>
  <si>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</si>
  <si>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</si>
  <si>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</si>
  <si>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t>MCS</t>
    <phoneticPr fontId="2" type="noConversion"/>
  </si>
  <si>
    <t>COVER</t>
    <phoneticPr fontId="2" type="noConversion"/>
  </si>
  <si>
    <t>AM0340A-K</t>
    <phoneticPr fontId="2" type="noConversion"/>
  </si>
  <si>
    <t>JD4901</t>
    <phoneticPr fontId="2" type="noConversion"/>
  </si>
  <si>
    <t>STOPPER</t>
    <phoneticPr fontId="2" type="noConversion"/>
  </si>
  <si>
    <t>AM0244A-K</t>
    <phoneticPr fontId="2" type="noConversion"/>
  </si>
  <si>
    <t>7301</t>
    <phoneticPr fontId="2" type="noConversion"/>
  </si>
  <si>
    <t>ACTUATOR</t>
    <phoneticPr fontId="2" type="noConversion"/>
  </si>
  <si>
    <t>AMB1917B-KAA-R1</t>
    <phoneticPr fontId="2" type="noConversion"/>
  </si>
  <si>
    <t>SGF2030</t>
    <phoneticPr fontId="2" type="noConversion"/>
  </si>
  <si>
    <t>ACTUATOR</t>
    <phoneticPr fontId="2" type="noConversion"/>
  </si>
  <si>
    <t>AMB1901D-JAA-R2</t>
    <phoneticPr fontId="2" type="noConversion"/>
  </si>
  <si>
    <t>BODY</t>
    <phoneticPr fontId="2" type="noConversion"/>
  </si>
  <si>
    <t>AMB0114E-JAA-R2</t>
    <phoneticPr fontId="2" type="noConversion"/>
  </si>
  <si>
    <t>SF2255</t>
    <phoneticPr fontId="2" type="noConversion"/>
  </si>
  <si>
    <t>HICON</t>
    <phoneticPr fontId="2" type="noConversion"/>
  </si>
  <si>
    <t>24TOP</t>
    <phoneticPr fontId="2" type="noConversion"/>
  </si>
  <si>
    <t>HB024-10B1</t>
    <phoneticPr fontId="2" type="noConversion"/>
  </si>
  <si>
    <t>72P</t>
    <phoneticPr fontId="2" type="noConversion"/>
  </si>
  <si>
    <t>전일 ISSUE 사항(20일)</t>
    <phoneticPr fontId="2" type="noConversion"/>
  </si>
  <si>
    <t>2</t>
    <phoneticPr fontId="2" type="noConversion"/>
  </si>
  <si>
    <t>COVER</t>
    <phoneticPr fontId="2" type="noConversion"/>
  </si>
  <si>
    <t>3</t>
    <phoneticPr fontId="2" type="noConversion"/>
  </si>
  <si>
    <t>STOPPER</t>
    <phoneticPr fontId="2" type="noConversion"/>
  </si>
  <si>
    <t>세척후양산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</si>
  <si>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</si>
  <si>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</si>
  <si>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</si>
  <si>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발주분양산</t>
    <phoneticPr fontId="2" type="noConversion"/>
  </si>
  <si>
    <t>발주분양산-&gt;BURR정지</t>
    <phoneticPr fontId="2" type="noConversion"/>
  </si>
  <si>
    <t>5</t>
    <phoneticPr fontId="2" type="noConversion"/>
  </si>
  <si>
    <t>4</t>
    <phoneticPr fontId="2" type="noConversion"/>
  </si>
  <si>
    <t>당일 진행 사항(21일)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</si>
  <si>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</si>
  <si>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</si>
  <si>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</si>
  <si>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발주분양산-&gt;코아파손정지</t>
    <phoneticPr fontId="2" type="noConversion"/>
  </si>
  <si>
    <t>AMB0226A-KAA-R1</t>
    <phoneticPr fontId="2" type="noConversion"/>
  </si>
  <si>
    <t>수리후양산</t>
    <phoneticPr fontId="2" type="noConversion"/>
  </si>
  <si>
    <t>AMB0152B-KAA-R1</t>
    <phoneticPr fontId="2" type="noConversion"/>
  </si>
  <si>
    <t>승인후양산</t>
    <phoneticPr fontId="2" type="noConversion"/>
  </si>
  <si>
    <t>13</t>
    <phoneticPr fontId="2" type="noConversion"/>
  </si>
  <si>
    <t>BODY</t>
    <phoneticPr fontId="2" type="noConversion"/>
  </si>
  <si>
    <t>AMB0154A-KAA-R1</t>
    <phoneticPr fontId="2" type="noConversion"/>
  </si>
  <si>
    <t>SAMPLE 진행 사항(20일)</t>
    <phoneticPr fontId="2" type="noConversion"/>
  </si>
  <si>
    <t>ADAPTER</t>
    <phoneticPr fontId="2" type="noConversion"/>
  </si>
  <si>
    <t>KR6414-GA414XX</t>
    <phoneticPr fontId="2" type="noConversion"/>
  </si>
  <si>
    <t>SF2255 I/V</t>
    <phoneticPr fontId="2" type="noConversion"/>
  </si>
  <si>
    <t>수정</t>
    <phoneticPr fontId="2" type="noConversion"/>
  </si>
  <si>
    <t>MCS</t>
    <phoneticPr fontId="2" type="noConversion"/>
  </si>
  <si>
    <t>ADAPTER</t>
    <phoneticPr fontId="2" type="noConversion"/>
  </si>
  <si>
    <t>AMB07N3A-KAA-R1</t>
    <phoneticPr fontId="2" type="noConversion"/>
  </si>
  <si>
    <t>SGF2050 N/P</t>
    <phoneticPr fontId="2" type="noConversion"/>
  </si>
  <si>
    <t>AMB0152B-KAA-R1</t>
    <phoneticPr fontId="2" type="noConversion"/>
  </si>
  <si>
    <t>SF2255</t>
    <phoneticPr fontId="2" type="noConversion"/>
  </si>
  <si>
    <t>ACTUATOR</t>
    <phoneticPr fontId="2" type="noConversion"/>
  </si>
  <si>
    <t>SGF2030</t>
    <phoneticPr fontId="2" type="noConversion"/>
  </si>
  <si>
    <t>AMB0154A-KAA-R1</t>
    <phoneticPr fontId="2" type="noConversion"/>
  </si>
  <si>
    <t>수리후양산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</si>
  <si>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</si>
  <si>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</si>
  <si>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2017년 02월 21일 일일생산현황</t>
    </r>
    <r>
      <rPr>
        <b/>
        <sz val="14"/>
        <color indexed="8"/>
        <rFont val="굴림체"/>
        <family val="3"/>
        <charset val="129"/>
      </rPr>
      <t>(22일(수) 09시 현재)</t>
    </r>
    <phoneticPr fontId="2" type="noConversion"/>
  </si>
  <si>
    <r>
      <t>2017년 02월 20일 일일생산현황</t>
    </r>
    <r>
      <rPr>
        <b/>
        <sz val="14"/>
        <color indexed="8"/>
        <rFont val="굴림체"/>
        <family val="3"/>
        <charset val="129"/>
      </rPr>
      <t>(21일(화) 09시 현재)</t>
    </r>
    <phoneticPr fontId="2" type="noConversion"/>
  </si>
  <si>
    <t>AMB0226A-KAA-R1</t>
    <phoneticPr fontId="2" type="noConversion"/>
  </si>
  <si>
    <t>BASE</t>
    <phoneticPr fontId="2" type="noConversion"/>
  </si>
  <si>
    <t>AMB0152B-KAA-R1</t>
    <phoneticPr fontId="2" type="noConversion"/>
  </si>
  <si>
    <t>SF2255</t>
    <phoneticPr fontId="2" type="noConversion"/>
  </si>
  <si>
    <t>SLIDER</t>
    <phoneticPr fontId="2" type="noConversion"/>
  </si>
  <si>
    <t>HSB05-M002B1-15BI</t>
    <phoneticPr fontId="2" type="noConversion"/>
  </si>
  <si>
    <t>전일 ISSUE 사항(21일)</t>
    <phoneticPr fontId="2" type="noConversion"/>
  </si>
  <si>
    <t>STOPPER</t>
    <phoneticPr fontId="2" type="noConversion"/>
  </si>
  <si>
    <t>AMB0226A-KAA-R1</t>
    <phoneticPr fontId="2" type="noConversion"/>
  </si>
  <si>
    <t>발주분양산-&gt;하측박힘정지</t>
    <phoneticPr fontId="2" type="noConversion"/>
  </si>
  <si>
    <t>코아파손정지</t>
    <phoneticPr fontId="2" type="noConversion"/>
  </si>
  <si>
    <t>수리후양산</t>
    <phoneticPr fontId="2" type="noConversion"/>
  </si>
  <si>
    <t>SST</t>
    <phoneticPr fontId="2" type="noConversion"/>
  </si>
  <si>
    <t>9</t>
    <phoneticPr fontId="2" type="noConversion"/>
  </si>
  <si>
    <t>COVER</t>
    <phoneticPr fontId="2" type="noConversion"/>
  </si>
  <si>
    <t>KR6197-C841TA</t>
    <phoneticPr fontId="2" type="noConversion"/>
  </si>
  <si>
    <t>HICON</t>
    <phoneticPr fontId="2" type="noConversion"/>
  </si>
  <si>
    <t>SLIDER</t>
    <phoneticPr fontId="2" type="noConversion"/>
  </si>
  <si>
    <t>수리후양산-&gt;금형수정정지</t>
    <phoneticPr fontId="2" type="noConversion"/>
  </si>
  <si>
    <t>당일 진행 사항(22일)</t>
    <phoneticPr fontId="2" type="noConversion"/>
  </si>
  <si>
    <t>BODY</t>
    <phoneticPr fontId="2" type="noConversion"/>
  </si>
  <si>
    <t>AMB0104J-KAA-R2</t>
    <phoneticPr fontId="2" type="noConversion"/>
  </si>
  <si>
    <t>HICON</t>
    <phoneticPr fontId="2" type="noConversion"/>
  </si>
  <si>
    <t>HSA08-M01A1</t>
    <phoneticPr fontId="2" type="noConversion"/>
  </si>
  <si>
    <t>발주분양산</t>
    <phoneticPr fontId="2" type="noConversion"/>
  </si>
  <si>
    <t>KR6197AB841CA</t>
    <phoneticPr fontId="2" type="noConversion"/>
  </si>
  <si>
    <t>HSA08-M02A1</t>
    <phoneticPr fontId="2" type="noConversion"/>
  </si>
  <si>
    <t>SAMPLE 진행 사항(21일)</t>
    <phoneticPr fontId="2" type="noConversion"/>
  </si>
  <si>
    <t>수정</t>
    <phoneticPr fontId="2" type="noConversion"/>
  </si>
  <si>
    <t>AMB1918A-KAA-R1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</si>
  <si>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</si>
  <si>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</si>
  <si>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2017년 02월 22일 일일생산현황</t>
    </r>
    <r>
      <rPr>
        <b/>
        <sz val="14"/>
        <color indexed="8"/>
        <rFont val="굴림체"/>
        <family val="3"/>
        <charset val="129"/>
      </rPr>
      <t>(23일(목) 09시 현재)</t>
    </r>
    <phoneticPr fontId="2" type="noConversion"/>
  </si>
  <si>
    <t>BODY</t>
    <phoneticPr fontId="2" type="noConversion"/>
  </si>
  <si>
    <t>AMB0104J-KAA-R2</t>
    <phoneticPr fontId="2" type="noConversion"/>
  </si>
  <si>
    <t>7301</t>
    <phoneticPr fontId="2" type="noConversion"/>
  </si>
  <si>
    <t>HICON</t>
    <phoneticPr fontId="2" type="noConversion"/>
  </si>
  <si>
    <t>COVER</t>
    <phoneticPr fontId="2" type="noConversion"/>
  </si>
  <si>
    <t>HSA08-M03A1</t>
    <phoneticPr fontId="2" type="noConversion"/>
  </si>
  <si>
    <t>JD4901</t>
    <phoneticPr fontId="2" type="noConversion"/>
  </si>
  <si>
    <t>BASE</t>
    <phoneticPr fontId="2" type="noConversion"/>
  </si>
  <si>
    <t>HSA08-M01A1</t>
    <phoneticPr fontId="2" type="noConversion"/>
  </si>
  <si>
    <t>STOPPER</t>
    <phoneticPr fontId="2" type="noConversion"/>
  </si>
  <si>
    <t>HSA08-M04A1</t>
    <phoneticPr fontId="2" type="noConversion"/>
  </si>
  <si>
    <t>SLIDER</t>
    <phoneticPr fontId="2" type="noConversion"/>
  </si>
  <si>
    <t>HSA08-M02A1</t>
    <phoneticPr fontId="2" type="noConversion"/>
  </si>
  <si>
    <t>SF2255 I/V</t>
    <phoneticPr fontId="2" type="noConversion"/>
  </si>
  <si>
    <t>ACTUATOR</t>
    <phoneticPr fontId="2" type="noConversion"/>
  </si>
  <si>
    <t>AMB1918A-KAA-R1</t>
    <phoneticPr fontId="2" type="noConversion"/>
  </si>
  <si>
    <t>SGF2030</t>
    <phoneticPr fontId="2" type="noConversion"/>
  </si>
  <si>
    <t>전일 ISSUE 사항(22일)</t>
    <phoneticPr fontId="2" type="noConversion"/>
  </si>
  <si>
    <t>수리수정후양산</t>
    <phoneticPr fontId="2" type="noConversion"/>
  </si>
  <si>
    <t>수리후양산-&gt;코아파손정지</t>
    <phoneticPr fontId="2" type="noConversion"/>
  </si>
  <si>
    <t>HSA08-M03A1</t>
    <phoneticPr fontId="2" type="noConversion"/>
  </si>
  <si>
    <t>HICON</t>
    <phoneticPr fontId="2" type="noConversion"/>
  </si>
  <si>
    <t>COVER</t>
    <phoneticPr fontId="2" type="noConversion"/>
  </si>
  <si>
    <t>발주분양산</t>
    <phoneticPr fontId="2" type="noConversion"/>
  </si>
  <si>
    <t>STOPPER</t>
    <phoneticPr fontId="2" type="noConversion"/>
  </si>
  <si>
    <t>SLIDER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</si>
  <si>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</si>
  <si>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</si>
  <si>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</si>
  <si>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당일 진행 사항(23일)</t>
    <phoneticPr fontId="2" type="noConversion"/>
  </si>
  <si>
    <t>수리후양산</t>
    <phoneticPr fontId="2" type="noConversion"/>
  </si>
  <si>
    <t>G3-M01A1</t>
    <phoneticPr fontId="2" type="noConversion"/>
  </si>
  <si>
    <t>KR6197-D841PB</t>
    <phoneticPr fontId="2" type="noConversion"/>
  </si>
  <si>
    <t>1</t>
    <phoneticPr fontId="2" type="noConversion"/>
  </si>
  <si>
    <t>KR6156AC841TA</t>
    <phoneticPr fontId="2" type="noConversion"/>
  </si>
  <si>
    <t>3</t>
    <phoneticPr fontId="2" type="noConversion"/>
  </si>
  <si>
    <t>BASE HINGE</t>
    <phoneticPr fontId="2" type="noConversion"/>
  </si>
  <si>
    <t>메카텍</t>
    <phoneticPr fontId="2" type="noConversion"/>
  </si>
  <si>
    <t>SAMPLE 진행 사항(22일)</t>
    <phoneticPr fontId="2" type="noConversion"/>
  </si>
  <si>
    <t>AMB0152B-KAA-R1</t>
    <phoneticPr fontId="2" type="noConversion"/>
  </si>
  <si>
    <t>내부검토용</t>
    <phoneticPr fontId="2" type="noConversion"/>
  </si>
  <si>
    <t>AMB0151A-KAA-R1</t>
    <phoneticPr fontId="2" type="noConversion"/>
  </si>
  <si>
    <t>SF2255</t>
    <phoneticPr fontId="2" type="noConversion"/>
  </si>
  <si>
    <t>원재료</t>
    <phoneticPr fontId="2" type="noConversion"/>
  </si>
  <si>
    <t>내부검토용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</si>
  <si>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</si>
  <si>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</si>
  <si>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2017년 02월 23일 일일생산현황</t>
    </r>
    <r>
      <rPr>
        <b/>
        <sz val="14"/>
        <color indexed="8"/>
        <rFont val="굴림체"/>
        <family val="3"/>
        <charset val="129"/>
      </rPr>
      <t>(24일(금) 09시 현재)</t>
    </r>
    <phoneticPr fontId="2" type="noConversion"/>
  </si>
  <si>
    <t>COVER</t>
    <phoneticPr fontId="2" type="noConversion"/>
  </si>
  <si>
    <t>JD4901</t>
    <phoneticPr fontId="2" type="noConversion"/>
  </si>
  <si>
    <t>G3-M01A1</t>
    <phoneticPr fontId="2" type="noConversion"/>
  </si>
  <si>
    <t>MECA</t>
    <phoneticPr fontId="2" type="noConversion"/>
  </si>
  <si>
    <t>BASE HINGE</t>
    <phoneticPr fontId="2" type="noConversion"/>
  </si>
  <si>
    <t>7301</t>
    <phoneticPr fontId="2" type="noConversion"/>
  </si>
  <si>
    <t>전일 ISSUE 사항(23일)</t>
    <phoneticPr fontId="2" type="noConversion"/>
  </si>
  <si>
    <t>SST</t>
    <phoneticPr fontId="2" type="noConversion"/>
  </si>
  <si>
    <t>STOPPER</t>
    <phoneticPr fontId="2" type="noConversion"/>
  </si>
  <si>
    <t>KR6197-D841PB</t>
    <phoneticPr fontId="2" type="noConversion"/>
  </si>
  <si>
    <t>세척후양산-&gt;코아파손정지</t>
    <phoneticPr fontId="2" type="noConversion"/>
  </si>
  <si>
    <t>G3-M01A1</t>
    <phoneticPr fontId="2" type="noConversion"/>
  </si>
  <si>
    <t>발주분양산-&gt;슬라이드파손수리</t>
    <phoneticPr fontId="2" type="noConversion"/>
  </si>
  <si>
    <t>3</t>
    <phoneticPr fontId="2" type="noConversion"/>
  </si>
  <si>
    <t>COVER</t>
    <phoneticPr fontId="2" type="noConversion"/>
  </si>
  <si>
    <t>KR6156AC841TA</t>
    <phoneticPr fontId="2" type="noConversion"/>
  </si>
  <si>
    <t>발주분양산-&gt;제품눌림정지</t>
    <phoneticPr fontId="2" type="noConversion"/>
  </si>
  <si>
    <t>발주분양산</t>
    <phoneticPr fontId="2" type="noConversion"/>
  </si>
  <si>
    <t>당일 진행 사항(24일)</t>
    <phoneticPr fontId="2" type="noConversion"/>
  </si>
  <si>
    <t>7</t>
    <phoneticPr fontId="2" type="noConversion"/>
  </si>
  <si>
    <t>BLOCK/LOCKER</t>
    <phoneticPr fontId="2" type="noConversion"/>
  </si>
  <si>
    <t>G3-M02A1/M03A1</t>
    <phoneticPr fontId="2" type="noConversion"/>
  </si>
  <si>
    <t>수리후양산</t>
    <phoneticPr fontId="2" type="noConversion"/>
  </si>
  <si>
    <t>MCS</t>
    <phoneticPr fontId="2" type="noConversion"/>
  </si>
  <si>
    <t>13</t>
    <phoneticPr fontId="2" type="noConversion"/>
  </si>
  <si>
    <t>BASE</t>
    <phoneticPr fontId="2" type="noConversion"/>
  </si>
  <si>
    <t>AMB0154A-KAA-R1</t>
    <phoneticPr fontId="2" type="noConversion"/>
  </si>
  <si>
    <t>SAMPLE 진행 사항(23일)</t>
    <phoneticPr fontId="2" type="noConversion"/>
  </si>
  <si>
    <t>STOPPER</t>
    <phoneticPr fontId="2" type="noConversion"/>
  </si>
  <si>
    <t>KR6170BD740XX</t>
    <phoneticPr fontId="2" type="noConversion"/>
  </si>
  <si>
    <t>SGF2030</t>
    <phoneticPr fontId="2" type="noConversion"/>
  </si>
  <si>
    <t>원재료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</si>
  <si>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</si>
  <si>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</si>
  <si>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2017년 02월 24일 일일생산현황</t>
    </r>
    <r>
      <rPr>
        <b/>
        <sz val="14"/>
        <color indexed="8"/>
        <rFont val="굴림체"/>
        <family val="3"/>
        <charset val="129"/>
      </rPr>
      <t>(25일(토) 09시 현재)</t>
    </r>
    <phoneticPr fontId="2" type="noConversion"/>
  </si>
  <si>
    <t>KR6156AC841TA</t>
    <phoneticPr fontId="2" type="noConversion"/>
  </si>
  <si>
    <t>BLOCK/HINGE</t>
    <phoneticPr fontId="2" type="noConversion"/>
  </si>
  <si>
    <t>G3-M-02A/03A</t>
    <phoneticPr fontId="2" type="noConversion"/>
  </si>
  <si>
    <t>JD4901</t>
    <phoneticPr fontId="2" type="noConversion"/>
  </si>
  <si>
    <t>2*1</t>
    <phoneticPr fontId="2" type="noConversion"/>
  </si>
  <si>
    <t>LATCH</t>
    <phoneticPr fontId="2" type="noConversion"/>
  </si>
  <si>
    <t>G3-M-04A</t>
    <phoneticPr fontId="2" type="noConversion"/>
  </si>
  <si>
    <t>JD4901</t>
    <phoneticPr fontId="2" type="noConversion"/>
  </si>
  <si>
    <t>KR6197AF841UA</t>
    <phoneticPr fontId="2" type="noConversion"/>
  </si>
  <si>
    <t>BASE</t>
    <phoneticPr fontId="2" type="noConversion"/>
  </si>
  <si>
    <t>AMB0154A-KAA-R1</t>
    <phoneticPr fontId="2" type="noConversion"/>
  </si>
  <si>
    <t>전일 ISSUE 사항(24일)</t>
    <phoneticPr fontId="2" type="noConversion"/>
  </si>
  <si>
    <t>수리후양산-&gt;코아파손정지(3회진행)</t>
    <phoneticPr fontId="2" type="noConversion"/>
  </si>
  <si>
    <t>수리후양산</t>
    <phoneticPr fontId="2" type="noConversion"/>
  </si>
  <si>
    <t>LATCH</t>
    <phoneticPr fontId="2" type="noConversion"/>
  </si>
  <si>
    <t>발주분양산</t>
    <phoneticPr fontId="2" type="noConversion"/>
  </si>
  <si>
    <t>MCS</t>
    <phoneticPr fontId="2" type="noConversion"/>
  </si>
  <si>
    <t>STOPPER</t>
    <phoneticPr fontId="2" type="noConversion"/>
  </si>
  <si>
    <t>AMB0221A-KAA-R1</t>
    <phoneticPr fontId="2" type="noConversion"/>
  </si>
  <si>
    <t>발주분양산-&gt;가스정지</t>
    <phoneticPr fontId="2" type="noConversion"/>
  </si>
  <si>
    <t>B/LOCKER</t>
    <phoneticPr fontId="2" type="noConversion"/>
  </si>
  <si>
    <t>G3-M-02A/03A</t>
    <phoneticPr fontId="2" type="noConversion"/>
  </si>
  <si>
    <t>발주분양산-&gt;슬라이드파손정지</t>
    <phoneticPr fontId="2" type="noConversion"/>
  </si>
  <si>
    <t>당일 진행 사항(27일)</t>
    <phoneticPr fontId="2" type="noConversion"/>
  </si>
  <si>
    <t>AMB0221A-KAA-R1</t>
    <phoneticPr fontId="2" type="noConversion"/>
  </si>
  <si>
    <t>세척후양산</t>
    <phoneticPr fontId="2" type="noConversion"/>
  </si>
  <si>
    <t>MCS</t>
    <phoneticPr fontId="2" type="noConversion"/>
  </si>
  <si>
    <t>13</t>
    <phoneticPr fontId="2" type="noConversion"/>
  </si>
  <si>
    <t>AMB0125A-KAA-R1</t>
    <phoneticPr fontId="2" type="noConversion"/>
  </si>
  <si>
    <t>발주분양산</t>
    <phoneticPr fontId="2" type="noConversion"/>
  </si>
  <si>
    <t>BODY</t>
    <phoneticPr fontId="2" type="noConversion"/>
  </si>
  <si>
    <t>AM0148E-K-R1</t>
    <phoneticPr fontId="2" type="noConversion"/>
  </si>
  <si>
    <t>AMB2071A-KAA-R1</t>
    <phoneticPr fontId="2" type="noConversion"/>
  </si>
  <si>
    <t>12</t>
    <phoneticPr fontId="2" type="noConversion"/>
  </si>
  <si>
    <t>F/ADAPTER</t>
    <phoneticPr fontId="2" type="noConversion"/>
  </si>
  <si>
    <t>SLIDER</t>
    <phoneticPr fontId="2" type="noConversion"/>
  </si>
  <si>
    <t>SAMPLE 진행 사항(24일)</t>
    <phoneticPr fontId="2" type="noConversion"/>
  </si>
  <si>
    <t>SLIDER</t>
    <phoneticPr fontId="2" type="noConversion"/>
  </si>
  <si>
    <t>KR6197-A221XX</t>
    <phoneticPr fontId="2" type="noConversion"/>
  </si>
  <si>
    <t>SGF2052</t>
    <phoneticPr fontId="2" type="noConversion"/>
  </si>
  <si>
    <t>수정전</t>
    <phoneticPr fontId="2" type="noConversion"/>
  </si>
  <si>
    <t>수정후</t>
    <phoneticPr fontId="2" type="noConversion"/>
  </si>
  <si>
    <t>AM0148A-K-R2</t>
    <phoneticPr fontId="2" type="noConversion"/>
  </si>
  <si>
    <t>수정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</si>
  <si>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</si>
  <si>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</si>
  <si>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2017년 02월 27일 일일생산현황</t>
    </r>
    <r>
      <rPr>
        <b/>
        <sz val="14"/>
        <color indexed="8"/>
        <rFont val="굴림체"/>
        <family val="3"/>
        <charset val="129"/>
      </rPr>
      <t>(28일(화) 09시 현재)</t>
    </r>
    <phoneticPr fontId="2" type="noConversion"/>
  </si>
  <si>
    <t>AM0148E-K-R2</t>
    <phoneticPr fontId="2" type="noConversion"/>
  </si>
  <si>
    <t>BASE</t>
    <phoneticPr fontId="2" type="noConversion"/>
  </si>
  <si>
    <t>AMM0821A-KAA-R3</t>
    <phoneticPr fontId="2" type="noConversion"/>
  </si>
  <si>
    <t>7301</t>
    <phoneticPr fontId="2" type="noConversion"/>
  </si>
  <si>
    <t>F/ADAPTER</t>
    <phoneticPr fontId="2" type="noConversion"/>
  </si>
  <si>
    <t>AMB2071A-KAA-R1</t>
    <phoneticPr fontId="2" type="noConversion"/>
  </si>
  <si>
    <t>AMB0125A-KAA-R1</t>
    <phoneticPr fontId="2" type="noConversion"/>
  </si>
  <si>
    <t>7301</t>
    <phoneticPr fontId="2" type="noConversion"/>
  </si>
  <si>
    <t>전일 ISSUE 사항(27일)</t>
    <phoneticPr fontId="2" type="noConversion"/>
  </si>
  <si>
    <t>수리후양산</t>
    <phoneticPr fontId="2" type="noConversion"/>
  </si>
  <si>
    <t>발주분양산-&gt;뜯김수리후양산</t>
    <phoneticPr fontId="2" type="noConversion"/>
  </si>
  <si>
    <t>발주분양산</t>
    <phoneticPr fontId="2" type="noConversion"/>
  </si>
  <si>
    <t>12</t>
    <phoneticPr fontId="2" type="noConversion"/>
  </si>
  <si>
    <t>F/ADAPTER</t>
    <phoneticPr fontId="2" type="noConversion"/>
  </si>
  <si>
    <t>발주분양산-&gt;오조립수리후양산</t>
    <phoneticPr fontId="2" type="noConversion"/>
  </si>
  <si>
    <t>당일 진행 사항(28일)</t>
    <phoneticPr fontId="2" type="noConversion"/>
  </si>
  <si>
    <t>AM0148E-K-R2</t>
    <phoneticPr fontId="2" type="noConversion"/>
  </si>
  <si>
    <t>승인후양산</t>
    <phoneticPr fontId="2" type="noConversion"/>
  </si>
  <si>
    <t>AMB1901D-JAA-R2</t>
    <phoneticPr fontId="2" type="noConversion"/>
  </si>
  <si>
    <t>13</t>
    <phoneticPr fontId="2" type="noConversion"/>
  </si>
  <si>
    <t>ACTUATOR</t>
    <phoneticPr fontId="2" type="noConversion"/>
  </si>
  <si>
    <t>발주분양산</t>
    <phoneticPr fontId="2" type="noConversion"/>
  </si>
  <si>
    <t>BODY</t>
    <phoneticPr fontId="2" type="noConversion"/>
  </si>
  <si>
    <t>AMB0114E-JAA-R2</t>
    <phoneticPr fontId="2" type="noConversion"/>
  </si>
  <si>
    <t>SAMPLE 진행 사항(27일)</t>
    <phoneticPr fontId="2" type="noConversion"/>
  </si>
  <si>
    <t>KR6414-A414XX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</si>
  <si>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</si>
  <si>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</si>
  <si>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2017년 02월 28일 일일생산현황</t>
    </r>
    <r>
      <rPr>
        <b/>
        <sz val="14"/>
        <color indexed="8"/>
        <rFont val="굴림체"/>
        <family val="3"/>
        <charset val="129"/>
      </rPr>
      <t>(01일(수) 09시 현재)</t>
    </r>
    <phoneticPr fontId="2" type="noConversion"/>
  </si>
  <si>
    <t>FLOAT</t>
    <phoneticPr fontId="2" type="noConversion"/>
  </si>
  <si>
    <t>K-JR01920-A414AWA</t>
    <phoneticPr fontId="2" type="noConversion"/>
  </si>
  <si>
    <t>STOPPER</t>
    <phoneticPr fontId="2" type="noConversion"/>
  </si>
  <si>
    <t>AMB0221A-KAA-R1</t>
    <phoneticPr fontId="2" type="noConversion"/>
  </si>
  <si>
    <t>BODY</t>
    <phoneticPr fontId="2" type="noConversion"/>
  </si>
  <si>
    <t>AMB0114E-JAA-R2</t>
    <phoneticPr fontId="2" type="noConversion"/>
  </si>
  <si>
    <t>SF2255</t>
    <phoneticPr fontId="2" type="noConversion"/>
  </si>
  <si>
    <t>ODT</t>
    <phoneticPr fontId="2" type="noConversion"/>
  </si>
  <si>
    <t>24V</t>
    <phoneticPr fontId="2" type="noConversion"/>
  </si>
  <si>
    <t>LEN2211</t>
    <phoneticPr fontId="2" type="noConversion"/>
  </si>
  <si>
    <t>ACTUATOR</t>
    <phoneticPr fontId="2" type="noConversion"/>
  </si>
  <si>
    <t>AMB1901D-JAA-R2</t>
    <phoneticPr fontId="2" type="noConversion"/>
  </si>
  <si>
    <t>전일 ISSUE 사항(28일)</t>
    <phoneticPr fontId="2" type="noConversion"/>
  </si>
  <si>
    <t>수리후양산-&gt;코아파손정지</t>
    <phoneticPr fontId="2" type="noConversion"/>
  </si>
  <si>
    <t>5</t>
    <phoneticPr fontId="2" type="noConversion"/>
  </si>
  <si>
    <t>AMB0221A-KAA-R1</t>
    <phoneticPr fontId="2" type="noConversion"/>
  </si>
  <si>
    <t>발주분양산</t>
    <phoneticPr fontId="2" type="noConversion"/>
  </si>
  <si>
    <t>SST</t>
    <phoneticPr fontId="2" type="noConversion"/>
  </si>
  <si>
    <t>14</t>
    <phoneticPr fontId="2" type="noConversion"/>
  </si>
  <si>
    <t>KR6197AB841CA</t>
    <phoneticPr fontId="2" type="noConversion"/>
  </si>
  <si>
    <t>세척후양산-&gt;코아파손정지</t>
    <phoneticPr fontId="2" type="noConversion"/>
  </si>
  <si>
    <t>BODY</t>
    <phoneticPr fontId="2" type="noConversion"/>
  </si>
  <si>
    <t>발주분양산-&gt;뜯김수리-&gt;코아파손정지</t>
    <phoneticPr fontId="2" type="noConversion"/>
  </si>
  <si>
    <t>LEAD GUIDE</t>
    <phoneticPr fontId="2" type="noConversion"/>
  </si>
  <si>
    <t>KR6197AF841UA</t>
    <phoneticPr fontId="2" type="noConversion"/>
  </si>
  <si>
    <t>세척후양산</t>
    <phoneticPr fontId="2" type="noConversion"/>
  </si>
  <si>
    <t>HICON</t>
    <phoneticPr fontId="2" type="noConversion"/>
  </si>
  <si>
    <t>7</t>
    <phoneticPr fontId="2" type="noConversion"/>
  </si>
  <si>
    <t>HINGE</t>
    <phoneticPr fontId="2" type="noConversion"/>
  </si>
  <si>
    <t>G3-M-02A/03A</t>
    <phoneticPr fontId="2" type="noConversion"/>
  </si>
  <si>
    <t>수리후양산</t>
    <phoneticPr fontId="2" type="noConversion"/>
  </si>
  <si>
    <t>ODT</t>
    <phoneticPr fontId="2" type="noConversion"/>
  </si>
  <si>
    <t>10</t>
    <phoneticPr fontId="2" type="noConversion"/>
  </si>
  <si>
    <t>SW-003073</t>
    <phoneticPr fontId="2" type="noConversion"/>
  </si>
  <si>
    <t>발주분양산-&gt;코아파손수리</t>
    <phoneticPr fontId="2" type="noConversion"/>
  </si>
  <si>
    <t>13</t>
    <phoneticPr fontId="2" type="noConversion"/>
  </si>
  <si>
    <t>ACTUATOR</t>
    <phoneticPr fontId="2" type="noConversion"/>
  </si>
  <si>
    <t>4</t>
    <phoneticPr fontId="2" type="noConversion"/>
  </si>
  <si>
    <t>발주분양산-&gt;HOOK박힘정지</t>
    <phoneticPr fontId="2" type="noConversion"/>
  </si>
  <si>
    <t>당일 진행 사항(01일)</t>
    <phoneticPr fontId="2" type="noConversion"/>
  </si>
  <si>
    <t>SST</t>
    <phoneticPr fontId="2" type="noConversion"/>
  </si>
  <si>
    <t>1</t>
    <phoneticPr fontId="2" type="noConversion"/>
  </si>
  <si>
    <t>STOPPER</t>
    <phoneticPr fontId="2" type="noConversion"/>
  </si>
  <si>
    <t>KR6197-D841PB</t>
    <phoneticPr fontId="2" type="noConversion"/>
  </si>
  <si>
    <t>FLOAT</t>
    <phoneticPr fontId="2" type="noConversion"/>
  </si>
  <si>
    <t>K-JR01920-A414AWA</t>
    <phoneticPr fontId="2" type="noConversion"/>
  </si>
  <si>
    <t>수리후양산</t>
    <phoneticPr fontId="2" type="noConversion"/>
  </si>
  <si>
    <t>K-JR01920-B414AZB</t>
    <phoneticPr fontId="2" type="noConversion"/>
  </si>
  <si>
    <t>6</t>
    <phoneticPr fontId="2" type="noConversion"/>
  </si>
  <si>
    <t>LEAD IN</t>
    <phoneticPr fontId="2" type="noConversion"/>
  </si>
  <si>
    <t>K-JR01920-M01ABA</t>
    <phoneticPr fontId="2" type="noConversion"/>
  </si>
  <si>
    <t>HOLDER</t>
    <phoneticPr fontId="2" type="noConversion"/>
  </si>
  <si>
    <t>K-JR01920-D432AZA</t>
    <phoneticPr fontId="2" type="noConversion"/>
  </si>
  <si>
    <t>MCS</t>
    <phoneticPr fontId="2" type="noConversion"/>
  </si>
  <si>
    <t>14</t>
    <phoneticPr fontId="2" type="noConversion"/>
  </si>
  <si>
    <t>BASE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</si>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</sst>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7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3" fillId="0" borderId="62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31" xfId="2" applyFont="1" applyBorder="1" applyAlignment="1">
      <alignment horizontal="center" vertical="center" shrinkToFit="1"/>
    </xf>
    <xf numFmtId="0" fontId="13" fillId="0" borderId="38" xfId="2" applyFont="1" applyBorder="1" applyAlignment="1">
      <alignment horizontal="center" vertical="center" shrinkToFit="1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42" fontId="15" fillId="0" borderId="3" xfId="7" applyFont="1" applyBorder="1" applyAlignment="1">
      <alignment horizontal="center" vertical="center"/>
    </xf>
    <xf numFmtId="0" fontId="15" fillId="0" borderId="3" xfId="2" applyFont="1" applyBorder="1" applyAlignment="1">
      <alignment horizontal="left" vertical="center"/>
    </xf>
    <xf numFmtId="0" fontId="15" fillId="0" borderId="7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2" fillId="0" borderId="20" xfId="2" applyFont="1" applyBorder="1" applyAlignment="1">
      <alignment horizontal="left" vertical="center"/>
    </xf>
    <xf numFmtId="0" fontId="12" fillId="0" borderId="30" xfId="2" applyFont="1" applyBorder="1" applyAlignment="1">
      <alignment horizontal="left" vertical="center"/>
    </xf>
    <xf numFmtId="0" fontId="13" fillId="0" borderId="5" xfId="2" applyFont="1" applyBorder="1" applyAlignment="1">
      <alignment horizontal="center" vertical="center" shrinkToFit="1"/>
    </xf>
    <xf numFmtId="0" fontId="13" fillId="0" borderId="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 shrinkToFit="1"/>
    </xf>
    <xf numFmtId="0" fontId="13" fillId="0" borderId="60" xfId="2" applyFont="1" applyBorder="1" applyAlignment="1">
      <alignment horizontal="center" vertical="center" shrinkToFit="1"/>
    </xf>
    <xf numFmtId="0" fontId="13" fillId="0" borderId="61" xfId="2" applyFont="1" applyBorder="1" applyAlignment="1">
      <alignment horizontal="center" vertical="center" shrinkToFit="1"/>
    </xf>
    <xf numFmtId="0" fontId="13" fillId="0" borderId="63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02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314496"/>
        <c:axId val="4095841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314496"/>
        <c:axId val="409584192"/>
      </c:lineChart>
      <c:catAx>
        <c:axId val="39031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409584192"/>
        <c:crosses val="autoZero"/>
        <c:auto val="1"/>
        <c:lblAlgn val="ctr"/>
        <c:lblOffset val="100"/>
        <c:noMultiLvlLbl val="0"/>
      </c:catAx>
      <c:valAx>
        <c:axId val="409584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031449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02</a:t>
            </a:r>
            <a:r>
              <a:rPr lang="ko-KR" altLang="en-US"/>
              <a:t>월 호기별 가동율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0.57344093683197195</c:v>
                </c:pt>
                <c:pt idx="1">
                  <c:v>0.39403016605690028</c:v>
                </c:pt>
                <c:pt idx="2">
                  <c:v>0.14559623863737284</c:v>
                </c:pt>
                <c:pt idx="3">
                  <c:v>0.40426329054493532</c:v>
                </c:pt>
                <c:pt idx="4">
                  <c:v>0.28825925345087378</c:v>
                </c:pt>
                <c:pt idx="5">
                  <c:v>0.2512664329868598</c:v>
                </c:pt>
                <c:pt idx="6">
                  <c:v>0.50099806067276731</c:v>
                </c:pt>
                <c:pt idx="7">
                  <c:v>0.4138841153581993</c:v>
                </c:pt>
                <c:pt idx="8">
                  <c:v>0.36689270915144728</c:v>
                </c:pt>
                <c:pt idx="9">
                  <c:v>0.1302883109158591</c:v>
                </c:pt>
                <c:pt idx="10">
                  <c:v>0.61220143170286623</c:v>
                </c:pt>
                <c:pt idx="11">
                  <c:v>0.19329997977866978</c:v>
                </c:pt>
                <c:pt idx="12">
                  <c:v>0.29277223072472119</c:v>
                </c:pt>
                <c:pt idx="13">
                  <c:v>0.43100241673335155</c:v>
                </c:pt>
                <c:pt idx="14">
                  <c:v>0.368995788345723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315520"/>
        <c:axId val="409586496"/>
      </c:barChart>
      <c:catAx>
        <c:axId val="390315520"/>
        <c:scaling>
          <c:orientation val="minMax"/>
        </c:scaling>
        <c:delete val="0"/>
        <c:axPos val="b"/>
        <c:majorTickMark val="out"/>
        <c:minorTickMark val="none"/>
        <c:tickLblPos val="nextTo"/>
        <c:crossAx val="409586496"/>
        <c:crosses val="autoZero"/>
        <c:auto val="1"/>
        <c:lblAlgn val="ctr"/>
        <c:lblOffset val="100"/>
        <c:noMultiLvlLbl val="0"/>
      </c:catAx>
      <c:valAx>
        <c:axId val="4095864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0315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0">
                  <c:v>11198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5902</c:v>
                </c:pt>
                <c:pt idx="6">
                  <c:v>3837</c:v>
                </c:pt>
                <c:pt idx="7">
                  <c:v>1346</c:v>
                </c:pt>
                <c:pt idx="10">
                  <c:v>3754</c:v>
                </c:pt>
                <c:pt idx="11">
                  <c:v>4858</c:v>
                </c:pt>
                <c:pt idx="12">
                  <c:v>2429</c:v>
                </c:pt>
                <c:pt idx="13">
                  <c:v>3131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11200</c:v>
                </c:pt>
                <c:pt idx="1">
                  <c:v>240</c:v>
                </c:pt>
                <c:pt idx="2">
                  <c:v>10610</c:v>
                </c:pt>
                <c:pt idx="3">
                  <c:v>5110</c:v>
                </c:pt>
                <c:pt idx="4">
                  <c:v>1122</c:v>
                </c:pt>
                <c:pt idx="5">
                  <c:v>5910</c:v>
                </c:pt>
                <c:pt idx="6">
                  <c:v>3840</c:v>
                </c:pt>
                <c:pt idx="7">
                  <c:v>1350</c:v>
                </c:pt>
                <c:pt idx="8">
                  <c:v>61</c:v>
                </c:pt>
                <c:pt idx="9">
                  <c:v>12430</c:v>
                </c:pt>
                <c:pt idx="10">
                  <c:v>3760</c:v>
                </c:pt>
                <c:pt idx="11">
                  <c:v>4860</c:v>
                </c:pt>
                <c:pt idx="12">
                  <c:v>2430</c:v>
                </c:pt>
                <c:pt idx="13">
                  <c:v>3140</c:v>
                </c:pt>
                <c:pt idx="14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18752"/>
        <c:axId val="409588224"/>
      </c:lineChart>
      <c:catAx>
        <c:axId val="4110187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09588224"/>
        <c:crosses val="autoZero"/>
        <c:auto val="1"/>
        <c:lblAlgn val="ctr"/>
        <c:lblOffset val="100"/>
        <c:noMultiLvlLbl val="0"/>
      </c:catAx>
      <c:valAx>
        <c:axId val="4095882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11018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100% 0% 0% 0% 0% 100% 83% 42% 0% 0% 75% 87% 54%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0.99982142857142853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0.99864636209813873</c:v>
                </c:pt>
                <c:pt idx="6">
                  <c:v>0.83268229166666674</c:v>
                </c:pt>
                <c:pt idx="7">
                  <c:v>0.41543209876543213</c:v>
                </c:pt>
                <c:pt idx="8">
                  <c:v>0</c:v>
                </c:pt>
                <c:pt idx="9">
                  <c:v>0</c:v>
                </c:pt>
                <c:pt idx="10">
                  <c:v>0.7488031914893617</c:v>
                </c:pt>
                <c:pt idx="11">
                  <c:v>0.87463991769547322</c:v>
                </c:pt>
                <c:pt idx="12">
                  <c:v>0.54144375857338811</c:v>
                </c:pt>
                <c:pt idx="13">
                  <c:v>0.87249203821656041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0.41893073913843004</c:v>
                </c:pt>
                <c:pt idx="1">
                  <c:v>0.41893073913843004</c:v>
                </c:pt>
                <c:pt idx="2">
                  <c:v>0.41893073913843004</c:v>
                </c:pt>
                <c:pt idx="3">
                  <c:v>0.41893073913843004</c:v>
                </c:pt>
                <c:pt idx="4">
                  <c:v>0.41893073913843004</c:v>
                </c:pt>
                <c:pt idx="5">
                  <c:v>0.41893073913843004</c:v>
                </c:pt>
                <c:pt idx="6">
                  <c:v>0.41893073913843004</c:v>
                </c:pt>
                <c:pt idx="7">
                  <c:v>0.41893073913843004</c:v>
                </c:pt>
                <c:pt idx="8">
                  <c:v>0.41893073913843004</c:v>
                </c:pt>
                <c:pt idx="9">
                  <c:v>0.41893073913843004</c:v>
                </c:pt>
                <c:pt idx="10">
                  <c:v>0.41893073913843004</c:v>
                </c:pt>
                <c:pt idx="11">
                  <c:v>0.41893073913843004</c:v>
                </c:pt>
                <c:pt idx="12">
                  <c:v>0.41893073913843004</c:v>
                </c:pt>
                <c:pt idx="13">
                  <c:v>0.41893073913843004</c:v>
                </c:pt>
                <c:pt idx="14">
                  <c:v>0.41893073913843004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20800"/>
        <c:axId val="409589952"/>
      </c:lineChart>
      <c:catAx>
        <c:axId val="41102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9589952"/>
        <c:crosses val="autoZero"/>
        <c:auto val="1"/>
        <c:lblAlgn val="ctr"/>
        <c:lblOffset val="100"/>
        <c:noMultiLvlLbl val="0"/>
      </c:catAx>
      <c:valAx>
        <c:axId val="409589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11020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0">
                  <c:v>11198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5902</c:v>
                </c:pt>
                <c:pt idx="6">
                  <c:v>3837</c:v>
                </c:pt>
                <c:pt idx="7">
                  <c:v>1346</c:v>
                </c:pt>
                <c:pt idx="10">
                  <c:v>3754</c:v>
                </c:pt>
                <c:pt idx="11">
                  <c:v>4858</c:v>
                </c:pt>
                <c:pt idx="12">
                  <c:v>2429</c:v>
                </c:pt>
                <c:pt idx="13">
                  <c:v>3131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11200</c:v>
                </c:pt>
                <c:pt idx="1">
                  <c:v>240</c:v>
                </c:pt>
                <c:pt idx="2">
                  <c:v>10610</c:v>
                </c:pt>
                <c:pt idx="3">
                  <c:v>5110</c:v>
                </c:pt>
                <c:pt idx="4">
                  <c:v>1122</c:v>
                </c:pt>
                <c:pt idx="5">
                  <c:v>5910</c:v>
                </c:pt>
                <c:pt idx="6">
                  <c:v>3840</c:v>
                </c:pt>
                <c:pt idx="7">
                  <c:v>1350</c:v>
                </c:pt>
                <c:pt idx="8">
                  <c:v>61</c:v>
                </c:pt>
                <c:pt idx="9">
                  <c:v>12430</c:v>
                </c:pt>
                <c:pt idx="10">
                  <c:v>3760</c:v>
                </c:pt>
                <c:pt idx="11">
                  <c:v>4860</c:v>
                </c:pt>
                <c:pt idx="12">
                  <c:v>2430</c:v>
                </c:pt>
                <c:pt idx="13">
                  <c:v>3140</c:v>
                </c:pt>
                <c:pt idx="14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815936"/>
        <c:axId val="296165952"/>
      </c:lineChart>
      <c:catAx>
        <c:axId val="4118159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6165952"/>
        <c:crosses val="autoZero"/>
        <c:auto val="1"/>
        <c:lblAlgn val="ctr"/>
        <c:lblOffset val="100"/>
        <c:noMultiLvlLbl val="0"/>
      </c:catAx>
      <c:valAx>
        <c:axId val="2961659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11815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100% 0% 0% 0% 0% 100% 83% 42% 0% 0% 75% 87% 54%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0.99982142857142853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0.99864636209813873</c:v>
                </c:pt>
                <c:pt idx="6">
                  <c:v>0.83268229166666674</c:v>
                </c:pt>
                <c:pt idx="7">
                  <c:v>0.41543209876543213</c:v>
                </c:pt>
                <c:pt idx="8">
                  <c:v>0</c:v>
                </c:pt>
                <c:pt idx="9">
                  <c:v>0</c:v>
                </c:pt>
                <c:pt idx="10">
                  <c:v>0.7488031914893617</c:v>
                </c:pt>
                <c:pt idx="11">
                  <c:v>0.87463991769547322</c:v>
                </c:pt>
                <c:pt idx="12">
                  <c:v>0.54144375857338811</c:v>
                </c:pt>
                <c:pt idx="13">
                  <c:v>0.87249203821656041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5"/>
                <c:pt idx="0">
                  <c:v>HOLDER</c:v>
                </c:pt>
                <c:pt idx="1">
                  <c:v>BRACKET</c:v>
                </c:pt>
                <c:pt idx="3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PlungeR2/PUSHER</c:v>
                </c:pt>
                <c:pt idx="8">
                  <c:v>BASE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0.41893073913843004</c:v>
                </c:pt>
                <c:pt idx="1">
                  <c:v>0.41893073913843004</c:v>
                </c:pt>
                <c:pt idx="2">
                  <c:v>0.41893073913843004</c:v>
                </c:pt>
                <c:pt idx="3">
                  <c:v>0.41893073913843004</c:v>
                </c:pt>
                <c:pt idx="4">
                  <c:v>0.41893073913843004</c:v>
                </c:pt>
                <c:pt idx="5">
                  <c:v>0.41893073913843004</c:v>
                </c:pt>
                <c:pt idx="6">
                  <c:v>0.41893073913843004</c:v>
                </c:pt>
                <c:pt idx="7">
                  <c:v>0.41893073913843004</c:v>
                </c:pt>
                <c:pt idx="8">
                  <c:v>0.41893073913843004</c:v>
                </c:pt>
                <c:pt idx="9">
                  <c:v>0.41893073913843004</c:v>
                </c:pt>
                <c:pt idx="10">
                  <c:v>0.41893073913843004</c:v>
                </c:pt>
                <c:pt idx="11">
                  <c:v>0.41893073913843004</c:v>
                </c:pt>
                <c:pt idx="12">
                  <c:v>0.41893073913843004</c:v>
                </c:pt>
                <c:pt idx="13">
                  <c:v>0.41893073913843004</c:v>
                </c:pt>
                <c:pt idx="14">
                  <c:v>0.41893073913843004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865344"/>
        <c:axId val="296167680"/>
      </c:lineChart>
      <c:catAx>
        <c:axId val="2478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6167680"/>
        <c:crosses val="autoZero"/>
        <c:auto val="1"/>
        <c:lblAlgn val="ctr"/>
        <c:lblOffset val="100"/>
        <c:noMultiLvlLbl val="0"/>
      </c:catAx>
      <c:valAx>
        <c:axId val="2961676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7865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816960"/>
        <c:axId val="2961699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816960"/>
        <c:axId val="296169984"/>
      </c:lineChart>
      <c:catAx>
        <c:axId val="411816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96169984"/>
        <c:crosses val="autoZero"/>
        <c:auto val="1"/>
        <c:lblAlgn val="ctr"/>
        <c:lblOffset val="100"/>
        <c:noMultiLvlLbl val="0"/>
      </c:catAx>
      <c:valAx>
        <c:axId val="296169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118169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18456</c:v>
                </c:pt>
                <c:pt idx="1">
                  <c:v>1026</c:v>
                </c:pt>
                <c:pt idx="2">
                  <c:v>0</c:v>
                </c:pt>
                <c:pt idx="3">
                  <c:v>0</c:v>
                </c:pt>
                <c:pt idx="4">
                  <c:v>758</c:v>
                </c:pt>
                <c:pt idx="5">
                  <c:v>1186</c:v>
                </c:pt>
                <c:pt idx="6">
                  <c:v>5775</c:v>
                </c:pt>
                <c:pt idx="7">
                  <c:v>5512</c:v>
                </c:pt>
                <c:pt idx="9">
                  <c:v>423</c:v>
                </c:pt>
                <c:pt idx="10">
                  <c:v>552</c:v>
                </c:pt>
                <c:pt idx="11">
                  <c:v>0</c:v>
                </c:pt>
                <c:pt idx="12">
                  <c:v>5488</c:v>
                </c:pt>
                <c:pt idx="13">
                  <c:v>6385</c:v>
                </c:pt>
                <c:pt idx="14">
                  <c:v>3843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18460</c:v>
                </c:pt>
                <c:pt idx="1">
                  <c:v>1030</c:v>
                </c:pt>
                <c:pt idx="2">
                  <c:v>10610</c:v>
                </c:pt>
                <c:pt idx="3">
                  <c:v>5110</c:v>
                </c:pt>
                <c:pt idx="4">
                  <c:v>760</c:v>
                </c:pt>
                <c:pt idx="5">
                  <c:v>1190</c:v>
                </c:pt>
                <c:pt idx="6">
                  <c:v>5780</c:v>
                </c:pt>
                <c:pt idx="7">
                  <c:v>5520</c:v>
                </c:pt>
                <c:pt idx="8">
                  <c:v>1350</c:v>
                </c:pt>
                <c:pt idx="9">
                  <c:v>430</c:v>
                </c:pt>
                <c:pt idx="10">
                  <c:v>552</c:v>
                </c:pt>
                <c:pt idx="11">
                  <c:v>12430</c:v>
                </c:pt>
                <c:pt idx="12">
                  <c:v>5490</c:v>
                </c:pt>
                <c:pt idx="13">
                  <c:v>6390</c:v>
                </c:pt>
                <c:pt idx="14">
                  <c:v>3850</c:v>
                </c:pt>
                <c:pt idx="15">
                  <c:v>3140</c:v>
                </c:pt>
                <c:pt idx="16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452608"/>
        <c:axId val="296172864"/>
      </c:lineChart>
      <c:catAx>
        <c:axId val="2964526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6172864"/>
        <c:crosses val="autoZero"/>
        <c:auto val="1"/>
        <c:lblAlgn val="ctr"/>
        <c:lblOffset val="100"/>
        <c:noMultiLvlLbl val="0"/>
      </c:catAx>
      <c:valAx>
        <c:axId val="296172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6452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"/>
                <c:pt idx="0">
                  <c:v>100% 29% 0% 0% 21% 29% 100% 100% 0% 33% 38% 0% 100% 100% 83%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0.99978331527627307</c:v>
                </c:pt>
                <c:pt idx="1">
                  <c:v>0.29053398058252428</c:v>
                </c:pt>
                <c:pt idx="2">
                  <c:v>0</c:v>
                </c:pt>
                <c:pt idx="3">
                  <c:v>0</c:v>
                </c:pt>
                <c:pt idx="4">
                  <c:v>0.20778508771929824</c:v>
                </c:pt>
                <c:pt idx="5">
                  <c:v>0.29068627450980394</c:v>
                </c:pt>
                <c:pt idx="6">
                  <c:v>0.99913494809688586</c:v>
                </c:pt>
                <c:pt idx="7">
                  <c:v>0.99855072463768113</c:v>
                </c:pt>
                <c:pt idx="8">
                  <c:v>0</c:v>
                </c:pt>
                <c:pt idx="9">
                  <c:v>0.32790697674418601</c:v>
                </c:pt>
                <c:pt idx="10">
                  <c:v>0.375</c:v>
                </c:pt>
                <c:pt idx="11">
                  <c:v>0</c:v>
                </c:pt>
                <c:pt idx="12">
                  <c:v>0.99963570127504553</c:v>
                </c:pt>
                <c:pt idx="13">
                  <c:v>0.99921752738654146</c:v>
                </c:pt>
                <c:pt idx="14">
                  <c:v>0.83181818181818179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0.48800351453642815</c:v>
                </c:pt>
                <c:pt idx="1">
                  <c:v>0.48800351453642815</c:v>
                </c:pt>
                <c:pt idx="2">
                  <c:v>0.48800351453642815</c:v>
                </c:pt>
                <c:pt idx="3">
                  <c:v>0.48800351453642815</c:v>
                </c:pt>
                <c:pt idx="4">
                  <c:v>0.48800351453642815</c:v>
                </c:pt>
                <c:pt idx="5">
                  <c:v>0.48800351453642815</c:v>
                </c:pt>
                <c:pt idx="6">
                  <c:v>0.48800351453642815</c:v>
                </c:pt>
                <c:pt idx="7">
                  <c:v>0.48800351453642815</c:v>
                </c:pt>
                <c:pt idx="8">
                  <c:v>0.48800351453642815</c:v>
                </c:pt>
                <c:pt idx="9">
                  <c:v>0.48800351453642815</c:v>
                </c:pt>
                <c:pt idx="10">
                  <c:v>0.48800351453642815</c:v>
                </c:pt>
                <c:pt idx="11">
                  <c:v>0.48800351453642815</c:v>
                </c:pt>
                <c:pt idx="12">
                  <c:v>0.48800351453642815</c:v>
                </c:pt>
                <c:pt idx="13">
                  <c:v>0.48800351453642815</c:v>
                </c:pt>
                <c:pt idx="14">
                  <c:v>0.48800351453642815</c:v>
                </c:pt>
                <c:pt idx="15">
                  <c:v>0.48800351453642815</c:v>
                </c:pt>
                <c:pt idx="16">
                  <c:v>0.48800351453642815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454656"/>
        <c:axId val="409715840"/>
      </c:lineChart>
      <c:catAx>
        <c:axId val="29645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9715840"/>
        <c:crosses val="autoZero"/>
        <c:auto val="1"/>
        <c:lblAlgn val="ctr"/>
        <c:lblOffset val="100"/>
        <c:noMultiLvlLbl val="0"/>
      </c:catAx>
      <c:valAx>
        <c:axId val="4097158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6454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'02'!$L$6:$L$22</c:f>
              <c:numCache>
                <c:formatCode>_(* #,##0_);_(* \(#,##0\);_(* "-"_);_(@_)</c:formatCode>
                <c:ptCount val="17"/>
                <c:pt idx="0">
                  <c:v>18456</c:v>
                </c:pt>
                <c:pt idx="1">
                  <c:v>1026</c:v>
                </c:pt>
                <c:pt idx="2">
                  <c:v>0</c:v>
                </c:pt>
                <c:pt idx="3">
                  <c:v>0</c:v>
                </c:pt>
                <c:pt idx="4">
                  <c:v>758</c:v>
                </c:pt>
                <c:pt idx="5">
                  <c:v>1186</c:v>
                </c:pt>
                <c:pt idx="6">
                  <c:v>5775</c:v>
                </c:pt>
                <c:pt idx="7">
                  <c:v>5512</c:v>
                </c:pt>
                <c:pt idx="9">
                  <c:v>423</c:v>
                </c:pt>
                <c:pt idx="10">
                  <c:v>552</c:v>
                </c:pt>
                <c:pt idx="11">
                  <c:v>0</c:v>
                </c:pt>
                <c:pt idx="12">
                  <c:v>5488</c:v>
                </c:pt>
                <c:pt idx="13">
                  <c:v>6385</c:v>
                </c:pt>
                <c:pt idx="14">
                  <c:v>3843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'02'!$J$6:$J$22</c:f>
              <c:numCache>
                <c:formatCode>_(* #,##0_);_(* \(#,##0\);_(* "-"_);_(@_)</c:formatCode>
                <c:ptCount val="17"/>
                <c:pt idx="0">
                  <c:v>18460</c:v>
                </c:pt>
                <c:pt idx="1">
                  <c:v>1030</c:v>
                </c:pt>
                <c:pt idx="2">
                  <c:v>10610</c:v>
                </c:pt>
                <c:pt idx="3">
                  <c:v>5110</c:v>
                </c:pt>
                <c:pt idx="4">
                  <c:v>760</c:v>
                </c:pt>
                <c:pt idx="5">
                  <c:v>1190</c:v>
                </c:pt>
                <c:pt idx="6">
                  <c:v>5780</c:v>
                </c:pt>
                <c:pt idx="7">
                  <c:v>5520</c:v>
                </c:pt>
                <c:pt idx="8">
                  <c:v>1350</c:v>
                </c:pt>
                <c:pt idx="9">
                  <c:v>430</c:v>
                </c:pt>
                <c:pt idx="10">
                  <c:v>552</c:v>
                </c:pt>
                <c:pt idx="11">
                  <c:v>12430</c:v>
                </c:pt>
                <c:pt idx="12">
                  <c:v>5490</c:v>
                </c:pt>
                <c:pt idx="13">
                  <c:v>6390</c:v>
                </c:pt>
                <c:pt idx="14">
                  <c:v>3850</c:v>
                </c:pt>
                <c:pt idx="15">
                  <c:v>3140</c:v>
                </c:pt>
                <c:pt idx="16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58336"/>
        <c:axId val="409718144"/>
      </c:lineChart>
      <c:catAx>
        <c:axId val="2813583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09718144"/>
        <c:crosses val="autoZero"/>
        <c:auto val="1"/>
        <c:lblAlgn val="ctr"/>
        <c:lblOffset val="100"/>
        <c:noMultiLvlLbl val="0"/>
      </c:catAx>
      <c:valAx>
        <c:axId val="4097181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1358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'02'!$AD$6:$AD$22</c:f>
              <c:strCache>
                <c:ptCount val="1"/>
                <c:pt idx="0">
                  <c:v>100% 29% 0% 0% 21% 29% 100% 100% 0% 33% 38% 0% 100% 100% 83%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'02'!$AD$6:$AD$22</c:f>
              <c:numCache>
                <c:formatCode>0%</c:formatCode>
                <c:ptCount val="17"/>
                <c:pt idx="0">
                  <c:v>0.99978331527627307</c:v>
                </c:pt>
                <c:pt idx="1">
                  <c:v>0.29053398058252428</c:v>
                </c:pt>
                <c:pt idx="2">
                  <c:v>0</c:v>
                </c:pt>
                <c:pt idx="3">
                  <c:v>0</c:v>
                </c:pt>
                <c:pt idx="4">
                  <c:v>0.20778508771929824</c:v>
                </c:pt>
                <c:pt idx="5">
                  <c:v>0.29068627450980394</c:v>
                </c:pt>
                <c:pt idx="6">
                  <c:v>0.99913494809688586</c:v>
                </c:pt>
                <c:pt idx="7">
                  <c:v>0.99855072463768113</c:v>
                </c:pt>
                <c:pt idx="8">
                  <c:v>0</c:v>
                </c:pt>
                <c:pt idx="9">
                  <c:v>0.32790697674418601</c:v>
                </c:pt>
                <c:pt idx="10">
                  <c:v>0.375</c:v>
                </c:pt>
                <c:pt idx="11">
                  <c:v>0</c:v>
                </c:pt>
                <c:pt idx="12">
                  <c:v>0.99963570127504553</c:v>
                </c:pt>
                <c:pt idx="13">
                  <c:v>0.99921752738654146</c:v>
                </c:pt>
                <c:pt idx="14">
                  <c:v>0.83181818181818179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'02'!$D$6:$D$22</c:f>
              <c:strCache>
                <c:ptCount val="17"/>
                <c:pt idx="0">
                  <c:v>HOLDER</c:v>
                </c:pt>
                <c:pt idx="1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LATCH</c:v>
                </c:pt>
                <c:pt idx="6">
                  <c:v>SLIDER</c:v>
                </c:pt>
                <c:pt idx="7">
                  <c:v>BASE</c:v>
                </c:pt>
                <c:pt idx="8">
                  <c:v>PlungeR2/PUSHER</c:v>
                </c:pt>
                <c:pt idx="9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STOPPER</c:v>
                </c:pt>
                <c:pt idx="13">
                  <c:v>IC GUIDE</c:v>
                </c:pt>
                <c:pt idx="14">
                  <c:v>SLIDER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'02'!$AE$6:$AE$22</c:f>
              <c:numCache>
                <c:formatCode>0%</c:formatCode>
                <c:ptCount val="17"/>
                <c:pt idx="0">
                  <c:v>0.48800351453642815</c:v>
                </c:pt>
                <c:pt idx="1">
                  <c:v>0.48800351453642815</c:v>
                </c:pt>
                <c:pt idx="2">
                  <c:v>0.48800351453642815</c:v>
                </c:pt>
                <c:pt idx="3">
                  <c:v>0.48800351453642815</c:v>
                </c:pt>
                <c:pt idx="4">
                  <c:v>0.48800351453642815</c:v>
                </c:pt>
                <c:pt idx="5">
                  <c:v>0.48800351453642815</c:v>
                </c:pt>
                <c:pt idx="6">
                  <c:v>0.48800351453642815</c:v>
                </c:pt>
                <c:pt idx="7">
                  <c:v>0.48800351453642815</c:v>
                </c:pt>
                <c:pt idx="8">
                  <c:v>0.48800351453642815</c:v>
                </c:pt>
                <c:pt idx="9">
                  <c:v>0.48800351453642815</c:v>
                </c:pt>
                <c:pt idx="10">
                  <c:v>0.48800351453642815</c:v>
                </c:pt>
                <c:pt idx="11">
                  <c:v>0.48800351453642815</c:v>
                </c:pt>
                <c:pt idx="12">
                  <c:v>0.48800351453642815</c:v>
                </c:pt>
                <c:pt idx="13">
                  <c:v>0.48800351453642815</c:v>
                </c:pt>
                <c:pt idx="14">
                  <c:v>0.48800351453642815</c:v>
                </c:pt>
                <c:pt idx="15">
                  <c:v>0.48800351453642815</c:v>
                </c:pt>
                <c:pt idx="16">
                  <c:v>0.48800351453642815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58848"/>
        <c:axId val="409719872"/>
      </c:lineChart>
      <c:catAx>
        <c:axId val="28135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9719872"/>
        <c:crosses val="autoZero"/>
        <c:auto val="1"/>
        <c:lblAlgn val="ctr"/>
        <c:lblOffset val="100"/>
        <c:noMultiLvlLbl val="0"/>
      </c:catAx>
      <c:valAx>
        <c:axId val="4097198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135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359360"/>
        <c:axId val="4097221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59360"/>
        <c:axId val="409722176"/>
      </c:lineChart>
      <c:catAx>
        <c:axId val="28135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409722176"/>
        <c:crosses val="autoZero"/>
        <c:auto val="1"/>
        <c:lblAlgn val="ctr"/>
        <c:lblOffset val="100"/>
        <c:noMultiLvlLbl val="0"/>
      </c:catAx>
      <c:valAx>
        <c:axId val="4097221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13593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0">
                  <c:v>3084</c:v>
                </c:pt>
                <c:pt idx="1">
                  <c:v>3543</c:v>
                </c:pt>
                <c:pt idx="4">
                  <c:v>2393</c:v>
                </c:pt>
                <c:pt idx="6">
                  <c:v>5723</c:v>
                </c:pt>
                <c:pt idx="7">
                  <c:v>4432</c:v>
                </c:pt>
                <c:pt idx="8">
                  <c:v>4480</c:v>
                </c:pt>
                <c:pt idx="10">
                  <c:v>23046</c:v>
                </c:pt>
                <c:pt idx="11">
                  <c:v>5482</c:v>
                </c:pt>
                <c:pt idx="12">
                  <c:v>2490</c:v>
                </c:pt>
                <c:pt idx="13">
                  <c:v>2267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18460</c:v>
                </c:pt>
                <c:pt idx="1">
                  <c:v>3550</c:v>
                </c:pt>
                <c:pt idx="2">
                  <c:v>1030</c:v>
                </c:pt>
                <c:pt idx="3">
                  <c:v>10610</c:v>
                </c:pt>
                <c:pt idx="4">
                  <c:v>2400</c:v>
                </c:pt>
                <c:pt idx="5">
                  <c:v>760</c:v>
                </c:pt>
                <c:pt idx="6">
                  <c:v>5730</c:v>
                </c:pt>
                <c:pt idx="7">
                  <c:v>4440</c:v>
                </c:pt>
                <c:pt idx="8">
                  <c:v>4480</c:v>
                </c:pt>
                <c:pt idx="9">
                  <c:v>430</c:v>
                </c:pt>
                <c:pt idx="10">
                  <c:v>23500</c:v>
                </c:pt>
                <c:pt idx="11">
                  <c:v>5490</c:v>
                </c:pt>
                <c:pt idx="12">
                  <c:v>2690</c:v>
                </c:pt>
                <c:pt idx="13">
                  <c:v>2270</c:v>
                </c:pt>
                <c:pt idx="14">
                  <c:v>3140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195008"/>
        <c:axId val="296569088"/>
      </c:lineChart>
      <c:catAx>
        <c:axId val="2971950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6569088"/>
        <c:crosses val="autoZero"/>
        <c:auto val="1"/>
        <c:lblAlgn val="ctr"/>
        <c:lblOffset val="100"/>
        <c:noMultiLvlLbl val="0"/>
      </c:catAx>
      <c:valAx>
        <c:axId val="2965690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7195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3% 71% 0% 0% 58% 0% 100% 100% 83% 0% 94% 100% 46% 42%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3.4804983748645719E-2</c:v>
                </c:pt>
                <c:pt idx="1">
                  <c:v>0.7069366197183099</c:v>
                </c:pt>
                <c:pt idx="2">
                  <c:v>0</c:v>
                </c:pt>
                <c:pt idx="3">
                  <c:v>0</c:v>
                </c:pt>
                <c:pt idx="4">
                  <c:v>0.58163194444444444</c:v>
                </c:pt>
                <c:pt idx="5">
                  <c:v>0</c:v>
                </c:pt>
                <c:pt idx="6">
                  <c:v>0.99877835951134375</c:v>
                </c:pt>
                <c:pt idx="7">
                  <c:v>0.99819819819819822</c:v>
                </c:pt>
                <c:pt idx="8">
                  <c:v>0.83333333333333337</c:v>
                </c:pt>
                <c:pt idx="9">
                  <c:v>0</c:v>
                </c:pt>
                <c:pt idx="10">
                  <c:v>0.93981914893617025</c:v>
                </c:pt>
                <c:pt idx="11">
                  <c:v>0.99854280510018212</c:v>
                </c:pt>
                <c:pt idx="12">
                  <c:v>0.46282527881040891</c:v>
                </c:pt>
                <c:pt idx="13">
                  <c:v>0.41611600587371511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0.4647324451783168</c:v>
                </c:pt>
                <c:pt idx="1">
                  <c:v>0.4647324451783168</c:v>
                </c:pt>
                <c:pt idx="2">
                  <c:v>0.4647324451783168</c:v>
                </c:pt>
                <c:pt idx="3">
                  <c:v>0.4647324451783168</c:v>
                </c:pt>
                <c:pt idx="4">
                  <c:v>0.4647324451783168</c:v>
                </c:pt>
                <c:pt idx="5">
                  <c:v>0.4647324451783168</c:v>
                </c:pt>
                <c:pt idx="6">
                  <c:v>0.4647324451783168</c:v>
                </c:pt>
                <c:pt idx="7">
                  <c:v>0.4647324451783168</c:v>
                </c:pt>
                <c:pt idx="8">
                  <c:v>0.4647324451783168</c:v>
                </c:pt>
                <c:pt idx="9">
                  <c:v>0.4647324451783168</c:v>
                </c:pt>
                <c:pt idx="10">
                  <c:v>0.4647324451783168</c:v>
                </c:pt>
                <c:pt idx="11">
                  <c:v>0.4647324451783168</c:v>
                </c:pt>
                <c:pt idx="12">
                  <c:v>0.4647324451783168</c:v>
                </c:pt>
                <c:pt idx="13">
                  <c:v>0.4647324451783168</c:v>
                </c:pt>
                <c:pt idx="14">
                  <c:v>0.4647324451783168</c:v>
                </c:pt>
                <c:pt idx="15">
                  <c:v>0.4647324451783168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196032"/>
        <c:axId val="296570816"/>
      </c:lineChart>
      <c:catAx>
        <c:axId val="29719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6570816"/>
        <c:crosses val="autoZero"/>
        <c:auto val="1"/>
        <c:lblAlgn val="ctr"/>
        <c:lblOffset val="100"/>
        <c:noMultiLvlLbl val="0"/>
      </c:catAx>
      <c:valAx>
        <c:axId val="2965708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7196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0">
                  <c:v>3084</c:v>
                </c:pt>
                <c:pt idx="1">
                  <c:v>3543</c:v>
                </c:pt>
                <c:pt idx="4">
                  <c:v>2393</c:v>
                </c:pt>
                <c:pt idx="6">
                  <c:v>5723</c:v>
                </c:pt>
                <c:pt idx="7">
                  <c:v>4432</c:v>
                </c:pt>
                <c:pt idx="8">
                  <c:v>4480</c:v>
                </c:pt>
                <c:pt idx="10">
                  <c:v>23046</c:v>
                </c:pt>
                <c:pt idx="11">
                  <c:v>5482</c:v>
                </c:pt>
                <c:pt idx="12">
                  <c:v>2490</c:v>
                </c:pt>
                <c:pt idx="13">
                  <c:v>2267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18460</c:v>
                </c:pt>
                <c:pt idx="1">
                  <c:v>3550</c:v>
                </c:pt>
                <c:pt idx="2">
                  <c:v>1030</c:v>
                </c:pt>
                <c:pt idx="3">
                  <c:v>10610</c:v>
                </c:pt>
                <c:pt idx="4">
                  <c:v>2400</c:v>
                </c:pt>
                <c:pt idx="5">
                  <c:v>760</c:v>
                </c:pt>
                <c:pt idx="6">
                  <c:v>5730</c:v>
                </c:pt>
                <c:pt idx="7">
                  <c:v>4440</c:v>
                </c:pt>
                <c:pt idx="8">
                  <c:v>4480</c:v>
                </c:pt>
                <c:pt idx="9">
                  <c:v>430</c:v>
                </c:pt>
                <c:pt idx="10">
                  <c:v>23500</c:v>
                </c:pt>
                <c:pt idx="11">
                  <c:v>5490</c:v>
                </c:pt>
                <c:pt idx="12">
                  <c:v>2690</c:v>
                </c:pt>
                <c:pt idx="13">
                  <c:v>2270</c:v>
                </c:pt>
                <c:pt idx="14">
                  <c:v>3140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79776"/>
        <c:axId val="296573120"/>
      </c:lineChart>
      <c:catAx>
        <c:axId val="296779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6573120"/>
        <c:crosses val="autoZero"/>
        <c:auto val="1"/>
        <c:lblAlgn val="ctr"/>
        <c:lblOffset val="100"/>
        <c:noMultiLvlLbl val="0"/>
      </c:catAx>
      <c:valAx>
        <c:axId val="2965731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6779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3% 71% 0% 0% 58% 0% 100% 100% 83% 0% 94% 100% 46% 42%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3.4804983748645719E-2</c:v>
                </c:pt>
                <c:pt idx="1">
                  <c:v>0.7069366197183099</c:v>
                </c:pt>
                <c:pt idx="2">
                  <c:v>0</c:v>
                </c:pt>
                <c:pt idx="3">
                  <c:v>0</c:v>
                </c:pt>
                <c:pt idx="4">
                  <c:v>0.58163194444444444</c:v>
                </c:pt>
                <c:pt idx="5">
                  <c:v>0</c:v>
                </c:pt>
                <c:pt idx="6">
                  <c:v>0.99877835951134375</c:v>
                </c:pt>
                <c:pt idx="7">
                  <c:v>0.99819819819819822</c:v>
                </c:pt>
                <c:pt idx="8">
                  <c:v>0.83333333333333337</c:v>
                </c:pt>
                <c:pt idx="9">
                  <c:v>0</c:v>
                </c:pt>
                <c:pt idx="10">
                  <c:v>0.93981914893617025</c:v>
                </c:pt>
                <c:pt idx="11">
                  <c:v>0.99854280510018212</c:v>
                </c:pt>
                <c:pt idx="12">
                  <c:v>0.46282527881040891</c:v>
                </c:pt>
                <c:pt idx="13">
                  <c:v>0.41611600587371511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6"/>
                <c:pt idx="0">
                  <c:v>HOLDER</c:v>
                </c:pt>
                <c:pt idx="1">
                  <c:v>COVER</c:v>
                </c:pt>
                <c:pt idx="2">
                  <c:v>LEAD GUIDE</c:v>
                </c:pt>
                <c:pt idx="4">
                  <c:v>SLIDER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SLIDER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0.4647324451783168</c:v>
                </c:pt>
                <c:pt idx="1">
                  <c:v>0.4647324451783168</c:v>
                </c:pt>
                <c:pt idx="2">
                  <c:v>0.4647324451783168</c:v>
                </c:pt>
                <c:pt idx="3">
                  <c:v>0.4647324451783168</c:v>
                </c:pt>
                <c:pt idx="4">
                  <c:v>0.4647324451783168</c:v>
                </c:pt>
                <c:pt idx="5">
                  <c:v>0.4647324451783168</c:v>
                </c:pt>
                <c:pt idx="6">
                  <c:v>0.4647324451783168</c:v>
                </c:pt>
                <c:pt idx="7">
                  <c:v>0.4647324451783168</c:v>
                </c:pt>
                <c:pt idx="8">
                  <c:v>0.4647324451783168</c:v>
                </c:pt>
                <c:pt idx="9">
                  <c:v>0.4647324451783168</c:v>
                </c:pt>
                <c:pt idx="10">
                  <c:v>0.4647324451783168</c:v>
                </c:pt>
                <c:pt idx="11">
                  <c:v>0.4647324451783168</c:v>
                </c:pt>
                <c:pt idx="12">
                  <c:v>0.4647324451783168</c:v>
                </c:pt>
                <c:pt idx="13">
                  <c:v>0.4647324451783168</c:v>
                </c:pt>
                <c:pt idx="14">
                  <c:v>0.4647324451783168</c:v>
                </c:pt>
                <c:pt idx="15">
                  <c:v>0.4647324451783168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81312"/>
        <c:axId val="409632768"/>
      </c:lineChart>
      <c:catAx>
        <c:axId val="29678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9632768"/>
        <c:crosses val="autoZero"/>
        <c:auto val="1"/>
        <c:lblAlgn val="ctr"/>
        <c:lblOffset val="100"/>
        <c:noMultiLvlLbl val="0"/>
      </c:catAx>
      <c:valAx>
        <c:axId val="4096327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678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781824"/>
        <c:axId val="40963507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81824"/>
        <c:axId val="409635072"/>
      </c:lineChart>
      <c:catAx>
        <c:axId val="29678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409635072"/>
        <c:crosses val="autoZero"/>
        <c:auto val="1"/>
        <c:lblAlgn val="ctr"/>
        <c:lblOffset val="100"/>
        <c:noMultiLvlLbl val="0"/>
      </c:catAx>
      <c:valAx>
        <c:axId val="4096350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67818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4332</c:v>
                </c:pt>
                <c:pt idx="3">
                  <c:v>5101</c:v>
                </c:pt>
                <c:pt idx="4">
                  <c:v>1177</c:v>
                </c:pt>
                <c:pt idx="5">
                  <c:v>3895</c:v>
                </c:pt>
                <c:pt idx="6">
                  <c:v>9996</c:v>
                </c:pt>
                <c:pt idx="7">
                  <c:v>1541</c:v>
                </c:pt>
                <c:pt idx="8">
                  <c:v>258</c:v>
                </c:pt>
                <c:pt idx="9">
                  <c:v>22200</c:v>
                </c:pt>
                <c:pt idx="10">
                  <c:v>3769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4340</c:v>
                </c:pt>
                <c:pt idx="1">
                  <c:v>1030</c:v>
                </c:pt>
                <c:pt idx="2">
                  <c:v>10610</c:v>
                </c:pt>
                <c:pt idx="3">
                  <c:v>5101</c:v>
                </c:pt>
                <c:pt idx="4">
                  <c:v>1180</c:v>
                </c:pt>
                <c:pt idx="5">
                  <c:v>3900</c:v>
                </c:pt>
                <c:pt idx="6">
                  <c:v>10000</c:v>
                </c:pt>
                <c:pt idx="7">
                  <c:v>1550</c:v>
                </c:pt>
                <c:pt idx="8">
                  <c:v>260</c:v>
                </c:pt>
                <c:pt idx="9">
                  <c:v>22200</c:v>
                </c:pt>
                <c:pt idx="10">
                  <c:v>3800</c:v>
                </c:pt>
                <c:pt idx="11">
                  <c:v>2690</c:v>
                </c:pt>
                <c:pt idx="12">
                  <c:v>2270</c:v>
                </c:pt>
                <c:pt idx="13">
                  <c:v>3140</c:v>
                </c:pt>
                <c:pt idx="14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866176"/>
        <c:axId val="409637952"/>
      </c:lineChart>
      <c:catAx>
        <c:axId val="2988661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09637952"/>
        <c:crosses val="autoZero"/>
        <c:auto val="1"/>
        <c:lblAlgn val="ctr"/>
        <c:lblOffset val="100"/>
        <c:noMultiLvlLbl val="0"/>
      </c:catAx>
      <c:valAx>
        <c:axId val="4096379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8866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96% 0% 0% 96% 33% 75% 96% 37% 21% 96% 79%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0.95656682027649764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0.33248587570621468</c:v>
                </c:pt>
                <c:pt idx="5">
                  <c:v>0.74903846153846154</c:v>
                </c:pt>
                <c:pt idx="6">
                  <c:v>0.95795000000000008</c:v>
                </c:pt>
                <c:pt idx="7">
                  <c:v>0.37282258064516127</c:v>
                </c:pt>
                <c:pt idx="8">
                  <c:v>0.20673076923076925</c:v>
                </c:pt>
                <c:pt idx="9">
                  <c:v>0.95833333333333337</c:v>
                </c:pt>
                <c:pt idx="10">
                  <c:v>0.78520833333333329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0.41849796715980697</c:v>
                </c:pt>
                <c:pt idx="1">
                  <c:v>0.41849796715980697</c:v>
                </c:pt>
                <c:pt idx="2">
                  <c:v>0.41849796715980697</c:v>
                </c:pt>
                <c:pt idx="3">
                  <c:v>0.41849796715980697</c:v>
                </c:pt>
                <c:pt idx="4">
                  <c:v>0.41849796715980697</c:v>
                </c:pt>
                <c:pt idx="5">
                  <c:v>0.41849796715980697</c:v>
                </c:pt>
                <c:pt idx="6">
                  <c:v>0.41849796715980697</c:v>
                </c:pt>
                <c:pt idx="7">
                  <c:v>0.41849796715980697</c:v>
                </c:pt>
                <c:pt idx="8">
                  <c:v>0.41849796715980697</c:v>
                </c:pt>
                <c:pt idx="9">
                  <c:v>0.41849796715980697</c:v>
                </c:pt>
                <c:pt idx="10">
                  <c:v>0.41849796715980697</c:v>
                </c:pt>
                <c:pt idx="11">
                  <c:v>0.41849796715980697</c:v>
                </c:pt>
                <c:pt idx="12">
                  <c:v>0.41849796715980697</c:v>
                </c:pt>
                <c:pt idx="13">
                  <c:v>0.41849796715980697</c:v>
                </c:pt>
                <c:pt idx="14">
                  <c:v>0.41849796715980697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06592"/>
        <c:axId val="409639680"/>
      </c:lineChart>
      <c:catAx>
        <c:axId val="29860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9639680"/>
        <c:crosses val="autoZero"/>
        <c:auto val="1"/>
        <c:lblAlgn val="ctr"/>
        <c:lblOffset val="100"/>
        <c:noMultiLvlLbl val="0"/>
      </c:catAx>
      <c:valAx>
        <c:axId val="4096396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8606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4332</c:v>
                </c:pt>
                <c:pt idx="3">
                  <c:v>5101</c:v>
                </c:pt>
                <c:pt idx="4">
                  <c:v>1177</c:v>
                </c:pt>
                <c:pt idx="5">
                  <c:v>3895</c:v>
                </c:pt>
                <c:pt idx="6">
                  <c:v>9996</c:v>
                </c:pt>
                <c:pt idx="7">
                  <c:v>1541</c:v>
                </c:pt>
                <c:pt idx="8">
                  <c:v>258</c:v>
                </c:pt>
                <c:pt idx="9">
                  <c:v>22200</c:v>
                </c:pt>
                <c:pt idx="10">
                  <c:v>3769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4340</c:v>
                </c:pt>
                <c:pt idx="1">
                  <c:v>1030</c:v>
                </c:pt>
                <c:pt idx="2">
                  <c:v>10610</c:v>
                </c:pt>
                <c:pt idx="3">
                  <c:v>5101</c:v>
                </c:pt>
                <c:pt idx="4">
                  <c:v>1180</c:v>
                </c:pt>
                <c:pt idx="5">
                  <c:v>3900</c:v>
                </c:pt>
                <c:pt idx="6">
                  <c:v>10000</c:v>
                </c:pt>
                <c:pt idx="7">
                  <c:v>1550</c:v>
                </c:pt>
                <c:pt idx="8">
                  <c:v>260</c:v>
                </c:pt>
                <c:pt idx="9">
                  <c:v>22200</c:v>
                </c:pt>
                <c:pt idx="10">
                  <c:v>3800</c:v>
                </c:pt>
                <c:pt idx="11">
                  <c:v>2690</c:v>
                </c:pt>
                <c:pt idx="12">
                  <c:v>2270</c:v>
                </c:pt>
                <c:pt idx="13">
                  <c:v>3140</c:v>
                </c:pt>
                <c:pt idx="14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07104"/>
        <c:axId val="297092224"/>
      </c:lineChart>
      <c:catAx>
        <c:axId val="2986071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7092224"/>
        <c:crosses val="autoZero"/>
        <c:auto val="1"/>
        <c:lblAlgn val="ctr"/>
        <c:lblOffset val="100"/>
        <c:noMultiLvlLbl val="0"/>
      </c:catAx>
      <c:valAx>
        <c:axId val="2970922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860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96% 0% 0% 96% 33% 75% 96% 37% 21% 96% 79% 0% 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0.95656682027649764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0.33248587570621468</c:v>
                </c:pt>
                <c:pt idx="5">
                  <c:v>0.74903846153846154</c:v>
                </c:pt>
                <c:pt idx="6">
                  <c:v>0.95795000000000008</c:v>
                </c:pt>
                <c:pt idx="7">
                  <c:v>0.37282258064516127</c:v>
                </c:pt>
                <c:pt idx="8">
                  <c:v>0.20673076923076925</c:v>
                </c:pt>
                <c:pt idx="9">
                  <c:v>0.95833333333333337</c:v>
                </c:pt>
                <c:pt idx="10">
                  <c:v>0.78520833333333329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5"/>
                <c:pt idx="0">
                  <c:v>COVER</c:v>
                </c:pt>
                <c:pt idx="1">
                  <c:v>LEAD GUIDE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DETECTOR</c:v>
                </c:pt>
                <c:pt idx="10">
                  <c:v>STOPPER</c:v>
                </c:pt>
                <c:pt idx="11">
                  <c:v>IC GUIDE</c:v>
                </c:pt>
                <c:pt idx="12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0.41849796715980697</c:v>
                </c:pt>
                <c:pt idx="1">
                  <c:v>0.41849796715980697</c:v>
                </c:pt>
                <c:pt idx="2">
                  <c:v>0.41849796715980697</c:v>
                </c:pt>
                <c:pt idx="3">
                  <c:v>0.41849796715980697</c:v>
                </c:pt>
                <c:pt idx="4">
                  <c:v>0.41849796715980697</c:v>
                </c:pt>
                <c:pt idx="5">
                  <c:v>0.41849796715980697</c:v>
                </c:pt>
                <c:pt idx="6">
                  <c:v>0.41849796715980697</c:v>
                </c:pt>
                <c:pt idx="7">
                  <c:v>0.41849796715980697</c:v>
                </c:pt>
                <c:pt idx="8">
                  <c:v>0.41849796715980697</c:v>
                </c:pt>
                <c:pt idx="9">
                  <c:v>0.41849796715980697</c:v>
                </c:pt>
                <c:pt idx="10">
                  <c:v>0.41849796715980697</c:v>
                </c:pt>
                <c:pt idx="11">
                  <c:v>0.41849796715980697</c:v>
                </c:pt>
                <c:pt idx="12">
                  <c:v>0.41849796715980697</c:v>
                </c:pt>
                <c:pt idx="13">
                  <c:v>0.41849796715980697</c:v>
                </c:pt>
                <c:pt idx="14">
                  <c:v>0.41849796715980697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08128"/>
        <c:axId val="297093952"/>
      </c:lineChart>
      <c:catAx>
        <c:axId val="29860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7093952"/>
        <c:crosses val="autoZero"/>
        <c:auto val="1"/>
        <c:lblAlgn val="ctr"/>
        <c:lblOffset val="100"/>
        <c:noMultiLvlLbl val="0"/>
      </c:catAx>
      <c:valAx>
        <c:axId val="297093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8608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608640"/>
        <c:axId val="2970962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08640"/>
        <c:axId val="297096256"/>
      </c:lineChart>
      <c:catAx>
        <c:axId val="29860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97096256"/>
        <c:crosses val="autoZero"/>
        <c:auto val="1"/>
        <c:lblAlgn val="ctr"/>
        <c:lblOffset val="100"/>
        <c:noMultiLvlLbl val="0"/>
      </c:catAx>
      <c:valAx>
        <c:axId val="2970962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86086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4821</c:v>
                </c:pt>
                <c:pt idx="1">
                  <c:v>509</c:v>
                </c:pt>
                <c:pt idx="3">
                  <c:v>5678</c:v>
                </c:pt>
                <c:pt idx="4">
                  <c:v>0</c:v>
                </c:pt>
                <c:pt idx="5">
                  <c:v>1100</c:v>
                </c:pt>
                <c:pt idx="6">
                  <c:v>4062</c:v>
                </c:pt>
                <c:pt idx="7">
                  <c:v>9154</c:v>
                </c:pt>
                <c:pt idx="8">
                  <c:v>4152</c:v>
                </c:pt>
                <c:pt idx="10">
                  <c:v>25068</c:v>
                </c:pt>
                <c:pt idx="11">
                  <c:v>3476</c:v>
                </c:pt>
                <c:pt idx="13">
                  <c:v>2460</c:v>
                </c:pt>
                <c:pt idx="14">
                  <c:v>3051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4830</c:v>
                </c:pt>
                <c:pt idx="1">
                  <c:v>510</c:v>
                </c:pt>
                <c:pt idx="2">
                  <c:v>10610</c:v>
                </c:pt>
                <c:pt idx="3">
                  <c:v>5680</c:v>
                </c:pt>
                <c:pt idx="4">
                  <c:v>1180</c:v>
                </c:pt>
                <c:pt idx="5">
                  <c:v>1100</c:v>
                </c:pt>
                <c:pt idx="6">
                  <c:v>4070</c:v>
                </c:pt>
                <c:pt idx="7">
                  <c:v>9160</c:v>
                </c:pt>
                <c:pt idx="8">
                  <c:v>4160</c:v>
                </c:pt>
                <c:pt idx="9">
                  <c:v>260</c:v>
                </c:pt>
                <c:pt idx="10">
                  <c:v>25070</c:v>
                </c:pt>
                <c:pt idx="11">
                  <c:v>3480</c:v>
                </c:pt>
                <c:pt idx="12">
                  <c:v>2690</c:v>
                </c:pt>
                <c:pt idx="13">
                  <c:v>2460</c:v>
                </c:pt>
                <c:pt idx="14">
                  <c:v>3060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346496"/>
        <c:axId val="299008000"/>
      </c:lineChart>
      <c:catAx>
        <c:axId val="2983464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9008000"/>
        <c:crosses val="autoZero"/>
        <c:auto val="1"/>
        <c:lblAlgn val="ctr"/>
        <c:lblOffset val="100"/>
        <c:noMultiLvlLbl val="0"/>
      </c:catAx>
      <c:valAx>
        <c:axId val="2990080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8346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"/>
                <c:pt idx="0">
                  <c:v>100% 21% 0% 100% 0% 25% 71% 79% 75% 0% 100% 71% 0% 58% 66%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0.99813664596273288</c:v>
                </c:pt>
                <c:pt idx="1">
                  <c:v>0.2079248366013072</c:v>
                </c:pt>
                <c:pt idx="2">
                  <c:v>0</c:v>
                </c:pt>
                <c:pt idx="3">
                  <c:v>0.99964788732394361</c:v>
                </c:pt>
                <c:pt idx="4">
                  <c:v>0</c:v>
                </c:pt>
                <c:pt idx="5">
                  <c:v>0.25</c:v>
                </c:pt>
                <c:pt idx="6">
                  <c:v>0.70694103194103197</c:v>
                </c:pt>
                <c:pt idx="7">
                  <c:v>0.79114810771470157</c:v>
                </c:pt>
                <c:pt idx="8">
                  <c:v>0.74855769230769231</c:v>
                </c:pt>
                <c:pt idx="9">
                  <c:v>0</c:v>
                </c:pt>
                <c:pt idx="10">
                  <c:v>0.99992022337455122</c:v>
                </c:pt>
                <c:pt idx="11">
                  <c:v>0.70751915708812263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0.66470588235294115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0.5105223198666905</c:v>
                </c:pt>
                <c:pt idx="1">
                  <c:v>0.5105223198666905</c:v>
                </c:pt>
                <c:pt idx="2">
                  <c:v>0.5105223198666905</c:v>
                </c:pt>
                <c:pt idx="3">
                  <c:v>0.5105223198666905</c:v>
                </c:pt>
                <c:pt idx="4">
                  <c:v>0.5105223198666905</c:v>
                </c:pt>
                <c:pt idx="5">
                  <c:v>0.5105223198666905</c:v>
                </c:pt>
                <c:pt idx="6">
                  <c:v>0.5105223198666905</c:v>
                </c:pt>
                <c:pt idx="7">
                  <c:v>0.5105223198666905</c:v>
                </c:pt>
                <c:pt idx="8">
                  <c:v>0.5105223198666905</c:v>
                </c:pt>
                <c:pt idx="9">
                  <c:v>0.5105223198666905</c:v>
                </c:pt>
                <c:pt idx="10">
                  <c:v>0.5105223198666905</c:v>
                </c:pt>
                <c:pt idx="11">
                  <c:v>0.5105223198666905</c:v>
                </c:pt>
                <c:pt idx="12">
                  <c:v>0.5105223198666905</c:v>
                </c:pt>
                <c:pt idx="13">
                  <c:v>0.5105223198666905</c:v>
                </c:pt>
                <c:pt idx="14">
                  <c:v>0.5105223198666905</c:v>
                </c:pt>
                <c:pt idx="15">
                  <c:v>0.5105223198666905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348032"/>
        <c:axId val="299009728"/>
      </c:lineChart>
      <c:catAx>
        <c:axId val="2983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9009728"/>
        <c:crosses val="autoZero"/>
        <c:auto val="1"/>
        <c:lblAlgn val="ctr"/>
        <c:lblOffset val="100"/>
        <c:noMultiLvlLbl val="0"/>
      </c:catAx>
      <c:valAx>
        <c:axId val="2990097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8348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4821</c:v>
                </c:pt>
                <c:pt idx="1">
                  <c:v>509</c:v>
                </c:pt>
                <c:pt idx="3">
                  <c:v>5678</c:v>
                </c:pt>
                <c:pt idx="4">
                  <c:v>0</c:v>
                </c:pt>
                <c:pt idx="5">
                  <c:v>1100</c:v>
                </c:pt>
                <c:pt idx="6">
                  <c:v>4062</c:v>
                </c:pt>
                <c:pt idx="7">
                  <c:v>9154</c:v>
                </c:pt>
                <c:pt idx="8">
                  <c:v>4152</c:v>
                </c:pt>
                <c:pt idx="10">
                  <c:v>25068</c:v>
                </c:pt>
                <c:pt idx="11">
                  <c:v>3476</c:v>
                </c:pt>
                <c:pt idx="13">
                  <c:v>2460</c:v>
                </c:pt>
                <c:pt idx="14">
                  <c:v>3051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4830</c:v>
                </c:pt>
                <c:pt idx="1">
                  <c:v>510</c:v>
                </c:pt>
                <c:pt idx="2">
                  <c:v>10610</c:v>
                </c:pt>
                <c:pt idx="3">
                  <c:v>5680</c:v>
                </c:pt>
                <c:pt idx="4">
                  <c:v>1180</c:v>
                </c:pt>
                <c:pt idx="5">
                  <c:v>1100</c:v>
                </c:pt>
                <c:pt idx="6">
                  <c:v>4070</c:v>
                </c:pt>
                <c:pt idx="7">
                  <c:v>9160</c:v>
                </c:pt>
                <c:pt idx="8">
                  <c:v>4160</c:v>
                </c:pt>
                <c:pt idx="9">
                  <c:v>260</c:v>
                </c:pt>
                <c:pt idx="10">
                  <c:v>25070</c:v>
                </c:pt>
                <c:pt idx="11">
                  <c:v>3480</c:v>
                </c:pt>
                <c:pt idx="12">
                  <c:v>2690</c:v>
                </c:pt>
                <c:pt idx="13">
                  <c:v>2460</c:v>
                </c:pt>
                <c:pt idx="14">
                  <c:v>3060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414080"/>
        <c:axId val="299012032"/>
      </c:lineChart>
      <c:catAx>
        <c:axId val="2984140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9012032"/>
        <c:crosses val="autoZero"/>
        <c:auto val="1"/>
        <c:lblAlgn val="ctr"/>
        <c:lblOffset val="100"/>
        <c:noMultiLvlLbl val="0"/>
      </c:catAx>
      <c:valAx>
        <c:axId val="299012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8414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"/>
                <c:pt idx="0">
                  <c:v>100% 21% 0% 100% 0% 25% 71% 79% 75% 0% 100% 71% 0% 58% 66%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0.99813664596273288</c:v>
                </c:pt>
                <c:pt idx="1">
                  <c:v>0.2079248366013072</c:v>
                </c:pt>
                <c:pt idx="2">
                  <c:v>0</c:v>
                </c:pt>
                <c:pt idx="3">
                  <c:v>0.99964788732394361</c:v>
                </c:pt>
                <c:pt idx="4">
                  <c:v>0</c:v>
                </c:pt>
                <c:pt idx="5">
                  <c:v>0.25</c:v>
                </c:pt>
                <c:pt idx="6">
                  <c:v>0.70694103194103197</c:v>
                </c:pt>
                <c:pt idx="7">
                  <c:v>0.79114810771470157</c:v>
                </c:pt>
                <c:pt idx="8">
                  <c:v>0.74855769230769231</c:v>
                </c:pt>
                <c:pt idx="9">
                  <c:v>0</c:v>
                </c:pt>
                <c:pt idx="10">
                  <c:v>0.99992022337455122</c:v>
                </c:pt>
                <c:pt idx="11">
                  <c:v>0.70751915708812263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0.66470588235294115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3">
                  <c:v>SLIDER</c:v>
                </c:pt>
                <c:pt idx="4">
                  <c:v>CLAMP</c:v>
                </c:pt>
                <c:pt idx="5">
                  <c:v>SLIDER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STOPPER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0.5105223198666905</c:v>
                </c:pt>
                <c:pt idx="1">
                  <c:v>0.5105223198666905</c:v>
                </c:pt>
                <c:pt idx="2">
                  <c:v>0.5105223198666905</c:v>
                </c:pt>
                <c:pt idx="3">
                  <c:v>0.5105223198666905</c:v>
                </c:pt>
                <c:pt idx="4">
                  <c:v>0.5105223198666905</c:v>
                </c:pt>
                <c:pt idx="5">
                  <c:v>0.5105223198666905</c:v>
                </c:pt>
                <c:pt idx="6">
                  <c:v>0.5105223198666905</c:v>
                </c:pt>
                <c:pt idx="7">
                  <c:v>0.5105223198666905</c:v>
                </c:pt>
                <c:pt idx="8">
                  <c:v>0.5105223198666905</c:v>
                </c:pt>
                <c:pt idx="9">
                  <c:v>0.5105223198666905</c:v>
                </c:pt>
                <c:pt idx="10">
                  <c:v>0.5105223198666905</c:v>
                </c:pt>
                <c:pt idx="11">
                  <c:v>0.5105223198666905</c:v>
                </c:pt>
                <c:pt idx="12">
                  <c:v>0.5105223198666905</c:v>
                </c:pt>
                <c:pt idx="13">
                  <c:v>0.5105223198666905</c:v>
                </c:pt>
                <c:pt idx="14">
                  <c:v>0.5105223198666905</c:v>
                </c:pt>
                <c:pt idx="15">
                  <c:v>0.5105223198666905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415104"/>
        <c:axId val="299013760"/>
      </c:lineChart>
      <c:catAx>
        <c:axId val="2984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9013760"/>
        <c:crosses val="autoZero"/>
        <c:auto val="1"/>
        <c:lblAlgn val="ctr"/>
        <c:lblOffset val="100"/>
        <c:noMultiLvlLbl val="0"/>
      </c:catAx>
      <c:valAx>
        <c:axId val="2990137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8415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416128"/>
        <c:axId val="2998927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416128"/>
        <c:axId val="299892736"/>
      </c:lineChart>
      <c:catAx>
        <c:axId val="29841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99892736"/>
        <c:crosses val="autoZero"/>
        <c:auto val="1"/>
        <c:lblAlgn val="ctr"/>
        <c:lblOffset val="100"/>
        <c:noMultiLvlLbl val="0"/>
      </c:catAx>
      <c:valAx>
        <c:axId val="2998927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84161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4818</c:v>
                </c:pt>
                <c:pt idx="1">
                  <c:v>545</c:v>
                </c:pt>
                <c:pt idx="2">
                  <c:v>10008</c:v>
                </c:pt>
                <c:pt idx="4">
                  <c:v>4139</c:v>
                </c:pt>
                <c:pt idx="6">
                  <c:v>5380</c:v>
                </c:pt>
                <c:pt idx="7">
                  <c:v>11168</c:v>
                </c:pt>
                <c:pt idx="8">
                  <c:v>6004</c:v>
                </c:pt>
                <c:pt idx="11">
                  <c:v>5518</c:v>
                </c:pt>
                <c:pt idx="13">
                  <c:v>4897</c:v>
                </c:pt>
                <c:pt idx="14">
                  <c:v>6098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4820</c:v>
                </c:pt>
                <c:pt idx="1">
                  <c:v>550</c:v>
                </c:pt>
                <c:pt idx="2">
                  <c:v>10010</c:v>
                </c:pt>
                <c:pt idx="3">
                  <c:v>10610</c:v>
                </c:pt>
                <c:pt idx="4">
                  <c:v>4140</c:v>
                </c:pt>
                <c:pt idx="5">
                  <c:v>1180</c:v>
                </c:pt>
                <c:pt idx="6">
                  <c:v>5380</c:v>
                </c:pt>
                <c:pt idx="7">
                  <c:v>11170</c:v>
                </c:pt>
                <c:pt idx="8">
                  <c:v>6010</c:v>
                </c:pt>
                <c:pt idx="9">
                  <c:v>260</c:v>
                </c:pt>
                <c:pt idx="10">
                  <c:v>25070</c:v>
                </c:pt>
                <c:pt idx="11">
                  <c:v>5520</c:v>
                </c:pt>
                <c:pt idx="12">
                  <c:v>2690</c:v>
                </c:pt>
                <c:pt idx="13">
                  <c:v>4900</c:v>
                </c:pt>
                <c:pt idx="14">
                  <c:v>6100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020224"/>
        <c:axId val="299895616"/>
      </c:lineChart>
      <c:catAx>
        <c:axId val="3000202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9895616"/>
        <c:crosses val="autoZero"/>
        <c:auto val="1"/>
        <c:lblAlgn val="ctr"/>
        <c:lblOffset val="100"/>
        <c:noMultiLvlLbl val="0"/>
      </c:catAx>
      <c:valAx>
        <c:axId val="299895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020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"/>
                <c:pt idx="0">
                  <c:v>100% 21% 54% 0% 83% 0% 100% 100% 100% 0% 0% 96% 0% 87%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0.9995850622406639</c:v>
                </c:pt>
                <c:pt idx="1">
                  <c:v>0.20643939393939395</c:v>
                </c:pt>
                <c:pt idx="2">
                  <c:v>0.54155844155844157</c:v>
                </c:pt>
                <c:pt idx="3">
                  <c:v>0</c:v>
                </c:pt>
                <c:pt idx="4">
                  <c:v>0.83313204508856686</c:v>
                </c:pt>
                <c:pt idx="5">
                  <c:v>0</c:v>
                </c:pt>
                <c:pt idx="6">
                  <c:v>1</c:v>
                </c:pt>
                <c:pt idx="7">
                  <c:v>0.99982094897045659</c:v>
                </c:pt>
                <c:pt idx="8">
                  <c:v>0.99900166389351086</c:v>
                </c:pt>
                <c:pt idx="9">
                  <c:v>0</c:v>
                </c:pt>
                <c:pt idx="10">
                  <c:v>0</c:v>
                </c:pt>
                <c:pt idx="11">
                  <c:v>0.9579861111111112</c:v>
                </c:pt>
                <c:pt idx="12">
                  <c:v>0</c:v>
                </c:pt>
                <c:pt idx="13">
                  <c:v>0.87446428571428569</c:v>
                </c:pt>
                <c:pt idx="14">
                  <c:v>0.99967213114754094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0.5607773389109314</c:v>
                </c:pt>
                <c:pt idx="1">
                  <c:v>0.5607773389109314</c:v>
                </c:pt>
                <c:pt idx="2">
                  <c:v>0.5607773389109314</c:v>
                </c:pt>
                <c:pt idx="3">
                  <c:v>0.5607773389109314</c:v>
                </c:pt>
                <c:pt idx="4">
                  <c:v>0.5607773389109314</c:v>
                </c:pt>
                <c:pt idx="5">
                  <c:v>0.5607773389109314</c:v>
                </c:pt>
                <c:pt idx="6">
                  <c:v>0.5607773389109314</c:v>
                </c:pt>
                <c:pt idx="7">
                  <c:v>0.5607773389109314</c:v>
                </c:pt>
                <c:pt idx="8">
                  <c:v>0.5607773389109314</c:v>
                </c:pt>
                <c:pt idx="9">
                  <c:v>0.5607773389109314</c:v>
                </c:pt>
                <c:pt idx="10">
                  <c:v>0.5607773389109314</c:v>
                </c:pt>
                <c:pt idx="11">
                  <c:v>0.5607773389109314</c:v>
                </c:pt>
                <c:pt idx="12">
                  <c:v>0.5607773389109314</c:v>
                </c:pt>
                <c:pt idx="13">
                  <c:v>0.5607773389109314</c:v>
                </c:pt>
                <c:pt idx="14">
                  <c:v>0.5607773389109314</c:v>
                </c:pt>
                <c:pt idx="15">
                  <c:v>0.5607773389109314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022272"/>
        <c:axId val="299897344"/>
      </c:lineChart>
      <c:catAx>
        <c:axId val="30002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9897344"/>
        <c:crosses val="autoZero"/>
        <c:auto val="1"/>
        <c:lblAlgn val="ctr"/>
        <c:lblOffset val="100"/>
        <c:noMultiLvlLbl val="0"/>
      </c:catAx>
      <c:valAx>
        <c:axId val="2998973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0022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4818</c:v>
                </c:pt>
                <c:pt idx="1">
                  <c:v>545</c:v>
                </c:pt>
                <c:pt idx="2">
                  <c:v>10008</c:v>
                </c:pt>
                <c:pt idx="4">
                  <c:v>4139</c:v>
                </c:pt>
                <c:pt idx="6">
                  <c:v>5380</c:v>
                </c:pt>
                <c:pt idx="7">
                  <c:v>11168</c:v>
                </c:pt>
                <c:pt idx="8">
                  <c:v>6004</c:v>
                </c:pt>
                <c:pt idx="11">
                  <c:v>5518</c:v>
                </c:pt>
                <c:pt idx="13">
                  <c:v>4897</c:v>
                </c:pt>
                <c:pt idx="14">
                  <c:v>6098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4820</c:v>
                </c:pt>
                <c:pt idx="1">
                  <c:v>550</c:v>
                </c:pt>
                <c:pt idx="2">
                  <c:v>10010</c:v>
                </c:pt>
                <c:pt idx="3">
                  <c:v>10610</c:v>
                </c:pt>
                <c:pt idx="4">
                  <c:v>4140</c:v>
                </c:pt>
                <c:pt idx="5">
                  <c:v>1180</c:v>
                </c:pt>
                <c:pt idx="6">
                  <c:v>5380</c:v>
                </c:pt>
                <c:pt idx="7">
                  <c:v>11170</c:v>
                </c:pt>
                <c:pt idx="8">
                  <c:v>6010</c:v>
                </c:pt>
                <c:pt idx="9">
                  <c:v>260</c:v>
                </c:pt>
                <c:pt idx="10">
                  <c:v>25070</c:v>
                </c:pt>
                <c:pt idx="11">
                  <c:v>5520</c:v>
                </c:pt>
                <c:pt idx="12">
                  <c:v>2690</c:v>
                </c:pt>
                <c:pt idx="13">
                  <c:v>4900</c:v>
                </c:pt>
                <c:pt idx="14">
                  <c:v>6100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728896"/>
        <c:axId val="299899648"/>
      </c:lineChart>
      <c:catAx>
        <c:axId val="2997288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9899648"/>
        <c:crosses val="autoZero"/>
        <c:auto val="1"/>
        <c:lblAlgn val="ctr"/>
        <c:lblOffset val="100"/>
        <c:noMultiLvlLbl val="0"/>
      </c:catAx>
      <c:valAx>
        <c:axId val="299899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9728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"/>
                <c:pt idx="0">
                  <c:v>100% 21% 54% 0% 83% 0% 100% 100% 100% 0% 0% 96% 0% 87%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0.9995850622406639</c:v>
                </c:pt>
                <c:pt idx="1">
                  <c:v>0.20643939393939395</c:v>
                </c:pt>
                <c:pt idx="2">
                  <c:v>0.54155844155844157</c:v>
                </c:pt>
                <c:pt idx="3">
                  <c:v>0</c:v>
                </c:pt>
                <c:pt idx="4">
                  <c:v>0.83313204508856686</c:v>
                </c:pt>
                <c:pt idx="5">
                  <c:v>0</c:v>
                </c:pt>
                <c:pt idx="6">
                  <c:v>1</c:v>
                </c:pt>
                <c:pt idx="7">
                  <c:v>0.99982094897045659</c:v>
                </c:pt>
                <c:pt idx="8">
                  <c:v>0.99900166389351086</c:v>
                </c:pt>
                <c:pt idx="9">
                  <c:v>0</c:v>
                </c:pt>
                <c:pt idx="10">
                  <c:v>0</c:v>
                </c:pt>
                <c:pt idx="11">
                  <c:v>0.9579861111111112</c:v>
                </c:pt>
                <c:pt idx="12">
                  <c:v>0</c:v>
                </c:pt>
                <c:pt idx="13">
                  <c:v>0.87446428571428569</c:v>
                </c:pt>
                <c:pt idx="14">
                  <c:v>0.99967213114754094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'08'!$D$6:$D$21</c:f>
              <c:strCache>
                <c:ptCount val="16"/>
                <c:pt idx="0">
                  <c:v>COVER</c:v>
                </c:pt>
                <c:pt idx="1">
                  <c:v>BODY</c:v>
                </c:pt>
                <c:pt idx="2">
                  <c:v>203T</c:v>
                </c:pt>
                <c:pt idx="4">
                  <c:v>SLIDER</c:v>
                </c:pt>
                <c:pt idx="5">
                  <c:v>CLAMP</c:v>
                </c:pt>
                <c:pt idx="6">
                  <c:v>ACTUATOR</c:v>
                </c:pt>
                <c:pt idx="7">
                  <c:v>LEAD GUIDE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IC GUIDE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0.5607773389109314</c:v>
                </c:pt>
                <c:pt idx="1">
                  <c:v>0.5607773389109314</c:v>
                </c:pt>
                <c:pt idx="2">
                  <c:v>0.5607773389109314</c:v>
                </c:pt>
                <c:pt idx="3">
                  <c:v>0.5607773389109314</c:v>
                </c:pt>
                <c:pt idx="4">
                  <c:v>0.5607773389109314</c:v>
                </c:pt>
                <c:pt idx="5">
                  <c:v>0.5607773389109314</c:v>
                </c:pt>
                <c:pt idx="6">
                  <c:v>0.5607773389109314</c:v>
                </c:pt>
                <c:pt idx="7">
                  <c:v>0.5607773389109314</c:v>
                </c:pt>
                <c:pt idx="8">
                  <c:v>0.5607773389109314</c:v>
                </c:pt>
                <c:pt idx="9">
                  <c:v>0.5607773389109314</c:v>
                </c:pt>
                <c:pt idx="10">
                  <c:v>0.5607773389109314</c:v>
                </c:pt>
                <c:pt idx="11">
                  <c:v>0.5607773389109314</c:v>
                </c:pt>
                <c:pt idx="12">
                  <c:v>0.5607773389109314</c:v>
                </c:pt>
                <c:pt idx="13">
                  <c:v>0.5607773389109314</c:v>
                </c:pt>
                <c:pt idx="14">
                  <c:v>0.5607773389109314</c:v>
                </c:pt>
                <c:pt idx="15">
                  <c:v>0.5607773389109314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729408"/>
        <c:axId val="299672128"/>
      </c:lineChart>
      <c:catAx>
        <c:axId val="29972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9672128"/>
        <c:crosses val="autoZero"/>
        <c:auto val="1"/>
        <c:lblAlgn val="ctr"/>
        <c:lblOffset val="100"/>
        <c:noMultiLvlLbl val="0"/>
      </c:catAx>
      <c:valAx>
        <c:axId val="299672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972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729920"/>
        <c:axId val="2996744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729920"/>
        <c:axId val="299674432"/>
      </c:lineChart>
      <c:catAx>
        <c:axId val="29972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99674432"/>
        <c:crosses val="autoZero"/>
        <c:auto val="1"/>
        <c:lblAlgn val="ctr"/>
        <c:lblOffset val="100"/>
        <c:noMultiLvlLbl val="0"/>
      </c:catAx>
      <c:valAx>
        <c:axId val="2996744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97299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4217</c:v>
                </c:pt>
                <c:pt idx="1">
                  <c:v>20936</c:v>
                </c:pt>
                <c:pt idx="3">
                  <c:v>5396</c:v>
                </c:pt>
                <c:pt idx="4">
                  <c:v>300</c:v>
                </c:pt>
                <c:pt idx="5">
                  <c:v>4839</c:v>
                </c:pt>
                <c:pt idx="6">
                  <c:v>4213</c:v>
                </c:pt>
                <c:pt idx="7">
                  <c:v>863</c:v>
                </c:pt>
                <c:pt idx="8">
                  <c:v>3062</c:v>
                </c:pt>
                <c:pt idx="11">
                  <c:v>5908</c:v>
                </c:pt>
                <c:pt idx="12">
                  <c:v>2929</c:v>
                </c:pt>
                <c:pt idx="13">
                  <c:v>5588</c:v>
                </c:pt>
                <c:pt idx="14">
                  <c:v>6113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4220</c:v>
                </c:pt>
                <c:pt idx="1">
                  <c:v>20940</c:v>
                </c:pt>
                <c:pt idx="2">
                  <c:v>10610</c:v>
                </c:pt>
                <c:pt idx="3">
                  <c:v>5400</c:v>
                </c:pt>
                <c:pt idx="4">
                  <c:v>300</c:v>
                </c:pt>
                <c:pt idx="5">
                  <c:v>4840</c:v>
                </c:pt>
                <c:pt idx="6">
                  <c:v>4220</c:v>
                </c:pt>
                <c:pt idx="7">
                  <c:v>870</c:v>
                </c:pt>
                <c:pt idx="8">
                  <c:v>3070</c:v>
                </c:pt>
                <c:pt idx="9">
                  <c:v>260</c:v>
                </c:pt>
                <c:pt idx="10">
                  <c:v>25070</c:v>
                </c:pt>
                <c:pt idx="11">
                  <c:v>5910</c:v>
                </c:pt>
                <c:pt idx="12">
                  <c:v>2930</c:v>
                </c:pt>
                <c:pt idx="13">
                  <c:v>5590</c:v>
                </c:pt>
                <c:pt idx="14">
                  <c:v>6120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458048"/>
        <c:axId val="299677312"/>
      </c:lineChart>
      <c:catAx>
        <c:axId val="2994580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9677312"/>
        <c:crosses val="autoZero"/>
        <c:auto val="1"/>
        <c:lblAlgn val="ctr"/>
        <c:lblOffset val="100"/>
        <c:noMultiLvlLbl val="0"/>
      </c:catAx>
      <c:valAx>
        <c:axId val="299677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9458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100% 100% 0% 100% 13% 100% 100% 41% 54% 0% 0% 100% 54%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0.99928909952606637</c:v>
                </c:pt>
                <c:pt idx="1">
                  <c:v>0.99980897803247371</c:v>
                </c:pt>
                <c:pt idx="2">
                  <c:v>0</c:v>
                </c:pt>
                <c:pt idx="3">
                  <c:v>0.99925925925925929</c:v>
                </c:pt>
                <c:pt idx="4">
                  <c:v>0.125</c:v>
                </c:pt>
                <c:pt idx="5">
                  <c:v>0.99979338842975207</c:v>
                </c:pt>
                <c:pt idx="6">
                  <c:v>0.99834123222748816</c:v>
                </c:pt>
                <c:pt idx="7">
                  <c:v>0.41331417624521077</c:v>
                </c:pt>
                <c:pt idx="8">
                  <c:v>0.5402551574375678</c:v>
                </c:pt>
                <c:pt idx="9">
                  <c:v>0</c:v>
                </c:pt>
                <c:pt idx="10">
                  <c:v>0</c:v>
                </c:pt>
                <c:pt idx="11">
                  <c:v>0.99966159052453474</c:v>
                </c:pt>
                <c:pt idx="12">
                  <c:v>0.54148179749715586</c:v>
                </c:pt>
                <c:pt idx="13">
                  <c:v>0.99964221824686939</c:v>
                </c:pt>
                <c:pt idx="14">
                  <c:v>0.9988562091503268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0.64098020710511372</c:v>
                </c:pt>
                <c:pt idx="1">
                  <c:v>0.64098020710511372</c:v>
                </c:pt>
                <c:pt idx="2">
                  <c:v>0.64098020710511372</c:v>
                </c:pt>
                <c:pt idx="3">
                  <c:v>0.64098020710511372</c:v>
                </c:pt>
                <c:pt idx="4">
                  <c:v>0.64098020710511372</c:v>
                </c:pt>
                <c:pt idx="5">
                  <c:v>0.64098020710511372</c:v>
                </c:pt>
                <c:pt idx="6">
                  <c:v>0.64098020710511372</c:v>
                </c:pt>
                <c:pt idx="7">
                  <c:v>0.64098020710511372</c:v>
                </c:pt>
                <c:pt idx="8">
                  <c:v>0.64098020710511372</c:v>
                </c:pt>
                <c:pt idx="9">
                  <c:v>0.64098020710511372</c:v>
                </c:pt>
                <c:pt idx="10">
                  <c:v>0.64098020710511372</c:v>
                </c:pt>
                <c:pt idx="11">
                  <c:v>0.64098020710511372</c:v>
                </c:pt>
                <c:pt idx="12">
                  <c:v>0.64098020710511372</c:v>
                </c:pt>
                <c:pt idx="13">
                  <c:v>0.64098020710511372</c:v>
                </c:pt>
                <c:pt idx="14">
                  <c:v>0.64098020710511372</c:v>
                </c:pt>
                <c:pt idx="15">
                  <c:v>0.64098020710511372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475456"/>
        <c:axId val="301056576"/>
      </c:lineChart>
      <c:catAx>
        <c:axId val="29947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056576"/>
        <c:crosses val="autoZero"/>
        <c:auto val="1"/>
        <c:lblAlgn val="ctr"/>
        <c:lblOffset val="100"/>
        <c:noMultiLvlLbl val="0"/>
      </c:catAx>
      <c:valAx>
        <c:axId val="3010565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9475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4217</c:v>
                </c:pt>
                <c:pt idx="1">
                  <c:v>20936</c:v>
                </c:pt>
                <c:pt idx="3">
                  <c:v>5396</c:v>
                </c:pt>
                <c:pt idx="4">
                  <c:v>300</c:v>
                </c:pt>
                <c:pt idx="5">
                  <c:v>4839</c:v>
                </c:pt>
                <c:pt idx="6">
                  <c:v>4213</c:v>
                </c:pt>
                <c:pt idx="7">
                  <c:v>863</c:v>
                </c:pt>
                <c:pt idx="8">
                  <c:v>3062</c:v>
                </c:pt>
                <c:pt idx="11">
                  <c:v>5908</c:v>
                </c:pt>
                <c:pt idx="12">
                  <c:v>2929</c:v>
                </c:pt>
                <c:pt idx="13">
                  <c:v>5588</c:v>
                </c:pt>
                <c:pt idx="14">
                  <c:v>6113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4220</c:v>
                </c:pt>
                <c:pt idx="1">
                  <c:v>20940</c:v>
                </c:pt>
                <c:pt idx="2">
                  <c:v>10610</c:v>
                </c:pt>
                <c:pt idx="3">
                  <c:v>5400</c:v>
                </c:pt>
                <c:pt idx="4">
                  <c:v>300</c:v>
                </c:pt>
                <c:pt idx="5">
                  <c:v>4840</c:v>
                </c:pt>
                <c:pt idx="6">
                  <c:v>4220</c:v>
                </c:pt>
                <c:pt idx="7">
                  <c:v>870</c:v>
                </c:pt>
                <c:pt idx="8">
                  <c:v>3070</c:v>
                </c:pt>
                <c:pt idx="9">
                  <c:v>260</c:v>
                </c:pt>
                <c:pt idx="10">
                  <c:v>25070</c:v>
                </c:pt>
                <c:pt idx="11">
                  <c:v>5910</c:v>
                </c:pt>
                <c:pt idx="12">
                  <c:v>2930</c:v>
                </c:pt>
                <c:pt idx="13">
                  <c:v>5590</c:v>
                </c:pt>
                <c:pt idx="14">
                  <c:v>6120</c:v>
                </c:pt>
                <c:pt idx="15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476480"/>
        <c:axId val="301058880"/>
      </c:lineChart>
      <c:catAx>
        <c:axId val="2994764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1058880"/>
        <c:crosses val="autoZero"/>
        <c:auto val="1"/>
        <c:lblAlgn val="ctr"/>
        <c:lblOffset val="100"/>
        <c:noMultiLvlLbl val="0"/>
      </c:catAx>
      <c:valAx>
        <c:axId val="3010588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9476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100% 100% 0% 100% 13% 100% 100% 41% 54% 0% 0% 100% 54%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0.99928909952606637</c:v>
                </c:pt>
                <c:pt idx="1">
                  <c:v>0.99980897803247371</c:v>
                </c:pt>
                <c:pt idx="2">
                  <c:v>0</c:v>
                </c:pt>
                <c:pt idx="3">
                  <c:v>0.99925925925925929</c:v>
                </c:pt>
                <c:pt idx="4">
                  <c:v>0.125</c:v>
                </c:pt>
                <c:pt idx="5">
                  <c:v>0.99979338842975207</c:v>
                </c:pt>
                <c:pt idx="6">
                  <c:v>0.99834123222748816</c:v>
                </c:pt>
                <c:pt idx="7">
                  <c:v>0.41331417624521077</c:v>
                </c:pt>
                <c:pt idx="8">
                  <c:v>0.5402551574375678</c:v>
                </c:pt>
                <c:pt idx="9">
                  <c:v>0</c:v>
                </c:pt>
                <c:pt idx="10">
                  <c:v>0</c:v>
                </c:pt>
                <c:pt idx="11">
                  <c:v>0.99966159052453474</c:v>
                </c:pt>
                <c:pt idx="12">
                  <c:v>0.54148179749715586</c:v>
                </c:pt>
                <c:pt idx="13">
                  <c:v>0.99964221824686939</c:v>
                </c:pt>
                <c:pt idx="14">
                  <c:v>0.9988562091503268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6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DETECTOR</c:v>
                </c:pt>
                <c:pt idx="11">
                  <c:v>END PLATE</c:v>
                </c:pt>
                <c:pt idx="12">
                  <c:v>SAM</c:v>
                </c:pt>
                <c:pt idx="13">
                  <c:v>STOPPER</c:v>
                </c:pt>
                <c:pt idx="14">
                  <c:v>LEAD GUIDE</c:v>
                </c:pt>
                <c:pt idx="15">
                  <c:v>72P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0.64098020710511372</c:v>
                </c:pt>
                <c:pt idx="1">
                  <c:v>0.64098020710511372</c:v>
                </c:pt>
                <c:pt idx="2">
                  <c:v>0.64098020710511372</c:v>
                </c:pt>
                <c:pt idx="3">
                  <c:v>0.64098020710511372</c:v>
                </c:pt>
                <c:pt idx="4">
                  <c:v>0.64098020710511372</c:v>
                </c:pt>
                <c:pt idx="5">
                  <c:v>0.64098020710511372</c:v>
                </c:pt>
                <c:pt idx="6">
                  <c:v>0.64098020710511372</c:v>
                </c:pt>
                <c:pt idx="7">
                  <c:v>0.64098020710511372</c:v>
                </c:pt>
                <c:pt idx="8">
                  <c:v>0.64098020710511372</c:v>
                </c:pt>
                <c:pt idx="9">
                  <c:v>0.64098020710511372</c:v>
                </c:pt>
                <c:pt idx="10">
                  <c:v>0.64098020710511372</c:v>
                </c:pt>
                <c:pt idx="11">
                  <c:v>0.64098020710511372</c:v>
                </c:pt>
                <c:pt idx="12">
                  <c:v>0.64098020710511372</c:v>
                </c:pt>
                <c:pt idx="13">
                  <c:v>0.64098020710511372</c:v>
                </c:pt>
                <c:pt idx="14">
                  <c:v>0.64098020710511372</c:v>
                </c:pt>
                <c:pt idx="15">
                  <c:v>0.64098020710511372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476992"/>
        <c:axId val="301060608"/>
      </c:lineChart>
      <c:catAx>
        <c:axId val="29947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060608"/>
        <c:crosses val="autoZero"/>
        <c:auto val="1"/>
        <c:lblAlgn val="ctr"/>
        <c:lblOffset val="100"/>
        <c:noMultiLvlLbl val="0"/>
      </c:catAx>
      <c:valAx>
        <c:axId val="3010606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9476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477504"/>
        <c:axId val="3010629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477504"/>
        <c:axId val="301062912"/>
      </c:lineChart>
      <c:catAx>
        <c:axId val="29947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301062912"/>
        <c:crosses val="autoZero"/>
        <c:auto val="1"/>
        <c:lblAlgn val="ctr"/>
        <c:lblOffset val="100"/>
        <c:noMultiLvlLbl val="0"/>
      </c:catAx>
      <c:valAx>
        <c:axId val="3010629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94775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2398</c:v>
                </c:pt>
                <c:pt idx="1">
                  <c:v>21036</c:v>
                </c:pt>
                <c:pt idx="3">
                  <c:v>5924</c:v>
                </c:pt>
                <c:pt idx="6">
                  <c:v>4937</c:v>
                </c:pt>
                <c:pt idx="7">
                  <c:v>5345</c:v>
                </c:pt>
                <c:pt idx="8">
                  <c:v>3432</c:v>
                </c:pt>
                <c:pt idx="10">
                  <c:v>8798</c:v>
                </c:pt>
                <c:pt idx="11">
                  <c:v>1210</c:v>
                </c:pt>
                <c:pt idx="12">
                  <c:v>4330</c:v>
                </c:pt>
                <c:pt idx="13">
                  <c:v>1014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2400</c:v>
                </c:pt>
                <c:pt idx="1">
                  <c:v>21040</c:v>
                </c:pt>
                <c:pt idx="2">
                  <c:v>10610</c:v>
                </c:pt>
                <c:pt idx="3">
                  <c:v>5930</c:v>
                </c:pt>
                <c:pt idx="4">
                  <c:v>300</c:v>
                </c:pt>
                <c:pt idx="5">
                  <c:v>4840</c:v>
                </c:pt>
                <c:pt idx="6">
                  <c:v>4940</c:v>
                </c:pt>
                <c:pt idx="7">
                  <c:v>5350</c:v>
                </c:pt>
                <c:pt idx="8">
                  <c:v>3440</c:v>
                </c:pt>
                <c:pt idx="9">
                  <c:v>25070</c:v>
                </c:pt>
                <c:pt idx="10">
                  <c:v>8800</c:v>
                </c:pt>
                <c:pt idx="11">
                  <c:v>1210</c:v>
                </c:pt>
                <c:pt idx="12">
                  <c:v>4330</c:v>
                </c:pt>
                <c:pt idx="13">
                  <c:v>1020</c:v>
                </c:pt>
                <c:pt idx="14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479424"/>
        <c:axId val="301369024"/>
      </c:lineChart>
      <c:catAx>
        <c:axId val="3014794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1369024"/>
        <c:crosses val="autoZero"/>
        <c:auto val="1"/>
        <c:lblAlgn val="ctr"/>
        <c:lblOffset val="100"/>
        <c:noMultiLvlLbl val="0"/>
      </c:catAx>
      <c:valAx>
        <c:axId val="3013690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479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62% 100% 0% 100% 0% 0% 100% 100% 79% 0% 96% 25% 96% 29%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0.6244791666666667</c:v>
                </c:pt>
                <c:pt idx="1">
                  <c:v>0.99980988593155895</c:v>
                </c:pt>
                <c:pt idx="2">
                  <c:v>0</c:v>
                </c:pt>
                <c:pt idx="3">
                  <c:v>0.99898819561551433</c:v>
                </c:pt>
                <c:pt idx="4">
                  <c:v>0</c:v>
                </c:pt>
                <c:pt idx="5">
                  <c:v>0</c:v>
                </c:pt>
                <c:pt idx="6">
                  <c:v>0.99939271255060724</c:v>
                </c:pt>
                <c:pt idx="7">
                  <c:v>0.99906542056074765</c:v>
                </c:pt>
                <c:pt idx="8">
                  <c:v>0.78982558139534875</c:v>
                </c:pt>
                <c:pt idx="9">
                  <c:v>0</c:v>
                </c:pt>
                <c:pt idx="10">
                  <c:v>0.95811553030303032</c:v>
                </c:pt>
                <c:pt idx="11">
                  <c:v>0.25</c:v>
                </c:pt>
                <c:pt idx="12">
                  <c:v>0.95833333333333337</c:v>
                </c:pt>
                <c:pt idx="13">
                  <c:v>0.28995098039215689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0.52453072044993088</c:v>
                </c:pt>
                <c:pt idx="1">
                  <c:v>0.52453072044993088</c:v>
                </c:pt>
                <c:pt idx="2">
                  <c:v>0.52453072044993088</c:v>
                </c:pt>
                <c:pt idx="3">
                  <c:v>0.52453072044993088</c:v>
                </c:pt>
                <c:pt idx="4">
                  <c:v>0.52453072044993088</c:v>
                </c:pt>
                <c:pt idx="5">
                  <c:v>0.52453072044993088</c:v>
                </c:pt>
                <c:pt idx="6">
                  <c:v>0.52453072044993088</c:v>
                </c:pt>
                <c:pt idx="7">
                  <c:v>0.52453072044993088</c:v>
                </c:pt>
                <c:pt idx="8">
                  <c:v>0.52453072044993088</c:v>
                </c:pt>
                <c:pt idx="9">
                  <c:v>0.52453072044993088</c:v>
                </c:pt>
                <c:pt idx="10">
                  <c:v>0.52453072044993088</c:v>
                </c:pt>
                <c:pt idx="11">
                  <c:v>0.52453072044993088</c:v>
                </c:pt>
                <c:pt idx="12">
                  <c:v>0.52453072044993088</c:v>
                </c:pt>
                <c:pt idx="13">
                  <c:v>0.52453072044993088</c:v>
                </c:pt>
                <c:pt idx="14">
                  <c:v>0.52453072044993088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154304"/>
        <c:axId val="301370752"/>
      </c:lineChart>
      <c:catAx>
        <c:axId val="30115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370752"/>
        <c:crosses val="autoZero"/>
        <c:auto val="1"/>
        <c:lblAlgn val="ctr"/>
        <c:lblOffset val="100"/>
        <c:noMultiLvlLbl val="0"/>
      </c:catAx>
      <c:valAx>
        <c:axId val="3013707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154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2398</c:v>
                </c:pt>
                <c:pt idx="1">
                  <c:v>21036</c:v>
                </c:pt>
                <c:pt idx="3">
                  <c:v>5924</c:v>
                </c:pt>
                <c:pt idx="6">
                  <c:v>4937</c:v>
                </c:pt>
                <c:pt idx="7">
                  <c:v>5345</c:v>
                </c:pt>
                <c:pt idx="8">
                  <c:v>3432</c:v>
                </c:pt>
                <c:pt idx="10">
                  <c:v>8798</c:v>
                </c:pt>
                <c:pt idx="11">
                  <c:v>1210</c:v>
                </c:pt>
                <c:pt idx="12">
                  <c:v>4330</c:v>
                </c:pt>
                <c:pt idx="13">
                  <c:v>1014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2400</c:v>
                </c:pt>
                <c:pt idx="1">
                  <c:v>21040</c:v>
                </c:pt>
                <c:pt idx="2">
                  <c:v>10610</c:v>
                </c:pt>
                <c:pt idx="3">
                  <c:v>5930</c:v>
                </c:pt>
                <c:pt idx="4">
                  <c:v>300</c:v>
                </c:pt>
                <c:pt idx="5">
                  <c:v>4840</c:v>
                </c:pt>
                <c:pt idx="6">
                  <c:v>4940</c:v>
                </c:pt>
                <c:pt idx="7">
                  <c:v>5350</c:v>
                </c:pt>
                <c:pt idx="8">
                  <c:v>3440</c:v>
                </c:pt>
                <c:pt idx="9">
                  <c:v>25070</c:v>
                </c:pt>
                <c:pt idx="10">
                  <c:v>8800</c:v>
                </c:pt>
                <c:pt idx="11">
                  <c:v>1210</c:v>
                </c:pt>
                <c:pt idx="12">
                  <c:v>4330</c:v>
                </c:pt>
                <c:pt idx="13">
                  <c:v>1020</c:v>
                </c:pt>
                <c:pt idx="14">
                  <c:v>46440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154816"/>
        <c:axId val="301373056"/>
      </c:lineChart>
      <c:catAx>
        <c:axId val="3011548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1373056"/>
        <c:crosses val="autoZero"/>
        <c:auto val="1"/>
        <c:lblAlgn val="ctr"/>
        <c:lblOffset val="100"/>
        <c:noMultiLvlLbl val="0"/>
      </c:catAx>
      <c:valAx>
        <c:axId val="3013730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154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62% 100% 0% 100% 0% 0% 100% 100% 79% 0% 96% 25% 96% 29%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0.6244791666666667</c:v>
                </c:pt>
                <c:pt idx="1">
                  <c:v>0.99980988593155895</c:v>
                </c:pt>
                <c:pt idx="2">
                  <c:v>0</c:v>
                </c:pt>
                <c:pt idx="3">
                  <c:v>0.99898819561551433</c:v>
                </c:pt>
                <c:pt idx="4">
                  <c:v>0</c:v>
                </c:pt>
                <c:pt idx="5">
                  <c:v>0</c:v>
                </c:pt>
                <c:pt idx="6">
                  <c:v>0.99939271255060724</c:v>
                </c:pt>
                <c:pt idx="7">
                  <c:v>0.99906542056074765</c:v>
                </c:pt>
                <c:pt idx="8">
                  <c:v>0.78982558139534875</c:v>
                </c:pt>
                <c:pt idx="9">
                  <c:v>0</c:v>
                </c:pt>
                <c:pt idx="10">
                  <c:v>0.95811553030303032</c:v>
                </c:pt>
                <c:pt idx="11">
                  <c:v>0.25</c:v>
                </c:pt>
                <c:pt idx="12">
                  <c:v>0.95833333333333337</c:v>
                </c:pt>
                <c:pt idx="13">
                  <c:v>0.28995098039215689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5"/>
                <c:pt idx="0">
                  <c:v>BODY</c:v>
                </c:pt>
                <c:pt idx="1">
                  <c:v>203T</c:v>
                </c:pt>
                <c:pt idx="3">
                  <c:v>SLIDER</c:v>
                </c:pt>
                <c:pt idx="4">
                  <c:v>ADAPTER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72P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0.52453072044993088</c:v>
                </c:pt>
                <c:pt idx="1">
                  <c:v>0.52453072044993088</c:v>
                </c:pt>
                <c:pt idx="2">
                  <c:v>0.52453072044993088</c:v>
                </c:pt>
                <c:pt idx="3">
                  <c:v>0.52453072044993088</c:v>
                </c:pt>
                <c:pt idx="4">
                  <c:v>0.52453072044993088</c:v>
                </c:pt>
                <c:pt idx="5">
                  <c:v>0.52453072044993088</c:v>
                </c:pt>
                <c:pt idx="6">
                  <c:v>0.52453072044993088</c:v>
                </c:pt>
                <c:pt idx="7">
                  <c:v>0.52453072044993088</c:v>
                </c:pt>
                <c:pt idx="8">
                  <c:v>0.52453072044993088</c:v>
                </c:pt>
                <c:pt idx="9">
                  <c:v>0.52453072044993088</c:v>
                </c:pt>
                <c:pt idx="10">
                  <c:v>0.52453072044993088</c:v>
                </c:pt>
                <c:pt idx="11">
                  <c:v>0.52453072044993088</c:v>
                </c:pt>
                <c:pt idx="12">
                  <c:v>0.52453072044993088</c:v>
                </c:pt>
                <c:pt idx="13">
                  <c:v>0.52453072044993088</c:v>
                </c:pt>
                <c:pt idx="14">
                  <c:v>0.52453072044993088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155840"/>
        <c:axId val="301374784"/>
      </c:lineChart>
      <c:catAx>
        <c:axId val="30115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374784"/>
        <c:crosses val="autoZero"/>
        <c:auto val="1"/>
        <c:lblAlgn val="ctr"/>
        <c:lblOffset val="100"/>
        <c:noMultiLvlLbl val="0"/>
      </c:catAx>
      <c:valAx>
        <c:axId val="3013747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15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156352"/>
        <c:axId val="30111507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156352"/>
        <c:axId val="301115072"/>
      </c:lineChart>
      <c:catAx>
        <c:axId val="30115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301115072"/>
        <c:crosses val="autoZero"/>
        <c:auto val="1"/>
        <c:lblAlgn val="ctr"/>
        <c:lblOffset val="100"/>
        <c:noMultiLvlLbl val="0"/>
      </c:catAx>
      <c:valAx>
        <c:axId val="3011150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11563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0">
                  <c:v>822</c:v>
                </c:pt>
                <c:pt idx="1">
                  <c:v>19012</c:v>
                </c:pt>
                <c:pt idx="3">
                  <c:v>3610</c:v>
                </c:pt>
                <c:pt idx="4">
                  <c:v>2352</c:v>
                </c:pt>
                <c:pt idx="5">
                  <c:v>0</c:v>
                </c:pt>
                <c:pt idx="6">
                  <c:v>4314</c:v>
                </c:pt>
                <c:pt idx="7">
                  <c:v>4894</c:v>
                </c:pt>
                <c:pt idx="8">
                  <c:v>4344</c:v>
                </c:pt>
                <c:pt idx="14">
                  <c:v>25396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830</c:v>
                </c:pt>
                <c:pt idx="1">
                  <c:v>19020</c:v>
                </c:pt>
                <c:pt idx="2">
                  <c:v>10610</c:v>
                </c:pt>
                <c:pt idx="3">
                  <c:v>3610</c:v>
                </c:pt>
                <c:pt idx="4">
                  <c:v>2360</c:v>
                </c:pt>
                <c:pt idx="5">
                  <c:v>4840</c:v>
                </c:pt>
                <c:pt idx="6">
                  <c:v>4320</c:v>
                </c:pt>
                <c:pt idx="7">
                  <c:v>4900</c:v>
                </c:pt>
                <c:pt idx="8">
                  <c:v>4350</c:v>
                </c:pt>
                <c:pt idx="9">
                  <c:v>25070</c:v>
                </c:pt>
                <c:pt idx="10">
                  <c:v>8800</c:v>
                </c:pt>
                <c:pt idx="11">
                  <c:v>1210</c:v>
                </c:pt>
                <c:pt idx="12">
                  <c:v>4330</c:v>
                </c:pt>
                <c:pt idx="13">
                  <c:v>1020</c:v>
                </c:pt>
                <c:pt idx="14">
                  <c:v>25400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39168"/>
        <c:axId val="301117952"/>
      </c:lineChart>
      <c:catAx>
        <c:axId val="3016391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1117952"/>
        <c:crosses val="autoZero"/>
        <c:auto val="1"/>
        <c:lblAlgn val="ctr"/>
        <c:lblOffset val="100"/>
        <c:noMultiLvlLbl val="0"/>
      </c:catAx>
      <c:valAx>
        <c:axId val="3011179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63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12% 96% 0% 71% 17% 0% 96% 96% 96% 0% 0% 0% 0% 0% 67%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0.12379518072289157</c:v>
                </c:pt>
                <c:pt idx="1">
                  <c:v>0.95793024886084832</c:v>
                </c:pt>
                <c:pt idx="2">
                  <c:v>0</c:v>
                </c:pt>
                <c:pt idx="3">
                  <c:v>0.70833333333333337</c:v>
                </c:pt>
                <c:pt idx="4">
                  <c:v>0.16610169491525423</c:v>
                </c:pt>
                <c:pt idx="5">
                  <c:v>0</c:v>
                </c:pt>
                <c:pt idx="6">
                  <c:v>0.9570023148148149</c:v>
                </c:pt>
                <c:pt idx="7">
                  <c:v>0.95715986394557828</c:v>
                </c:pt>
                <c:pt idx="8">
                  <c:v>0.95701149425287357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0.66656167979002623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0.36625972070904139</c:v>
                </c:pt>
                <c:pt idx="1">
                  <c:v>0.36625972070904139</c:v>
                </c:pt>
                <c:pt idx="2">
                  <c:v>0.36625972070904139</c:v>
                </c:pt>
                <c:pt idx="3">
                  <c:v>0.36625972070904139</c:v>
                </c:pt>
                <c:pt idx="4">
                  <c:v>0.36625972070904139</c:v>
                </c:pt>
                <c:pt idx="5">
                  <c:v>0.36625972070904139</c:v>
                </c:pt>
                <c:pt idx="6">
                  <c:v>0.36625972070904139</c:v>
                </c:pt>
                <c:pt idx="7">
                  <c:v>0.36625972070904139</c:v>
                </c:pt>
                <c:pt idx="8">
                  <c:v>0.36625972070904139</c:v>
                </c:pt>
                <c:pt idx="9">
                  <c:v>0.36625972070904139</c:v>
                </c:pt>
                <c:pt idx="10">
                  <c:v>0.36625972070904139</c:v>
                </c:pt>
                <c:pt idx="11">
                  <c:v>0.36625972070904139</c:v>
                </c:pt>
                <c:pt idx="12">
                  <c:v>0.36625972070904139</c:v>
                </c:pt>
                <c:pt idx="13">
                  <c:v>0.36625972070904139</c:v>
                </c:pt>
                <c:pt idx="14">
                  <c:v>0.36625972070904139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88512"/>
        <c:axId val="301119680"/>
      </c:lineChart>
      <c:catAx>
        <c:axId val="29868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119680"/>
        <c:crosses val="autoZero"/>
        <c:auto val="1"/>
        <c:lblAlgn val="ctr"/>
        <c:lblOffset val="100"/>
        <c:noMultiLvlLbl val="0"/>
      </c:catAx>
      <c:valAx>
        <c:axId val="3011196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8688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0">
                  <c:v>822</c:v>
                </c:pt>
                <c:pt idx="1">
                  <c:v>19012</c:v>
                </c:pt>
                <c:pt idx="3">
                  <c:v>3610</c:v>
                </c:pt>
                <c:pt idx="4">
                  <c:v>2352</c:v>
                </c:pt>
                <c:pt idx="5">
                  <c:v>0</c:v>
                </c:pt>
                <c:pt idx="6">
                  <c:v>4314</c:v>
                </c:pt>
                <c:pt idx="7">
                  <c:v>4894</c:v>
                </c:pt>
                <c:pt idx="8">
                  <c:v>4344</c:v>
                </c:pt>
                <c:pt idx="14">
                  <c:v>25396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830</c:v>
                </c:pt>
                <c:pt idx="1">
                  <c:v>19020</c:v>
                </c:pt>
                <c:pt idx="2">
                  <c:v>10610</c:v>
                </c:pt>
                <c:pt idx="3">
                  <c:v>3610</c:v>
                </c:pt>
                <c:pt idx="4">
                  <c:v>2360</c:v>
                </c:pt>
                <c:pt idx="5">
                  <c:v>4840</c:v>
                </c:pt>
                <c:pt idx="6">
                  <c:v>4320</c:v>
                </c:pt>
                <c:pt idx="7">
                  <c:v>4900</c:v>
                </c:pt>
                <c:pt idx="8">
                  <c:v>4350</c:v>
                </c:pt>
                <c:pt idx="9">
                  <c:v>25070</c:v>
                </c:pt>
                <c:pt idx="10">
                  <c:v>8800</c:v>
                </c:pt>
                <c:pt idx="11">
                  <c:v>1210</c:v>
                </c:pt>
                <c:pt idx="12">
                  <c:v>4330</c:v>
                </c:pt>
                <c:pt idx="13">
                  <c:v>1020</c:v>
                </c:pt>
                <c:pt idx="14">
                  <c:v>25400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89024"/>
        <c:axId val="301728320"/>
      </c:lineChart>
      <c:catAx>
        <c:axId val="2986890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1728320"/>
        <c:crosses val="autoZero"/>
        <c:auto val="1"/>
        <c:lblAlgn val="ctr"/>
        <c:lblOffset val="100"/>
        <c:noMultiLvlLbl val="0"/>
      </c:catAx>
      <c:valAx>
        <c:axId val="3017283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8689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12% 96% 0% 71% 17% 0% 96% 96% 96% 0% 0% 0% 0% 0% 67%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0.12379518072289157</c:v>
                </c:pt>
                <c:pt idx="1">
                  <c:v>0.95793024886084832</c:v>
                </c:pt>
                <c:pt idx="2">
                  <c:v>0</c:v>
                </c:pt>
                <c:pt idx="3">
                  <c:v>0.70833333333333337</c:v>
                </c:pt>
                <c:pt idx="4">
                  <c:v>0.16610169491525423</c:v>
                </c:pt>
                <c:pt idx="5">
                  <c:v>0</c:v>
                </c:pt>
                <c:pt idx="6">
                  <c:v>0.9570023148148149</c:v>
                </c:pt>
                <c:pt idx="7">
                  <c:v>0.95715986394557828</c:v>
                </c:pt>
                <c:pt idx="8">
                  <c:v>0.95701149425287357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0.66656167979002623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5"/>
                <c:pt idx="0">
                  <c:v>COVER</c:v>
                </c:pt>
                <c:pt idx="1">
                  <c:v>203T</c:v>
                </c:pt>
                <c:pt idx="3">
                  <c:v>SLIDER</c:v>
                </c:pt>
                <c:pt idx="4">
                  <c:v>BASE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BODY</c:v>
                </c:pt>
                <c:pt idx="14">
                  <c:v>22P(4p)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0.36625972070904139</c:v>
                </c:pt>
                <c:pt idx="1">
                  <c:v>0.36625972070904139</c:v>
                </c:pt>
                <c:pt idx="2">
                  <c:v>0.36625972070904139</c:v>
                </c:pt>
                <c:pt idx="3">
                  <c:v>0.36625972070904139</c:v>
                </c:pt>
                <c:pt idx="4">
                  <c:v>0.36625972070904139</c:v>
                </c:pt>
                <c:pt idx="5">
                  <c:v>0.36625972070904139</c:v>
                </c:pt>
                <c:pt idx="6">
                  <c:v>0.36625972070904139</c:v>
                </c:pt>
                <c:pt idx="7">
                  <c:v>0.36625972070904139</c:v>
                </c:pt>
                <c:pt idx="8">
                  <c:v>0.36625972070904139</c:v>
                </c:pt>
                <c:pt idx="9">
                  <c:v>0.36625972070904139</c:v>
                </c:pt>
                <c:pt idx="10">
                  <c:v>0.36625972070904139</c:v>
                </c:pt>
                <c:pt idx="11">
                  <c:v>0.36625972070904139</c:v>
                </c:pt>
                <c:pt idx="12">
                  <c:v>0.36625972070904139</c:v>
                </c:pt>
                <c:pt idx="13">
                  <c:v>0.36625972070904139</c:v>
                </c:pt>
                <c:pt idx="14">
                  <c:v>0.36625972070904139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0048"/>
        <c:axId val="301730048"/>
      </c:lineChart>
      <c:catAx>
        <c:axId val="29869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730048"/>
        <c:crosses val="autoZero"/>
        <c:auto val="1"/>
        <c:lblAlgn val="ctr"/>
        <c:lblOffset val="100"/>
        <c:noMultiLvlLbl val="0"/>
      </c:catAx>
      <c:valAx>
        <c:axId val="3017300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869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690560"/>
        <c:axId val="3017323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0560"/>
        <c:axId val="301732352"/>
      </c:lineChart>
      <c:catAx>
        <c:axId val="298690560"/>
        <c:scaling>
          <c:orientation val="minMax"/>
        </c:scaling>
        <c:delete val="0"/>
        <c:axPos val="b"/>
        <c:majorTickMark val="out"/>
        <c:minorTickMark val="none"/>
        <c:tickLblPos val="nextTo"/>
        <c:crossAx val="301732352"/>
        <c:crosses val="autoZero"/>
        <c:auto val="1"/>
        <c:lblAlgn val="ctr"/>
        <c:lblOffset val="100"/>
        <c:noMultiLvlLbl val="0"/>
      </c:catAx>
      <c:valAx>
        <c:axId val="301732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86905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0">
                  <c:v>2595</c:v>
                </c:pt>
                <c:pt idx="1">
                  <c:v>21288</c:v>
                </c:pt>
                <c:pt idx="3">
                  <c:v>4752</c:v>
                </c:pt>
                <c:pt idx="4">
                  <c:v>135744</c:v>
                </c:pt>
                <c:pt idx="6">
                  <c:v>5106</c:v>
                </c:pt>
                <c:pt idx="7">
                  <c:v>5691</c:v>
                </c:pt>
                <c:pt idx="8">
                  <c:v>4960</c:v>
                </c:pt>
                <c:pt idx="10">
                  <c:v>2811</c:v>
                </c:pt>
                <c:pt idx="13">
                  <c:v>2028</c:v>
                </c:pt>
                <c:pt idx="14">
                  <c:v>50900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2600</c:v>
                </c:pt>
                <c:pt idx="1">
                  <c:v>21300</c:v>
                </c:pt>
                <c:pt idx="2">
                  <c:v>10610</c:v>
                </c:pt>
                <c:pt idx="3">
                  <c:v>4760</c:v>
                </c:pt>
                <c:pt idx="4">
                  <c:v>135750</c:v>
                </c:pt>
                <c:pt idx="5">
                  <c:v>4840</c:v>
                </c:pt>
                <c:pt idx="6">
                  <c:v>5110</c:v>
                </c:pt>
                <c:pt idx="7">
                  <c:v>5700</c:v>
                </c:pt>
                <c:pt idx="8">
                  <c:v>4960</c:v>
                </c:pt>
                <c:pt idx="9">
                  <c:v>25070</c:v>
                </c:pt>
                <c:pt idx="10">
                  <c:v>2820</c:v>
                </c:pt>
                <c:pt idx="11">
                  <c:v>1210</c:v>
                </c:pt>
                <c:pt idx="12">
                  <c:v>4330</c:v>
                </c:pt>
                <c:pt idx="13">
                  <c:v>2030</c:v>
                </c:pt>
                <c:pt idx="14">
                  <c:v>50900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978688"/>
        <c:axId val="301735232"/>
      </c:lineChart>
      <c:catAx>
        <c:axId val="3889786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1735232"/>
        <c:crosses val="autoZero"/>
        <c:auto val="1"/>
        <c:lblAlgn val="ctr"/>
        <c:lblOffset val="100"/>
        <c:noMultiLvlLbl val="0"/>
      </c:catAx>
      <c:valAx>
        <c:axId val="3017352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8897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50% 100% 0% 92% 75% 0% 100% 100% 100% 0% 58% 0% 0% 50%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0.49903846153846154</c:v>
                </c:pt>
                <c:pt idx="1">
                  <c:v>0.99943661971830988</c:v>
                </c:pt>
                <c:pt idx="2">
                  <c:v>0</c:v>
                </c:pt>
                <c:pt idx="3">
                  <c:v>0.91512605042016804</c:v>
                </c:pt>
                <c:pt idx="4">
                  <c:v>0.74996685082872927</c:v>
                </c:pt>
                <c:pt idx="5">
                  <c:v>0</c:v>
                </c:pt>
                <c:pt idx="6">
                  <c:v>0.99921722113502931</c:v>
                </c:pt>
                <c:pt idx="7">
                  <c:v>0.99842105263157899</c:v>
                </c:pt>
                <c:pt idx="8">
                  <c:v>1</c:v>
                </c:pt>
                <c:pt idx="9">
                  <c:v>0</c:v>
                </c:pt>
                <c:pt idx="10">
                  <c:v>0.5814716312056738</c:v>
                </c:pt>
                <c:pt idx="11">
                  <c:v>0</c:v>
                </c:pt>
                <c:pt idx="12">
                  <c:v>0</c:v>
                </c:pt>
                <c:pt idx="13">
                  <c:v>0.4995073891625616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0.54947901844270086</c:v>
                </c:pt>
                <c:pt idx="1">
                  <c:v>0.54947901844270086</c:v>
                </c:pt>
                <c:pt idx="2">
                  <c:v>0.54947901844270086</c:v>
                </c:pt>
                <c:pt idx="3">
                  <c:v>0.54947901844270086</c:v>
                </c:pt>
                <c:pt idx="4">
                  <c:v>0.54947901844270086</c:v>
                </c:pt>
                <c:pt idx="5">
                  <c:v>0.54947901844270086</c:v>
                </c:pt>
                <c:pt idx="6">
                  <c:v>0.54947901844270086</c:v>
                </c:pt>
                <c:pt idx="7">
                  <c:v>0.54947901844270086</c:v>
                </c:pt>
                <c:pt idx="8">
                  <c:v>0.54947901844270086</c:v>
                </c:pt>
                <c:pt idx="9">
                  <c:v>0.54947901844270086</c:v>
                </c:pt>
                <c:pt idx="10">
                  <c:v>0.54947901844270086</c:v>
                </c:pt>
                <c:pt idx="11">
                  <c:v>0.54947901844270086</c:v>
                </c:pt>
                <c:pt idx="12">
                  <c:v>0.54947901844270086</c:v>
                </c:pt>
                <c:pt idx="13">
                  <c:v>0.54947901844270086</c:v>
                </c:pt>
                <c:pt idx="14">
                  <c:v>0.54947901844270086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980224"/>
        <c:axId val="301958272"/>
      </c:lineChart>
      <c:catAx>
        <c:axId val="38898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958272"/>
        <c:crosses val="autoZero"/>
        <c:auto val="1"/>
        <c:lblAlgn val="ctr"/>
        <c:lblOffset val="100"/>
        <c:noMultiLvlLbl val="0"/>
      </c:catAx>
      <c:valAx>
        <c:axId val="3019582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88980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0">
                  <c:v>2595</c:v>
                </c:pt>
                <c:pt idx="1">
                  <c:v>21288</c:v>
                </c:pt>
                <c:pt idx="3">
                  <c:v>4752</c:v>
                </c:pt>
                <c:pt idx="4">
                  <c:v>135744</c:v>
                </c:pt>
                <c:pt idx="6">
                  <c:v>5106</c:v>
                </c:pt>
                <c:pt idx="7">
                  <c:v>5691</c:v>
                </c:pt>
                <c:pt idx="8">
                  <c:v>4960</c:v>
                </c:pt>
                <c:pt idx="10">
                  <c:v>2811</c:v>
                </c:pt>
                <c:pt idx="13">
                  <c:v>2028</c:v>
                </c:pt>
                <c:pt idx="14">
                  <c:v>50900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2600</c:v>
                </c:pt>
                <c:pt idx="1">
                  <c:v>21300</c:v>
                </c:pt>
                <c:pt idx="2">
                  <c:v>10610</c:v>
                </c:pt>
                <c:pt idx="3">
                  <c:v>4760</c:v>
                </c:pt>
                <c:pt idx="4">
                  <c:v>135750</c:v>
                </c:pt>
                <c:pt idx="5">
                  <c:v>4840</c:v>
                </c:pt>
                <c:pt idx="6">
                  <c:v>5110</c:v>
                </c:pt>
                <c:pt idx="7">
                  <c:v>5700</c:v>
                </c:pt>
                <c:pt idx="8">
                  <c:v>4960</c:v>
                </c:pt>
                <c:pt idx="9">
                  <c:v>25070</c:v>
                </c:pt>
                <c:pt idx="10">
                  <c:v>2820</c:v>
                </c:pt>
                <c:pt idx="11">
                  <c:v>1210</c:v>
                </c:pt>
                <c:pt idx="12">
                  <c:v>4330</c:v>
                </c:pt>
                <c:pt idx="13">
                  <c:v>2030</c:v>
                </c:pt>
                <c:pt idx="14">
                  <c:v>50900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38080"/>
        <c:axId val="301960576"/>
      </c:lineChart>
      <c:catAx>
        <c:axId val="3890380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1960576"/>
        <c:crosses val="autoZero"/>
        <c:auto val="1"/>
        <c:lblAlgn val="ctr"/>
        <c:lblOffset val="100"/>
        <c:noMultiLvlLbl val="0"/>
      </c:catAx>
      <c:valAx>
        <c:axId val="3019605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89038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50% 100% 0% 92% 75% 0% 100% 100% 100% 0% 58% 0% 0% 50%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0.49903846153846154</c:v>
                </c:pt>
                <c:pt idx="1">
                  <c:v>0.99943661971830988</c:v>
                </c:pt>
                <c:pt idx="2">
                  <c:v>0</c:v>
                </c:pt>
                <c:pt idx="3">
                  <c:v>0.91512605042016804</c:v>
                </c:pt>
                <c:pt idx="4">
                  <c:v>0.74996685082872927</c:v>
                </c:pt>
                <c:pt idx="5">
                  <c:v>0</c:v>
                </c:pt>
                <c:pt idx="6">
                  <c:v>0.99921722113502931</c:v>
                </c:pt>
                <c:pt idx="7">
                  <c:v>0.99842105263157899</c:v>
                </c:pt>
                <c:pt idx="8">
                  <c:v>1</c:v>
                </c:pt>
                <c:pt idx="9">
                  <c:v>0</c:v>
                </c:pt>
                <c:pt idx="10">
                  <c:v>0.5814716312056738</c:v>
                </c:pt>
                <c:pt idx="11">
                  <c:v>0</c:v>
                </c:pt>
                <c:pt idx="12">
                  <c:v>0</c:v>
                </c:pt>
                <c:pt idx="13">
                  <c:v>0.4995073891625616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0.54947901844270086</c:v>
                </c:pt>
                <c:pt idx="1">
                  <c:v>0.54947901844270086</c:v>
                </c:pt>
                <c:pt idx="2">
                  <c:v>0.54947901844270086</c:v>
                </c:pt>
                <c:pt idx="3">
                  <c:v>0.54947901844270086</c:v>
                </c:pt>
                <c:pt idx="4">
                  <c:v>0.54947901844270086</c:v>
                </c:pt>
                <c:pt idx="5">
                  <c:v>0.54947901844270086</c:v>
                </c:pt>
                <c:pt idx="6">
                  <c:v>0.54947901844270086</c:v>
                </c:pt>
                <c:pt idx="7">
                  <c:v>0.54947901844270086</c:v>
                </c:pt>
                <c:pt idx="8">
                  <c:v>0.54947901844270086</c:v>
                </c:pt>
                <c:pt idx="9">
                  <c:v>0.54947901844270086</c:v>
                </c:pt>
                <c:pt idx="10">
                  <c:v>0.54947901844270086</c:v>
                </c:pt>
                <c:pt idx="11">
                  <c:v>0.54947901844270086</c:v>
                </c:pt>
                <c:pt idx="12">
                  <c:v>0.54947901844270086</c:v>
                </c:pt>
                <c:pt idx="13">
                  <c:v>0.54947901844270086</c:v>
                </c:pt>
                <c:pt idx="14">
                  <c:v>0.54947901844270086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39616"/>
        <c:axId val="301962304"/>
      </c:lineChart>
      <c:catAx>
        <c:axId val="38903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1962304"/>
        <c:crosses val="autoZero"/>
        <c:auto val="1"/>
        <c:lblAlgn val="ctr"/>
        <c:lblOffset val="100"/>
        <c:noMultiLvlLbl val="0"/>
      </c:catAx>
      <c:valAx>
        <c:axId val="3019623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8903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041152"/>
        <c:axId val="3019646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41152"/>
        <c:axId val="301964608"/>
      </c:lineChart>
      <c:catAx>
        <c:axId val="38904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301964608"/>
        <c:crosses val="autoZero"/>
        <c:auto val="1"/>
        <c:lblAlgn val="ctr"/>
        <c:lblOffset val="100"/>
        <c:noMultiLvlLbl val="0"/>
      </c:catAx>
      <c:valAx>
        <c:axId val="3019646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890411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0">
                  <c:v>3451</c:v>
                </c:pt>
                <c:pt idx="1">
                  <c:v>19636</c:v>
                </c:pt>
                <c:pt idx="2">
                  <c:v>929</c:v>
                </c:pt>
                <c:pt idx="3">
                  <c:v>5406</c:v>
                </c:pt>
                <c:pt idx="4">
                  <c:v>137952</c:v>
                </c:pt>
                <c:pt idx="6">
                  <c:v>3675</c:v>
                </c:pt>
                <c:pt idx="7">
                  <c:v>5670</c:v>
                </c:pt>
                <c:pt idx="8">
                  <c:v>3986</c:v>
                </c:pt>
                <c:pt idx="10">
                  <c:v>5412</c:v>
                </c:pt>
                <c:pt idx="12">
                  <c:v>350</c:v>
                </c:pt>
                <c:pt idx="13">
                  <c:v>3807</c:v>
                </c:pt>
                <c:pt idx="14">
                  <c:v>50368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3460</c:v>
                </c:pt>
                <c:pt idx="1">
                  <c:v>19640</c:v>
                </c:pt>
                <c:pt idx="2">
                  <c:v>930</c:v>
                </c:pt>
                <c:pt idx="3">
                  <c:v>5410</c:v>
                </c:pt>
                <c:pt idx="4">
                  <c:v>138000</c:v>
                </c:pt>
                <c:pt idx="5">
                  <c:v>4840</c:v>
                </c:pt>
                <c:pt idx="6">
                  <c:v>3680</c:v>
                </c:pt>
                <c:pt idx="7">
                  <c:v>5670</c:v>
                </c:pt>
                <c:pt idx="8">
                  <c:v>3990</c:v>
                </c:pt>
                <c:pt idx="9">
                  <c:v>25070</c:v>
                </c:pt>
                <c:pt idx="10">
                  <c:v>5420</c:v>
                </c:pt>
                <c:pt idx="11">
                  <c:v>1210</c:v>
                </c:pt>
                <c:pt idx="12">
                  <c:v>350</c:v>
                </c:pt>
                <c:pt idx="13">
                  <c:v>3810</c:v>
                </c:pt>
                <c:pt idx="14">
                  <c:v>50400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13376"/>
        <c:axId val="389294336"/>
      </c:lineChart>
      <c:catAx>
        <c:axId val="3894133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9294336"/>
        <c:crosses val="autoZero"/>
        <c:auto val="1"/>
        <c:lblAlgn val="ctr"/>
        <c:lblOffset val="100"/>
        <c:noMultiLvlLbl val="0"/>
      </c:catAx>
      <c:valAx>
        <c:axId val="3892943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89413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66% 92% 46% 100% 75% 0% 75% 100% 96% 0% 100% 0% 17% 75%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0.66493256262042388</c:v>
                </c:pt>
                <c:pt idx="1">
                  <c:v>0.91647997284453497</c:v>
                </c:pt>
                <c:pt idx="2">
                  <c:v>0.45784050179211466</c:v>
                </c:pt>
                <c:pt idx="3">
                  <c:v>0.9992606284658041</c:v>
                </c:pt>
                <c:pt idx="4">
                  <c:v>0.74973913043478269</c:v>
                </c:pt>
                <c:pt idx="5">
                  <c:v>0</c:v>
                </c:pt>
                <c:pt idx="6">
                  <c:v>0.74898097826086951</c:v>
                </c:pt>
                <c:pt idx="7">
                  <c:v>1</c:v>
                </c:pt>
                <c:pt idx="8">
                  <c:v>0.95737259816207188</c:v>
                </c:pt>
                <c:pt idx="9">
                  <c:v>0</c:v>
                </c:pt>
                <c:pt idx="10">
                  <c:v>0.99852398523985242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0.74940944881889759</c:v>
                </c:pt>
                <c:pt idx="14">
                  <c:v>0.99936507936507935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0.62723810351140652</c:v>
                </c:pt>
                <c:pt idx="1">
                  <c:v>0.62723810351140652</c:v>
                </c:pt>
                <c:pt idx="2">
                  <c:v>0.62723810351140652</c:v>
                </c:pt>
                <c:pt idx="3">
                  <c:v>0.62723810351140652</c:v>
                </c:pt>
                <c:pt idx="4">
                  <c:v>0.62723810351140652</c:v>
                </c:pt>
                <c:pt idx="5">
                  <c:v>0.62723810351140652</c:v>
                </c:pt>
                <c:pt idx="6">
                  <c:v>0.62723810351140652</c:v>
                </c:pt>
                <c:pt idx="7">
                  <c:v>0.62723810351140652</c:v>
                </c:pt>
                <c:pt idx="8">
                  <c:v>0.62723810351140652</c:v>
                </c:pt>
                <c:pt idx="9">
                  <c:v>0.62723810351140652</c:v>
                </c:pt>
                <c:pt idx="10">
                  <c:v>0.62723810351140652</c:v>
                </c:pt>
                <c:pt idx="11">
                  <c:v>0.62723810351140652</c:v>
                </c:pt>
                <c:pt idx="12">
                  <c:v>0.62723810351140652</c:v>
                </c:pt>
                <c:pt idx="13">
                  <c:v>0.62723810351140652</c:v>
                </c:pt>
                <c:pt idx="14">
                  <c:v>0.62723810351140652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628416"/>
        <c:axId val="389296064"/>
      </c:lineChart>
      <c:catAx>
        <c:axId val="38962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9296064"/>
        <c:crosses val="autoZero"/>
        <c:auto val="1"/>
        <c:lblAlgn val="ctr"/>
        <c:lblOffset val="100"/>
        <c:noMultiLvlLbl val="0"/>
      </c:catAx>
      <c:valAx>
        <c:axId val="389296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89628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0">
                  <c:v>3451</c:v>
                </c:pt>
                <c:pt idx="1">
                  <c:v>19636</c:v>
                </c:pt>
                <c:pt idx="2">
                  <c:v>929</c:v>
                </c:pt>
                <c:pt idx="3">
                  <c:v>5406</c:v>
                </c:pt>
                <c:pt idx="4">
                  <c:v>137952</c:v>
                </c:pt>
                <c:pt idx="6">
                  <c:v>3675</c:v>
                </c:pt>
                <c:pt idx="7">
                  <c:v>5670</c:v>
                </c:pt>
                <c:pt idx="8">
                  <c:v>3986</c:v>
                </c:pt>
                <c:pt idx="10">
                  <c:v>5412</c:v>
                </c:pt>
                <c:pt idx="12">
                  <c:v>350</c:v>
                </c:pt>
                <c:pt idx="13">
                  <c:v>3807</c:v>
                </c:pt>
                <c:pt idx="14">
                  <c:v>50368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3460</c:v>
                </c:pt>
                <c:pt idx="1">
                  <c:v>19640</c:v>
                </c:pt>
                <c:pt idx="2">
                  <c:v>930</c:v>
                </c:pt>
                <c:pt idx="3">
                  <c:v>5410</c:v>
                </c:pt>
                <c:pt idx="4">
                  <c:v>138000</c:v>
                </c:pt>
                <c:pt idx="5">
                  <c:v>4840</c:v>
                </c:pt>
                <c:pt idx="6">
                  <c:v>3680</c:v>
                </c:pt>
                <c:pt idx="7">
                  <c:v>5670</c:v>
                </c:pt>
                <c:pt idx="8">
                  <c:v>3990</c:v>
                </c:pt>
                <c:pt idx="9">
                  <c:v>25070</c:v>
                </c:pt>
                <c:pt idx="10">
                  <c:v>5420</c:v>
                </c:pt>
                <c:pt idx="11">
                  <c:v>1210</c:v>
                </c:pt>
                <c:pt idx="12">
                  <c:v>350</c:v>
                </c:pt>
                <c:pt idx="13">
                  <c:v>3810</c:v>
                </c:pt>
                <c:pt idx="14">
                  <c:v>50400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628928"/>
        <c:axId val="389298368"/>
      </c:lineChart>
      <c:catAx>
        <c:axId val="3896289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9298368"/>
        <c:crosses val="autoZero"/>
        <c:auto val="1"/>
        <c:lblAlgn val="ctr"/>
        <c:lblOffset val="100"/>
        <c:noMultiLvlLbl val="0"/>
      </c:catAx>
      <c:valAx>
        <c:axId val="3892983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89628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66% 92% 46% 100% 75% 0% 75% 100% 96% 0% 100% 0% 17% 75%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0.66493256262042388</c:v>
                </c:pt>
                <c:pt idx="1">
                  <c:v>0.91647997284453497</c:v>
                </c:pt>
                <c:pt idx="2">
                  <c:v>0.45784050179211466</c:v>
                </c:pt>
                <c:pt idx="3">
                  <c:v>0.9992606284658041</c:v>
                </c:pt>
                <c:pt idx="4">
                  <c:v>0.74973913043478269</c:v>
                </c:pt>
                <c:pt idx="5">
                  <c:v>0</c:v>
                </c:pt>
                <c:pt idx="6">
                  <c:v>0.74898097826086951</c:v>
                </c:pt>
                <c:pt idx="7">
                  <c:v>1</c:v>
                </c:pt>
                <c:pt idx="8">
                  <c:v>0.95737259816207188</c:v>
                </c:pt>
                <c:pt idx="9">
                  <c:v>0</c:v>
                </c:pt>
                <c:pt idx="10">
                  <c:v>0.99852398523985242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0.74940944881889759</c:v>
                </c:pt>
                <c:pt idx="14">
                  <c:v>0.99936507936507935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0.62723810351140652</c:v>
                </c:pt>
                <c:pt idx="1">
                  <c:v>0.62723810351140652</c:v>
                </c:pt>
                <c:pt idx="2">
                  <c:v>0.62723810351140652</c:v>
                </c:pt>
                <c:pt idx="3">
                  <c:v>0.62723810351140652</c:v>
                </c:pt>
                <c:pt idx="4">
                  <c:v>0.62723810351140652</c:v>
                </c:pt>
                <c:pt idx="5">
                  <c:v>0.62723810351140652</c:v>
                </c:pt>
                <c:pt idx="6">
                  <c:v>0.62723810351140652</c:v>
                </c:pt>
                <c:pt idx="7">
                  <c:v>0.62723810351140652</c:v>
                </c:pt>
                <c:pt idx="8">
                  <c:v>0.62723810351140652</c:v>
                </c:pt>
                <c:pt idx="9">
                  <c:v>0.62723810351140652</c:v>
                </c:pt>
                <c:pt idx="10">
                  <c:v>0.62723810351140652</c:v>
                </c:pt>
                <c:pt idx="11">
                  <c:v>0.62723810351140652</c:v>
                </c:pt>
                <c:pt idx="12">
                  <c:v>0.62723810351140652</c:v>
                </c:pt>
                <c:pt idx="13">
                  <c:v>0.62723810351140652</c:v>
                </c:pt>
                <c:pt idx="14">
                  <c:v>0.62723810351140652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629952"/>
        <c:axId val="389300224"/>
      </c:lineChart>
      <c:catAx>
        <c:axId val="38962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9300224"/>
        <c:crosses val="autoZero"/>
        <c:auto val="1"/>
        <c:lblAlgn val="ctr"/>
        <c:lblOffset val="100"/>
        <c:noMultiLvlLbl val="0"/>
      </c:catAx>
      <c:valAx>
        <c:axId val="3893002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89629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630464"/>
        <c:axId val="3893025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630464"/>
        <c:axId val="389302528"/>
      </c:lineChart>
      <c:catAx>
        <c:axId val="389630464"/>
        <c:scaling>
          <c:orientation val="minMax"/>
        </c:scaling>
        <c:delete val="0"/>
        <c:axPos val="b"/>
        <c:majorTickMark val="out"/>
        <c:minorTickMark val="none"/>
        <c:tickLblPos val="nextTo"/>
        <c:crossAx val="389302528"/>
        <c:crosses val="autoZero"/>
        <c:auto val="1"/>
        <c:lblAlgn val="ctr"/>
        <c:lblOffset val="100"/>
        <c:noMultiLvlLbl val="0"/>
      </c:catAx>
      <c:valAx>
        <c:axId val="3893025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896304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0">
                  <c:v>4945</c:v>
                </c:pt>
                <c:pt idx="1">
                  <c:v>14516</c:v>
                </c:pt>
                <c:pt idx="2">
                  <c:v>0</c:v>
                </c:pt>
                <c:pt idx="3">
                  <c:v>0</c:v>
                </c:pt>
                <c:pt idx="4">
                  <c:v>167456</c:v>
                </c:pt>
                <c:pt idx="6">
                  <c:v>2729</c:v>
                </c:pt>
                <c:pt idx="8">
                  <c:v>4493</c:v>
                </c:pt>
                <c:pt idx="10">
                  <c:v>5384</c:v>
                </c:pt>
                <c:pt idx="13">
                  <c:v>3338</c:v>
                </c:pt>
                <c:pt idx="14">
                  <c:v>50312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4950</c:v>
                </c:pt>
                <c:pt idx="1">
                  <c:v>14520</c:v>
                </c:pt>
                <c:pt idx="2">
                  <c:v>930</c:v>
                </c:pt>
                <c:pt idx="3">
                  <c:v>5410</c:v>
                </c:pt>
                <c:pt idx="4">
                  <c:v>167460</c:v>
                </c:pt>
                <c:pt idx="5">
                  <c:v>4840</c:v>
                </c:pt>
                <c:pt idx="6">
                  <c:v>2730</c:v>
                </c:pt>
                <c:pt idx="7">
                  <c:v>5670</c:v>
                </c:pt>
                <c:pt idx="8">
                  <c:v>4500</c:v>
                </c:pt>
                <c:pt idx="9">
                  <c:v>25070</c:v>
                </c:pt>
                <c:pt idx="10">
                  <c:v>5390</c:v>
                </c:pt>
                <c:pt idx="11">
                  <c:v>1210</c:v>
                </c:pt>
                <c:pt idx="12">
                  <c:v>350</c:v>
                </c:pt>
                <c:pt idx="13">
                  <c:v>3340</c:v>
                </c:pt>
                <c:pt idx="14">
                  <c:v>50320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602240"/>
        <c:axId val="389305408"/>
      </c:lineChart>
      <c:catAx>
        <c:axId val="3906022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9305408"/>
        <c:crosses val="autoZero"/>
        <c:auto val="1"/>
        <c:lblAlgn val="ctr"/>
        <c:lblOffset val="100"/>
        <c:noMultiLvlLbl val="0"/>
      </c:catAx>
      <c:valAx>
        <c:axId val="3893054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0602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100% 87% 0% 0% 96% 0% 67% 0% 100% 0% 100% 0% 0% 75%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0.99898989898989898</c:v>
                </c:pt>
                <c:pt idx="1">
                  <c:v>0.87475895316804408</c:v>
                </c:pt>
                <c:pt idx="2">
                  <c:v>0</c:v>
                </c:pt>
                <c:pt idx="3">
                  <c:v>0</c:v>
                </c:pt>
                <c:pt idx="4">
                  <c:v>0.95831044229467732</c:v>
                </c:pt>
                <c:pt idx="5">
                  <c:v>0</c:v>
                </c:pt>
                <c:pt idx="6">
                  <c:v>0.66642246642246639</c:v>
                </c:pt>
                <c:pt idx="7">
                  <c:v>0</c:v>
                </c:pt>
                <c:pt idx="8">
                  <c:v>0.99844444444444447</c:v>
                </c:pt>
                <c:pt idx="9">
                  <c:v>0</c:v>
                </c:pt>
                <c:pt idx="10">
                  <c:v>0.99888682745825608</c:v>
                </c:pt>
                <c:pt idx="11">
                  <c:v>0</c:v>
                </c:pt>
                <c:pt idx="12">
                  <c:v>0</c:v>
                </c:pt>
                <c:pt idx="13">
                  <c:v>0.74955089820359277</c:v>
                </c:pt>
                <c:pt idx="14">
                  <c:v>0.9998410174880763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0.48301366323129713</c:v>
                </c:pt>
                <c:pt idx="1">
                  <c:v>0.48301366323129713</c:v>
                </c:pt>
                <c:pt idx="2">
                  <c:v>0.48301366323129713</c:v>
                </c:pt>
                <c:pt idx="3">
                  <c:v>0.48301366323129713</c:v>
                </c:pt>
                <c:pt idx="4">
                  <c:v>0.48301366323129713</c:v>
                </c:pt>
                <c:pt idx="5">
                  <c:v>0.48301366323129713</c:v>
                </c:pt>
                <c:pt idx="6">
                  <c:v>0.48301366323129713</c:v>
                </c:pt>
                <c:pt idx="7">
                  <c:v>0.48301366323129713</c:v>
                </c:pt>
                <c:pt idx="8">
                  <c:v>0.48301366323129713</c:v>
                </c:pt>
                <c:pt idx="9">
                  <c:v>0.48301366323129713</c:v>
                </c:pt>
                <c:pt idx="10">
                  <c:v>0.48301366323129713</c:v>
                </c:pt>
                <c:pt idx="11">
                  <c:v>0.48301366323129713</c:v>
                </c:pt>
                <c:pt idx="12">
                  <c:v>0.48301366323129713</c:v>
                </c:pt>
                <c:pt idx="13">
                  <c:v>0.48301366323129713</c:v>
                </c:pt>
                <c:pt idx="14">
                  <c:v>0.48301366323129713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611456"/>
        <c:axId val="389307136"/>
      </c:lineChart>
      <c:catAx>
        <c:axId val="39061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9307136"/>
        <c:crosses val="autoZero"/>
        <c:auto val="1"/>
        <c:lblAlgn val="ctr"/>
        <c:lblOffset val="100"/>
        <c:noMultiLvlLbl val="0"/>
      </c:catAx>
      <c:valAx>
        <c:axId val="3893071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0611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0">
                  <c:v>4945</c:v>
                </c:pt>
                <c:pt idx="1">
                  <c:v>14516</c:v>
                </c:pt>
                <c:pt idx="2">
                  <c:v>0</c:v>
                </c:pt>
                <c:pt idx="3">
                  <c:v>0</c:v>
                </c:pt>
                <c:pt idx="4">
                  <c:v>167456</c:v>
                </c:pt>
                <c:pt idx="6">
                  <c:v>2729</c:v>
                </c:pt>
                <c:pt idx="8">
                  <c:v>4493</c:v>
                </c:pt>
                <c:pt idx="10">
                  <c:v>5384</c:v>
                </c:pt>
                <c:pt idx="13">
                  <c:v>3338</c:v>
                </c:pt>
                <c:pt idx="14">
                  <c:v>50312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4950</c:v>
                </c:pt>
                <c:pt idx="1">
                  <c:v>14520</c:v>
                </c:pt>
                <c:pt idx="2">
                  <c:v>930</c:v>
                </c:pt>
                <c:pt idx="3">
                  <c:v>5410</c:v>
                </c:pt>
                <c:pt idx="4">
                  <c:v>167460</c:v>
                </c:pt>
                <c:pt idx="5">
                  <c:v>4840</c:v>
                </c:pt>
                <c:pt idx="6">
                  <c:v>2730</c:v>
                </c:pt>
                <c:pt idx="7">
                  <c:v>5670</c:v>
                </c:pt>
                <c:pt idx="8">
                  <c:v>4500</c:v>
                </c:pt>
                <c:pt idx="9">
                  <c:v>25070</c:v>
                </c:pt>
                <c:pt idx="10">
                  <c:v>5390</c:v>
                </c:pt>
                <c:pt idx="11">
                  <c:v>1210</c:v>
                </c:pt>
                <c:pt idx="12">
                  <c:v>350</c:v>
                </c:pt>
                <c:pt idx="13">
                  <c:v>3340</c:v>
                </c:pt>
                <c:pt idx="14">
                  <c:v>50320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612480"/>
        <c:axId val="389334144"/>
      </c:lineChart>
      <c:catAx>
        <c:axId val="3906124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89334144"/>
        <c:crosses val="autoZero"/>
        <c:auto val="1"/>
        <c:lblAlgn val="ctr"/>
        <c:lblOffset val="100"/>
        <c:noMultiLvlLbl val="0"/>
      </c:catAx>
      <c:valAx>
        <c:axId val="3893341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0612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100% 87% 0% 0% 96% 0% 67% 0% 100% 0% 100% 0% 0% 75%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0.99898989898989898</c:v>
                </c:pt>
                <c:pt idx="1">
                  <c:v>0.87475895316804408</c:v>
                </c:pt>
                <c:pt idx="2">
                  <c:v>0</c:v>
                </c:pt>
                <c:pt idx="3">
                  <c:v>0</c:v>
                </c:pt>
                <c:pt idx="4">
                  <c:v>0.95831044229467732</c:v>
                </c:pt>
                <c:pt idx="5">
                  <c:v>0</c:v>
                </c:pt>
                <c:pt idx="6">
                  <c:v>0.66642246642246639</c:v>
                </c:pt>
                <c:pt idx="7">
                  <c:v>0</c:v>
                </c:pt>
                <c:pt idx="8">
                  <c:v>0.99844444444444447</c:v>
                </c:pt>
                <c:pt idx="9">
                  <c:v>0</c:v>
                </c:pt>
                <c:pt idx="10">
                  <c:v>0.99888682745825608</c:v>
                </c:pt>
                <c:pt idx="11">
                  <c:v>0</c:v>
                </c:pt>
                <c:pt idx="12">
                  <c:v>0</c:v>
                </c:pt>
                <c:pt idx="13">
                  <c:v>0.74955089820359277</c:v>
                </c:pt>
                <c:pt idx="14">
                  <c:v>0.9998410174880763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0.48301366323129713</c:v>
                </c:pt>
                <c:pt idx="1">
                  <c:v>0.48301366323129713</c:v>
                </c:pt>
                <c:pt idx="2">
                  <c:v>0.48301366323129713</c:v>
                </c:pt>
                <c:pt idx="3">
                  <c:v>0.48301366323129713</c:v>
                </c:pt>
                <c:pt idx="4">
                  <c:v>0.48301366323129713</c:v>
                </c:pt>
                <c:pt idx="5">
                  <c:v>0.48301366323129713</c:v>
                </c:pt>
                <c:pt idx="6">
                  <c:v>0.48301366323129713</c:v>
                </c:pt>
                <c:pt idx="7">
                  <c:v>0.48301366323129713</c:v>
                </c:pt>
                <c:pt idx="8">
                  <c:v>0.48301366323129713</c:v>
                </c:pt>
                <c:pt idx="9">
                  <c:v>0.48301366323129713</c:v>
                </c:pt>
                <c:pt idx="10">
                  <c:v>0.48301366323129713</c:v>
                </c:pt>
                <c:pt idx="11">
                  <c:v>0.48301366323129713</c:v>
                </c:pt>
                <c:pt idx="12">
                  <c:v>0.48301366323129713</c:v>
                </c:pt>
                <c:pt idx="13">
                  <c:v>0.48301366323129713</c:v>
                </c:pt>
                <c:pt idx="14">
                  <c:v>0.48301366323129713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612992"/>
        <c:axId val="389335872"/>
      </c:lineChart>
      <c:catAx>
        <c:axId val="39061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9335872"/>
        <c:crosses val="autoZero"/>
        <c:auto val="1"/>
        <c:lblAlgn val="ctr"/>
        <c:lblOffset val="100"/>
        <c:noMultiLvlLbl val="0"/>
      </c:catAx>
      <c:valAx>
        <c:axId val="3893358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0612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613504"/>
        <c:axId val="3893381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613504"/>
        <c:axId val="389338176"/>
      </c:lineChart>
      <c:catAx>
        <c:axId val="39061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389338176"/>
        <c:crosses val="autoZero"/>
        <c:auto val="1"/>
        <c:lblAlgn val="ctr"/>
        <c:lblOffset val="100"/>
        <c:noMultiLvlLbl val="0"/>
      </c:catAx>
      <c:valAx>
        <c:axId val="3893381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06135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0">
                  <c:v>5014</c:v>
                </c:pt>
                <c:pt idx="1">
                  <c:v>12264</c:v>
                </c:pt>
                <c:pt idx="2">
                  <c:v>162</c:v>
                </c:pt>
                <c:pt idx="3">
                  <c:v>2849</c:v>
                </c:pt>
                <c:pt idx="4">
                  <c:v>90912</c:v>
                </c:pt>
                <c:pt idx="6">
                  <c:v>4548</c:v>
                </c:pt>
                <c:pt idx="7">
                  <c:v>2895</c:v>
                </c:pt>
                <c:pt idx="8">
                  <c:v>877</c:v>
                </c:pt>
                <c:pt idx="10">
                  <c:v>3882</c:v>
                </c:pt>
                <c:pt idx="11">
                  <c:v>3032</c:v>
                </c:pt>
                <c:pt idx="13">
                  <c:v>3450</c:v>
                </c:pt>
                <c:pt idx="14">
                  <c:v>39176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5020</c:v>
                </c:pt>
                <c:pt idx="1">
                  <c:v>12270</c:v>
                </c:pt>
                <c:pt idx="2">
                  <c:v>162</c:v>
                </c:pt>
                <c:pt idx="3">
                  <c:v>2850</c:v>
                </c:pt>
                <c:pt idx="4">
                  <c:v>90920</c:v>
                </c:pt>
                <c:pt idx="5">
                  <c:v>4840</c:v>
                </c:pt>
                <c:pt idx="6">
                  <c:v>4550</c:v>
                </c:pt>
                <c:pt idx="7">
                  <c:v>2900</c:v>
                </c:pt>
                <c:pt idx="8">
                  <c:v>877</c:v>
                </c:pt>
                <c:pt idx="9">
                  <c:v>25070</c:v>
                </c:pt>
                <c:pt idx="10">
                  <c:v>3890</c:v>
                </c:pt>
                <c:pt idx="11">
                  <c:v>3040</c:v>
                </c:pt>
                <c:pt idx="12">
                  <c:v>350</c:v>
                </c:pt>
                <c:pt idx="13">
                  <c:v>3450</c:v>
                </c:pt>
                <c:pt idx="14">
                  <c:v>39180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831616"/>
        <c:axId val="391086080"/>
      </c:lineChart>
      <c:catAx>
        <c:axId val="3908316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1086080"/>
        <c:crosses val="autoZero"/>
        <c:auto val="1"/>
        <c:lblAlgn val="ctr"/>
        <c:lblOffset val="100"/>
        <c:noMultiLvlLbl val="0"/>
      </c:catAx>
      <c:valAx>
        <c:axId val="391086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0831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100% 79% 17% 62% 50% 0% 100% 58% 54% 0% 79% 62% 0% 79%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0.99880478087649405</c:v>
                </c:pt>
                <c:pt idx="1">
                  <c:v>0.79127954360228192</c:v>
                </c:pt>
                <c:pt idx="2">
                  <c:v>0.16666666666666666</c:v>
                </c:pt>
                <c:pt idx="3">
                  <c:v>0.62478070175438594</c:v>
                </c:pt>
                <c:pt idx="4">
                  <c:v>0.49995600527936646</c:v>
                </c:pt>
                <c:pt idx="5">
                  <c:v>0</c:v>
                </c:pt>
                <c:pt idx="6">
                  <c:v>0.99956043956043961</c:v>
                </c:pt>
                <c:pt idx="7">
                  <c:v>0.58232758620689662</c:v>
                </c:pt>
                <c:pt idx="8">
                  <c:v>0.54166666666666663</c:v>
                </c:pt>
                <c:pt idx="9">
                  <c:v>0</c:v>
                </c:pt>
                <c:pt idx="10">
                  <c:v>0.79003856041131104</c:v>
                </c:pt>
                <c:pt idx="11">
                  <c:v>0.62335526315789469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0.83324825591288076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0.54955674245079678</c:v>
                </c:pt>
                <c:pt idx="1">
                  <c:v>0.54955674245079678</c:v>
                </c:pt>
                <c:pt idx="2">
                  <c:v>0.54955674245079678</c:v>
                </c:pt>
                <c:pt idx="3">
                  <c:v>0.54955674245079678</c:v>
                </c:pt>
                <c:pt idx="4">
                  <c:v>0.54955674245079678</c:v>
                </c:pt>
                <c:pt idx="5">
                  <c:v>0.54955674245079678</c:v>
                </c:pt>
                <c:pt idx="6">
                  <c:v>0.54955674245079678</c:v>
                </c:pt>
                <c:pt idx="7">
                  <c:v>0.54955674245079678</c:v>
                </c:pt>
                <c:pt idx="8">
                  <c:v>0.54955674245079678</c:v>
                </c:pt>
                <c:pt idx="9">
                  <c:v>0.54955674245079678</c:v>
                </c:pt>
                <c:pt idx="10">
                  <c:v>0.54955674245079678</c:v>
                </c:pt>
                <c:pt idx="11">
                  <c:v>0.54955674245079678</c:v>
                </c:pt>
                <c:pt idx="12">
                  <c:v>0.54955674245079678</c:v>
                </c:pt>
                <c:pt idx="13">
                  <c:v>0.54955674245079678</c:v>
                </c:pt>
                <c:pt idx="14">
                  <c:v>0.54955674245079678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19360"/>
        <c:axId val="391087808"/>
      </c:lineChart>
      <c:catAx>
        <c:axId val="39111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1087808"/>
        <c:crosses val="autoZero"/>
        <c:auto val="1"/>
        <c:lblAlgn val="ctr"/>
        <c:lblOffset val="100"/>
        <c:noMultiLvlLbl val="0"/>
      </c:catAx>
      <c:valAx>
        <c:axId val="3910878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1119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0">
                  <c:v>5014</c:v>
                </c:pt>
                <c:pt idx="1">
                  <c:v>12264</c:v>
                </c:pt>
                <c:pt idx="2">
                  <c:v>162</c:v>
                </c:pt>
                <c:pt idx="3">
                  <c:v>2849</c:v>
                </c:pt>
                <c:pt idx="4">
                  <c:v>90912</c:v>
                </c:pt>
                <c:pt idx="6">
                  <c:v>4548</c:v>
                </c:pt>
                <c:pt idx="7">
                  <c:v>2895</c:v>
                </c:pt>
                <c:pt idx="8">
                  <c:v>877</c:v>
                </c:pt>
                <c:pt idx="10">
                  <c:v>3882</c:v>
                </c:pt>
                <c:pt idx="11">
                  <c:v>3032</c:v>
                </c:pt>
                <c:pt idx="13">
                  <c:v>3450</c:v>
                </c:pt>
                <c:pt idx="14">
                  <c:v>39176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5020</c:v>
                </c:pt>
                <c:pt idx="1">
                  <c:v>12270</c:v>
                </c:pt>
                <c:pt idx="2">
                  <c:v>162</c:v>
                </c:pt>
                <c:pt idx="3">
                  <c:v>2850</c:v>
                </c:pt>
                <c:pt idx="4">
                  <c:v>90920</c:v>
                </c:pt>
                <c:pt idx="5">
                  <c:v>4840</c:v>
                </c:pt>
                <c:pt idx="6">
                  <c:v>4550</c:v>
                </c:pt>
                <c:pt idx="7">
                  <c:v>2900</c:v>
                </c:pt>
                <c:pt idx="8">
                  <c:v>877</c:v>
                </c:pt>
                <c:pt idx="9">
                  <c:v>25070</c:v>
                </c:pt>
                <c:pt idx="10">
                  <c:v>3890</c:v>
                </c:pt>
                <c:pt idx="11">
                  <c:v>3040</c:v>
                </c:pt>
                <c:pt idx="12">
                  <c:v>350</c:v>
                </c:pt>
                <c:pt idx="13">
                  <c:v>3450</c:v>
                </c:pt>
                <c:pt idx="14">
                  <c:v>39180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20384"/>
        <c:axId val="391090112"/>
      </c:lineChart>
      <c:catAx>
        <c:axId val="3911203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1090112"/>
        <c:crosses val="autoZero"/>
        <c:auto val="1"/>
        <c:lblAlgn val="ctr"/>
        <c:lblOffset val="100"/>
        <c:noMultiLvlLbl val="0"/>
      </c:catAx>
      <c:valAx>
        <c:axId val="3910901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1120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100% 79% 17% 62% 50% 0% 100% 58% 54% 0% 79% 62% 0% 79%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0.99880478087649405</c:v>
                </c:pt>
                <c:pt idx="1">
                  <c:v>0.79127954360228192</c:v>
                </c:pt>
                <c:pt idx="2">
                  <c:v>0.16666666666666666</c:v>
                </c:pt>
                <c:pt idx="3">
                  <c:v>0.62478070175438594</c:v>
                </c:pt>
                <c:pt idx="4">
                  <c:v>0.49995600527936646</c:v>
                </c:pt>
                <c:pt idx="5">
                  <c:v>0</c:v>
                </c:pt>
                <c:pt idx="6">
                  <c:v>0.99956043956043961</c:v>
                </c:pt>
                <c:pt idx="7">
                  <c:v>0.58232758620689662</c:v>
                </c:pt>
                <c:pt idx="8">
                  <c:v>0.54166666666666663</c:v>
                </c:pt>
                <c:pt idx="9">
                  <c:v>0</c:v>
                </c:pt>
                <c:pt idx="10">
                  <c:v>0.79003856041131104</c:v>
                </c:pt>
                <c:pt idx="11">
                  <c:v>0.62335526315789469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0.83324825591288076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5"/>
                <c:pt idx="0">
                  <c:v>STOPPER</c:v>
                </c:pt>
                <c:pt idx="1">
                  <c:v>203T</c:v>
                </c:pt>
                <c:pt idx="2">
                  <c:v>PLATE</c:v>
                </c:pt>
                <c:pt idx="3">
                  <c:v>ADAPTER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PUSHER</c:v>
                </c:pt>
                <c:pt idx="9">
                  <c:v>DETECTOR</c:v>
                </c:pt>
                <c:pt idx="10">
                  <c:v>LEAD GUIDE</c:v>
                </c:pt>
                <c:pt idx="11">
                  <c:v>SAM</c:v>
                </c:pt>
                <c:pt idx="12">
                  <c:v>BODY</c:v>
                </c:pt>
                <c:pt idx="13">
                  <c:v>BASE</c:v>
                </c:pt>
                <c:pt idx="14">
                  <c:v>22P(4p)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0.54955674245079678</c:v>
                </c:pt>
                <c:pt idx="1">
                  <c:v>0.54955674245079678</c:v>
                </c:pt>
                <c:pt idx="2">
                  <c:v>0.54955674245079678</c:v>
                </c:pt>
                <c:pt idx="3">
                  <c:v>0.54955674245079678</c:v>
                </c:pt>
                <c:pt idx="4">
                  <c:v>0.54955674245079678</c:v>
                </c:pt>
                <c:pt idx="5">
                  <c:v>0.54955674245079678</c:v>
                </c:pt>
                <c:pt idx="6">
                  <c:v>0.54955674245079678</c:v>
                </c:pt>
                <c:pt idx="7">
                  <c:v>0.54955674245079678</c:v>
                </c:pt>
                <c:pt idx="8">
                  <c:v>0.54955674245079678</c:v>
                </c:pt>
                <c:pt idx="9">
                  <c:v>0.54955674245079678</c:v>
                </c:pt>
                <c:pt idx="10">
                  <c:v>0.54955674245079678</c:v>
                </c:pt>
                <c:pt idx="11">
                  <c:v>0.54955674245079678</c:v>
                </c:pt>
                <c:pt idx="12">
                  <c:v>0.54955674245079678</c:v>
                </c:pt>
                <c:pt idx="13">
                  <c:v>0.54955674245079678</c:v>
                </c:pt>
                <c:pt idx="14">
                  <c:v>0.54955674245079678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20896"/>
        <c:axId val="391090688"/>
      </c:lineChart>
      <c:catAx>
        <c:axId val="39112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1090688"/>
        <c:crosses val="autoZero"/>
        <c:auto val="1"/>
        <c:lblAlgn val="ctr"/>
        <c:lblOffset val="100"/>
        <c:noMultiLvlLbl val="0"/>
      </c:catAx>
      <c:valAx>
        <c:axId val="3910906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1120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121408"/>
        <c:axId val="3910929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121408"/>
        <c:axId val="391092992"/>
      </c:lineChart>
      <c:catAx>
        <c:axId val="391121408"/>
        <c:scaling>
          <c:orientation val="minMax"/>
        </c:scaling>
        <c:delete val="0"/>
        <c:axPos val="b"/>
        <c:majorTickMark val="out"/>
        <c:minorTickMark val="none"/>
        <c:tickLblPos val="nextTo"/>
        <c:crossAx val="391092992"/>
        <c:crosses val="autoZero"/>
        <c:auto val="1"/>
        <c:lblAlgn val="ctr"/>
        <c:lblOffset val="100"/>
        <c:noMultiLvlLbl val="0"/>
      </c:catAx>
      <c:valAx>
        <c:axId val="391092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11214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4206</c:v>
                </c:pt>
                <c:pt idx="1">
                  <c:v>2312</c:v>
                </c:pt>
                <c:pt idx="2">
                  <c:v>2135</c:v>
                </c:pt>
                <c:pt idx="3">
                  <c:v>582</c:v>
                </c:pt>
                <c:pt idx="4">
                  <c:v>2211</c:v>
                </c:pt>
                <c:pt idx="5">
                  <c:v>3307</c:v>
                </c:pt>
                <c:pt idx="7">
                  <c:v>1650</c:v>
                </c:pt>
                <c:pt idx="8">
                  <c:v>1109</c:v>
                </c:pt>
                <c:pt idx="9">
                  <c:v>0</c:v>
                </c:pt>
                <c:pt idx="10">
                  <c:v>0</c:v>
                </c:pt>
                <c:pt idx="11">
                  <c:v>4403</c:v>
                </c:pt>
                <c:pt idx="14">
                  <c:v>4167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4210</c:v>
                </c:pt>
                <c:pt idx="1">
                  <c:v>2320</c:v>
                </c:pt>
                <c:pt idx="2">
                  <c:v>2140</c:v>
                </c:pt>
                <c:pt idx="3">
                  <c:v>590</c:v>
                </c:pt>
                <c:pt idx="4">
                  <c:v>2220</c:v>
                </c:pt>
                <c:pt idx="5">
                  <c:v>3310</c:v>
                </c:pt>
                <c:pt idx="6">
                  <c:v>4840</c:v>
                </c:pt>
                <c:pt idx="7">
                  <c:v>1650</c:v>
                </c:pt>
                <c:pt idx="8">
                  <c:v>1110</c:v>
                </c:pt>
                <c:pt idx="9">
                  <c:v>877</c:v>
                </c:pt>
                <c:pt idx="10">
                  <c:v>25070</c:v>
                </c:pt>
                <c:pt idx="11">
                  <c:v>4410</c:v>
                </c:pt>
                <c:pt idx="12">
                  <c:v>3040</c:v>
                </c:pt>
                <c:pt idx="13">
                  <c:v>350</c:v>
                </c:pt>
                <c:pt idx="14">
                  <c:v>4170</c:v>
                </c:pt>
                <c:pt idx="15">
                  <c:v>39180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073728"/>
        <c:axId val="391997120"/>
      </c:lineChart>
      <c:catAx>
        <c:axId val="3920737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1997120"/>
        <c:crosses val="autoZero"/>
        <c:auto val="1"/>
        <c:lblAlgn val="ctr"/>
        <c:lblOffset val="100"/>
        <c:noMultiLvlLbl val="0"/>
      </c:catAx>
      <c:valAx>
        <c:axId val="3919971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073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"/>
                <c:pt idx="0">
                  <c:v>96% 33% 50% 12% 54% 87% 0% 38% 29% 0% 0% 96% 0% 0%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0.9574228028503563</c:v>
                </c:pt>
                <c:pt idx="1">
                  <c:v>0.33218390804597697</c:v>
                </c:pt>
                <c:pt idx="2">
                  <c:v>0.49883177570093457</c:v>
                </c:pt>
                <c:pt idx="3">
                  <c:v>0.12330508474576271</c:v>
                </c:pt>
                <c:pt idx="4">
                  <c:v>0.53947072072072066</c:v>
                </c:pt>
                <c:pt idx="5">
                  <c:v>0.87420694864048343</c:v>
                </c:pt>
                <c:pt idx="6">
                  <c:v>0</c:v>
                </c:pt>
                <c:pt idx="7">
                  <c:v>0.375</c:v>
                </c:pt>
                <c:pt idx="8">
                  <c:v>0.29140390390390392</c:v>
                </c:pt>
                <c:pt idx="9">
                  <c:v>0</c:v>
                </c:pt>
                <c:pt idx="10">
                  <c:v>0</c:v>
                </c:pt>
                <c:pt idx="11">
                  <c:v>0.95681216931216939</c:v>
                </c:pt>
                <c:pt idx="12">
                  <c:v>0</c:v>
                </c:pt>
                <c:pt idx="13">
                  <c:v>0</c:v>
                </c:pt>
                <c:pt idx="14">
                  <c:v>0.95764388489208641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0.39375207992082634</c:v>
                </c:pt>
                <c:pt idx="1">
                  <c:v>0.39375207992082634</c:v>
                </c:pt>
                <c:pt idx="2">
                  <c:v>0.39375207992082634</c:v>
                </c:pt>
                <c:pt idx="3">
                  <c:v>0.39375207992082634</c:v>
                </c:pt>
                <c:pt idx="4">
                  <c:v>0.39375207992082634</c:v>
                </c:pt>
                <c:pt idx="5">
                  <c:v>0.39375207992082634</c:v>
                </c:pt>
                <c:pt idx="6">
                  <c:v>0.39375207992082634</c:v>
                </c:pt>
                <c:pt idx="7">
                  <c:v>0.39375207992082634</c:v>
                </c:pt>
                <c:pt idx="8">
                  <c:v>0.39375207992082634</c:v>
                </c:pt>
                <c:pt idx="9">
                  <c:v>0.39375207992082634</c:v>
                </c:pt>
                <c:pt idx="10">
                  <c:v>0.39375207992082634</c:v>
                </c:pt>
                <c:pt idx="11">
                  <c:v>0.39375207992082634</c:v>
                </c:pt>
                <c:pt idx="12">
                  <c:v>0.39375207992082634</c:v>
                </c:pt>
                <c:pt idx="13">
                  <c:v>0.39375207992082634</c:v>
                </c:pt>
                <c:pt idx="14">
                  <c:v>0.39375207992082634</c:v>
                </c:pt>
                <c:pt idx="15">
                  <c:v>0.39375207992082634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074752"/>
        <c:axId val="391998848"/>
      </c:lineChart>
      <c:catAx>
        <c:axId val="39207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1998848"/>
        <c:crosses val="autoZero"/>
        <c:auto val="1"/>
        <c:lblAlgn val="ctr"/>
        <c:lblOffset val="100"/>
        <c:noMultiLvlLbl val="0"/>
      </c:catAx>
      <c:valAx>
        <c:axId val="3919988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2074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4206</c:v>
                </c:pt>
                <c:pt idx="1">
                  <c:v>2312</c:v>
                </c:pt>
                <c:pt idx="2">
                  <c:v>2135</c:v>
                </c:pt>
                <c:pt idx="3">
                  <c:v>582</c:v>
                </c:pt>
                <c:pt idx="4">
                  <c:v>2211</c:v>
                </c:pt>
                <c:pt idx="5">
                  <c:v>3307</c:v>
                </c:pt>
                <c:pt idx="7">
                  <c:v>1650</c:v>
                </c:pt>
                <c:pt idx="8">
                  <c:v>1109</c:v>
                </c:pt>
                <c:pt idx="9">
                  <c:v>0</c:v>
                </c:pt>
                <c:pt idx="10">
                  <c:v>0</c:v>
                </c:pt>
                <c:pt idx="11">
                  <c:v>4403</c:v>
                </c:pt>
                <c:pt idx="14">
                  <c:v>4167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4210</c:v>
                </c:pt>
                <c:pt idx="1">
                  <c:v>2320</c:v>
                </c:pt>
                <c:pt idx="2">
                  <c:v>2140</c:v>
                </c:pt>
                <c:pt idx="3">
                  <c:v>590</c:v>
                </c:pt>
                <c:pt idx="4">
                  <c:v>2220</c:v>
                </c:pt>
                <c:pt idx="5">
                  <c:v>3310</c:v>
                </c:pt>
                <c:pt idx="6">
                  <c:v>4840</c:v>
                </c:pt>
                <c:pt idx="7">
                  <c:v>1650</c:v>
                </c:pt>
                <c:pt idx="8">
                  <c:v>1110</c:v>
                </c:pt>
                <c:pt idx="9">
                  <c:v>877</c:v>
                </c:pt>
                <c:pt idx="10">
                  <c:v>25070</c:v>
                </c:pt>
                <c:pt idx="11">
                  <c:v>4410</c:v>
                </c:pt>
                <c:pt idx="12">
                  <c:v>3040</c:v>
                </c:pt>
                <c:pt idx="13">
                  <c:v>350</c:v>
                </c:pt>
                <c:pt idx="14">
                  <c:v>4170</c:v>
                </c:pt>
                <c:pt idx="15">
                  <c:v>39180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075264"/>
        <c:axId val="392001152"/>
      </c:lineChart>
      <c:catAx>
        <c:axId val="3920752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2001152"/>
        <c:crosses val="autoZero"/>
        <c:auto val="1"/>
        <c:lblAlgn val="ctr"/>
        <c:lblOffset val="100"/>
        <c:noMultiLvlLbl val="0"/>
      </c:catAx>
      <c:valAx>
        <c:axId val="3920011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075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"/>
                <c:pt idx="0">
                  <c:v>96% 33% 50% 12% 54% 87% 0% 38% 29% 0% 0% 96% 0% 0%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0.9574228028503563</c:v>
                </c:pt>
                <c:pt idx="1">
                  <c:v>0.33218390804597697</c:v>
                </c:pt>
                <c:pt idx="2">
                  <c:v>0.49883177570093457</c:v>
                </c:pt>
                <c:pt idx="3">
                  <c:v>0.12330508474576271</c:v>
                </c:pt>
                <c:pt idx="4">
                  <c:v>0.53947072072072066</c:v>
                </c:pt>
                <c:pt idx="5">
                  <c:v>0.87420694864048343</c:v>
                </c:pt>
                <c:pt idx="6">
                  <c:v>0</c:v>
                </c:pt>
                <c:pt idx="7">
                  <c:v>0.375</c:v>
                </c:pt>
                <c:pt idx="8">
                  <c:v>0.29140390390390392</c:v>
                </c:pt>
                <c:pt idx="9">
                  <c:v>0</c:v>
                </c:pt>
                <c:pt idx="10">
                  <c:v>0</c:v>
                </c:pt>
                <c:pt idx="11">
                  <c:v>0.95681216931216939</c:v>
                </c:pt>
                <c:pt idx="12">
                  <c:v>0</c:v>
                </c:pt>
                <c:pt idx="13">
                  <c:v>0</c:v>
                </c:pt>
                <c:pt idx="14">
                  <c:v>0.95764388489208641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'20'!$D$6:$D$21</c:f>
              <c:strCache>
                <c:ptCount val="16"/>
                <c:pt idx="0">
                  <c:v>STOPPER</c:v>
                </c:pt>
                <c:pt idx="1">
                  <c:v>COVER</c:v>
                </c:pt>
                <c:pt idx="2">
                  <c:v>STOPPER</c:v>
                </c:pt>
                <c:pt idx="3">
                  <c:v>ADAPTER</c:v>
                </c:pt>
                <c:pt idx="4">
                  <c:v>ACTUATOR</c:v>
                </c:pt>
                <c:pt idx="5">
                  <c:v>ACTUATOR</c:v>
                </c:pt>
                <c:pt idx="6">
                  <c:v>ACTUATOR</c:v>
                </c:pt>
                <c:pt idx="7">
                  <c:v>BODY</c:v>
                </c:pt>
                <c:pt idx="8">
                  <c:v>24TOP</c:v>
                </c:pt>
                <c:pt idx="9">
                  <c:v>PUSHER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0.39375207992082634</c:v>
                </c:pt>
                <c:pt idx="1">
                  <c:v>0.39375207992082634</c:v>
                </c:pt>
                <c:pt idx="2">
                  <c:v>0.39375207992082634</c:v>
                </c:pt>
                <c:pt idx="3">
                  <c:v>0.39375207992082634</c:v>
                </c:pt>
                <c:pt idx="4">
                  <c:v>0.39375207992082634</c:v>
                </c:pt>
                <c:pt idx="5">
                  <c:v>0.39375207992082634</c:v>
                </c:pt>
                <c:pt idx="6">
                  <c:v>0.39375207992082634</c:v>
                </c:pt>
                <c:pt idx="7">
                  <c:v>0.39375207992082634</c:v>
                </c:pt>
                <c:pt idx="8">
                  <c:v>0.39375207992082634</c:v>
                </c:pt>
                <c:pt idx="9">
                  <c:v>0.39375207992082634</c:v>
                </c:pt>
                <c:pt idx="10">
                  <c:v>0.39375207992082634</c:v>
                </c:pt>
                <c:pt idx="11">
                  <c:v>0.39375207992082634</c:v>
                </c:pt>
                <c:pt idx="12">
                  <c:v>0.39375207992082634</c:v>
                </c:pt>
                <c:pt idx="13">
                  <c:v>0.39375207992082634</c:v>
                </c:pt>
                <c:pt idx="14">
                  <c:v>0.39375207992082634</c:v>
                </c:pt>
                <c:pt idx="15">
                  <c:v>0.39375207992082634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847936"/>
        <c:axId val="392002880"/>
      </c:lineChart>
      <c:catAx>
        <c:axId val="39184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2002880"/>
        <c:crosses val="autoZero"/>
        <c:auto val="1"/>
        <c:lblAlgn val="ctr"/>
        <c:lblOffset val="100"/>
        <c:noMultiLvlLbl val="0"/>
      </c:catAx>
      <c:valAx>
        <c:axId val="3920028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184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848448"/>
        <c:axId val="3917431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848448"/>
        <c:axId val="391743168"/>
      </c:lineChart>
      <c:catAx>
        <c:axId val="39184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391743168"/>
        <c:crosses val="autoZero"/>
        <c:auto val="1"/>
        <c:lblAlgn val="ctr"/>
        <c:lblOffset val="100"/>
        <c:noMultiLvlLbl val="0"/>
      </c:catAx>
      <c:valAx>
        <c:axId val="3917431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18484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4870</c:v>
                </c:pt>
                <c:pt idx="1">
                  <c:v>1763</c:v>
                </c:pt>
                <c:pt idx="3">
                  <c:v>4993</c:v>
                </c:pt>
                <c:pt idx="4">
                  <c:v>1247</c:v>
                </c:pt>
                <c:pt idx="5">
                  <c:v>2193</c:v>
                </c:pt>
                <c:pt idx="6">
                  <c:v>1619</c:v>
                </c:pt>
                <c:pt idx="7">
                  <c:v>3241</c:v>
                </c:pt>
                <c:pt idx="9">
                  <c:v>3622</c:v>
                </c:pt>
                <c:pt idx="11">
                  <c:v>5243</c:v>
                </c:pt>
                <c:pt idx="14">
                  <c:v>2008</c:v>
                </c:pt>
                <c:pt idx="15">
                  <c:v>40636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4870</c:v>
                </c:pt>
                <c:pt idx="1">
                  <c:v>1770</c:v>
                </c:pt>
                <c:pt idx="2">
                  <c:v>2140</c:v>
                </c:pt>
                <c:pt idx="3">
                  <c:v>5000</c:v>
                </c:pt>
                <c:pt idx="4">
                  <c:v>1250</c:v>
                </c:pt>
                <c:pt idx="5">
                  <c:v>2200</c:v>
                </c:pt>
                <c:pt idx="6">
                  <c:v>1620</c:v>
                </c:pt>
                <c:pt idx="7">
                  <c:v>3250</c:v>
                </c:pt>
                <c:pt idx="8">
                  <c:v>1110</c:v>
                </c:pt>
                <c:pt idx="9">
                  <c:v>3630</c:v>
                </c:pt>
                <c:pt idx="10">
                  <c:v>25070</c:v>
                </c:pt>
                <c:pt idx="11">
                  <c:v>5250</c:v>
                </c:pt>
                <c:pt idx="12">
                  <c:v>3040</c:v>
                </c:pt>
                <c:pt idx="13">
                  <c:v>350</c:v>
                </c:pt>
                <c:pt idx="14">
                  <c:v>2010</c:v>
                </c:pt>
                <c:pt idx="15">
                  <c:v>40640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531456"/>
        <c:axId val="391746624"/>
      </c:lineChart>
      <c:catAx>
        <c:axId val="3925314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1746624"/>
        <c:crosses val="autoZero"/>
        <c:auto val="1"/>
        <c:lblAlgn val="ctr"/>
        <c:lblOffset val="100"/>
        <c:noMultiLvlLbl val="0"/>
      </c:catAx>
      <c:valAx>
        <c:axId val="391746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531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"/>
                <c:pt idx="0">
                  <c:v>100% 37% 0% 100% 29% 58% 33% 79% 0% 83% 0% 100% 0% 0% 50%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1</c:v>
                </c:pt>
                <c:pt idx="1">
                  <c:v>0.37351694915254241</c:v>
                </c:pt>
                <c:pt idx="2">
                  <c:v>0</c:v>
                </c:pt>
                <c:pt idx="3">
                  <c:v>0.99860000000000004</c:v>
                </c:pt>
                <c:pt idx="4">
                  <c:v>0.29096666666666671</c:v>
                </c:pt>
                <c:pt idx="5">
                  <c:v>0.58147727272727279</c:v>
                </c:pt>
                <c:pt idx="6">
                  <c:v>0.33312757201646087</c:v>
                </c:pt>
                <c:pt idx="7">
                  <c:v>0.78947435897435891</c:v>
                </c:pt>
                <c:pt idx="8">
                  <c:v>0</c:v>
                </c:pt>
                <c:pt idx="9">
                  <c:v>0.83149678604224053</c:v>
                </c:pt>
                <c:pt idx="10">
                  <c:v>0</c:v>
                </c:pt>
                <c:pt idx="11">
                  <c:v>0.9986666666666667</c:v>
                </c:pt>
                <c:pt idx="12">
                  <c:v>0</c:v>
                </c:pt>
                <c:pt idx="13">
                  <c:v>0</c:v>
                </c:pt>
                <c:pt idx="14">
                  <c:v>0.49950248756218907</c:v>
                </c:pt>
                <c:pt idx="15">
                  <c:v>0.87491387795275588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0.50478284251741035</c:v>
                </c:pt>
                <c:pt idx="1">
                  <c:v>0.50478284251741035</c:v>
                </c:pt>
                <c:pt idx="2">
                  <c:v>0.50478284251741035</c:v>
                </c:pt>
                <c:pt idx="3">
                  <c:v>0.50478284251741035</c:v>
                </c:pt>
                <c:pt idx="4">
                  <c:v>0.50478284251741035</c:v>
                </c:pt>
                <c:pt idx="5">
                  <c:v>0.50478284251741035</c:v>
                </c:pt>
                <c:pt idx="6">
                  <c:v>0.50478284251741035</c:v>
                </c:pt>
                <c:pt idx="7">
                  <c:v>0.50478284251741035</c:v>
                </c:pt>
                <c:pt idx="8">
                  <c:v>0.50478284251741035</c:v>
                </c:pt>
                <c:pt idx="9">
                  <c:v>0.49950248756218907</c:v>
                </c:pt>
                <c:pt idx="10">
                  <c:v>0.50478284251741035</c:v>
                </c:pt>
                <c:pt idx="11">
                  <c:v>0.50478284251741035</c:v>
                </c:pt>
                <c:pt idx="12">
                  <c:v>0.50478284251741035</c:v>
                </c:pt>
                <c:pt idx="13">
                  <c:v>0.50478284251741035</c:v>
                </c:pt>
                <c:pt idx="14">
                  <c:v>0.50478284251741035</c:v>
                </c:pt>
                <c:pt idx="15">
                  <c:v>0.50478284251741035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545792"/>
        <c:axId val="391748352"/>
      </c:lineChart>
      <c:catAx>
        <c:axId val="39254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1748352"/>
        <c:crosses val="autoZero"/>
        <c:auto val="1"/>
        <c:lblAlgn val="ctr"/>
        <c:lblOffset val="100"/>
        <c:noMultiLvlLbl val="0"/>
      </c:catAx>
      <c:valAx>
        <c:axId val="391748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2545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4870</c:v>
                </c:pt>
                <c:pt idx="1">
                  <c:v>1763</c:v>
                </c:pt>
                <c:pt idx="3">
                  <c:v>4993</c:v>
                </c:pt>
                <c:pt idx="4">
                  <c:v>1247</c:v>
                </c:pt>
                <c:pt idx="5">
                  <c:v>2193</c:v>
                </c:pt>
                <c:pt idx="6">
                  <c:v>1619</c:v>
                </c:pt>
                <c:pt idx="7">
                  <c:v>3241</c:v>
                </c:pt>
                <c:pt idx="9">
                  <c:v>3622</c:v>
                </c:pt>
                <c:pt idx="11">
                  <c:v>5243</c:v>
                </c:pt>
                <c:pt idx="14">
                  <c:v>2008</c:v>
                </c:pt>
                <c:pt idx="15">
                  <c:v>40636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4870</c:v>
                </c:pt>
                <c:pt idx="1">
                  <c:v>1770</c:v>
                </c:pt>
                <c:pt idx="2">
                  <c:v>2140</c:v>
                </c:pt>
                <c:pt idx="3">
                  <c:v>5000</c:v>
                </c:pt>
                <c:pt idx="4">
                  <c:v>1250</c:v>
                </c:pt>
                <c:pt idx="5">
                  <c:v>2200</c:v>
                </c:pt>
                <c:pt idx="6">
                  <c:v>1620</c:v>
                </c:pt>
                <c:pt idx="7">
                  <c:v>3250</c:v>
                </c:pt>
                <c:pt idx="8">
                  <c:v>1110</c:v>
                </c:pt>
                <c:pt idx="9">
                  <c:v>3630</c:v>
                </c:pt>
                <c:pt idx="10">
                  <c:v>25070</c:v>
                </c:pt>
                <c:pt idx="11">
                  <c:v>5250</c:v>
                </c:pt>
                <c:pt idx="12">
                  <c:v>3040</c:v>
                </c:pt>
                <c:pt idx="13">
                  <c:v>350</c:v>
                </c:pt>
                <c:pt idx="14">
                  <c:v>2010</c:v>
                </c:pt>
                <c:pt idx="15">
                  <c:v>40640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546304"/>
        <c:axId val="392578176"/>
      </c:lineChart>
      <c:catAx>
        <c:axId val="3925463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2578176"/>
        <c:crosses val="autoZero"/>
        <c:auto val="1"/>
        <c:lblAlgn val="ctr"/>
        <c:lblOffset val="100"/>
        <c:noMultiLvlLbl val="0"/>
      </c:catAx>
      <c:valAx>
        <c:axId val="3925781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546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"/>
                <c:pt idx="0">
                  <c:v>100% 37% 0% 100% 29% 58% 33% 79% 0% 83% 0% 100% 0% 0% 50% 87%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1</c:v>
                </c:pt>
                <c:pt idx="1">
                  <c:v>0.37351694915254241</c:v>
                </c:pt>
                <c:pt idx="2">
                  <c:v>0</c:v>
                </c:pt>
                <c:pt idx="3">
                  <c:v>0.99860000000000004</c:v>
                </c:pt>
                <c:pt idx="4">
                  <c:v>0.29096666666666671</c:v>
                </c:pt>
                <c:pt idx="5">
                  <c:v>0.58147727272727279</c:v>
                </c:pt>
                <c:pt idx="6">
                  <c:v>0.33312757201646087</c:v>
                </c:pt>
                <c:pt idx="7">
                  <c:v>0.78947435897435891</c:v>
                </c:pt>
                <c:pt idx="8">
                  <c:v>0</c:v>
                </c:pt>
                <c:pt idx="9">
                  <c:v>0.83149678604224053</c:v>
                </c:pt>
                <c:pt idx="10">
                  <c:v>0</c:v>
                </c:pt>
                <c:pt idx="11">
                  <c:v>0.9986666666666667</c:v>
                </c:pt>
                <c:pt idx="12">
                  <c:v>0</c:v>
                </c:pt>
                <c:pt idx="13">
                  <c:v>0</c:v>
                </c:pt>
                <c:pt idx="14">
                  <c:v>0.49950248756218907</c:v>
                </c:pt>
                <c:pt idx="15">
                  <c:v>0.87491387795275588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STOPPER</c:v>
                </c:pt>
                <c:pt idx="3">
                  <c:v>ACTUATOR</c:v>
                </c:pt>
                <c:pt idx="4">
                  <c:v>ACTUATOR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24TOP</c:v>
                </c:pt>
                <c:pt idx="9">
                  <c:v>COVER</c:v>
                </c:pt>
                <c:pt idx="10">
                  <c:v>DETECTOR</c:v>
                </c:pt>
                <c:pt idx="11">
                  <c:v>LEAD GUIDE</c:v>
                </c:pt>
                <c:pt idx="12">
                  <c:v>SAM</c:v>
                </c:pt>
                <c:pt idx="13">
                  <c:v>BODY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0.50478284251741035</c:v>
                </c:pt>
                <c:pt idx="1">
                  <c:v>0.50478284251741035</c:v>
                </c:pt>
                <c:pt idx="2">
                  <c:v>0.50478284251741035</c:v>
                </c:pt>
                <c:pt idx="3">
                  <c:v>0.50478284251741035</c:v>
                </c:pt>
                <c:pt idx="4">
                  <c:v>0.50478284251741035</c:v>
                </c:pt>
                <c:pt idx="5">
                  <c:v>0.50478284251741035</c:v>
                </c:pt>
                <c:pt idx="6">
                  <c:v>0.50478284251741035</c:v>
                </c:pt>
                <c:pt idx="7">
                  <c:v>0.50478284251741035</c:v>
                </c:pt>
                <c:pt idx="8">
                  <c:v>0.50478284251741035</c:v>
                </c:pt>
                <c:pt idx="9">
                  <c:v>0.49950248756218907</c:v>
                </c:pt>
                <c:pt idx="10">
                  <c:v>0.50478284251741035</c:v>
                </c:pt>
                <c:pt idx="11">
                  <c:v>0.50478284251741035</c:v>
                </c:pt>
                <c:pt idx="12">
                  <c:v>0.50478284251741035</c:v>
                </c:pt>
                <c:pt idx="13">
                  <c:v>0.50478284251741035</c:v>
                </c:pt>
                <c:pt idx="14">
                  <c:v>0.50478284251741035</c:v>
                </c:pt>
                <c:pt idx="15">
                  <c:v>0.50478284251741035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547328"/>
        <c:axId val="392579904"/>
      </c:lineChart>
      <c:catAx>
        <c:axId val="39254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2579904"/>
        <c:crosses val="autoZero"/>
        <c:auto val="1"/>
        <c:lblAlgn val="ctr"/>
        <c:lblOffset val="100"/>
        <c:noMultiLvlLbl val="0"/>
      </c:catAx>
      <c:valAx>
        <c:axId val="3925799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2547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545280"/>
        <c:axId val="3925822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545280"/>
        <c:axId val="392582208"/>
      </c:lineChart>
      <c:catAx>
        <c:axId val="39254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392582208"/>
        <c:crosses val="autoZero"/>
        <c:auto val="1"/>
        <c:lblAlgn val="ctr"/>
        <c:lblOffset val="100"/>
        <c:noMultiLvlLbl val="0"/>
      </c:catAx>
      <c:valAx>
        <c:axId val="3925822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25452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0">
                  <c:v>4920</c:v>
                </c:pt>
                <c:pt idx="1">
                  <c:v>3788</c:v>
                </c:pt>
                <c:pt idx="3">
                  <c:v>1256</c:v>
                </c:pt>
                <c:pt idx="4">
                  <c:v>1360</c:v>
                </c:pt>
                <c:pt idx="5">
                  <c:v>2022</c:v>
                </c:pt>
                <c:pt idx="7">
                  <c:v>1960</c:v>
                </c:pt>
                <c:pt idx="8">
                  <c:v>1788</c:v>
                </c:pt>
                <c:pt idx="9">
                  <c:v>1242</c:v>
                </c:pt>
                <c:pt idx="10">
                  <c:v>5288</c:v>
                </c:pt>
                <c:pt idx="12">
                  <c:v>5673</c:v>
                </c:pt>
                <c:pt idx="13">
                  <c:v>1368</c:v>
                </c:pt>
                <c:pt idx="14">
                  <c:v>1854</c:v>
                </c:pt>
                <c:pt idx="15">
                  <c:v>2371</c:v>
                </c:pt>
                <c:pt idx="16">
                  <c:v>52572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4920</c:v>
                </c:pt>
                <c:pt idx="1">
                  <c:v>3790</c:v>
                </c:pt>
                <c:pt idx="2">
                  <c:v>2140</c:v>
                </c:pt>
                <c:pt idx="3">
                  <c:v>1260</c:v>
                </c:pt>
                <c:pt idx="4">
                  <c:v>1360</c:v>
                </c:pt>
                <c:pt idx="5">
                  <c:v>2030</c:v>
                </c:pt>
                <c:pt idx="6">
                  <c:v>1620</c:v>
                </c:pt>
                <c:pt idx="7">
                  <c:v>1960</c:v>
                </c:pt>
                <c:pt idx="8">
                  <c:v>1790</c:v>
                </c:pt>
                <c:pt idx="9">
                  <c:v>1250</c:v>
                </c:pt>
                <c:pt idx="10">
                  <c:v>5290</c:v>
                </c:pt>
                <c:pt idx="11">
                  <c:v>25070</c:v>
                </c:pt>
                <c:pt idx="12">
                  <c:v>5680</c:v>
                </c:pt>
                <c:pt idx="13">
                  <c:v>1370</c:v>
                </c:pt>
                <c:pt idx="14">
                  <c:v>1860</c:v>
                </c:pt>
                <c:pt idx="15">
                  <c:v>2380</c:v>
                </c:pt>
                <c:pt idx="16">
                  <c:v>52580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10272"/>
        <c:axId val="392978432"/>
      </c:lineChart>
      <c:catAx>
        <c:axId val="3923102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2978432"/>
        <c:crosses val="autoZero"/>
        <c:auto val="1"/>
        <c:lblAlgn val="ctr"/>
        <c:lblOffset val="100"/>
        <c:noMultiLvlLbl val="0"/>
      </c:catAx>
      <c:valAx>
        <c:axId val="3929784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31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"/>
                <c:pt idx="0">
                  <c:v>100% 92% 0% 17% 17% 50% 0% 29% 25% 17% 100% 0% 100% 17% 58% 54%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1</c:v>
                </c:pt>
                <c:pt idx="1">
                  <c:v>0.91618293755496916</c:v>
                </c:pt>
                <c:pt idx="2">
                  <c:v>0</c:v>
                </c:pt>
                <c:pt idx="3">
                  <c:v>0.16613756613756614</c:v>
                </c:pt>
                <c:pt idx="4">
                  <c:v>0.16666666666666666</c:v>
                </c:pt>
                <c:pt idx="5">
                  <c:v>0.49802955665024629</c:v>
                </c:pt>
                <c:pt idx="6">
                  <c:v>0</c:v>
                </c:pt>
                <c:pt idx="7">
                  <c:v>0.29166666666666669</c:v>
                </c:pt>
                <c:pt idx="8">
                  <c:v>0.24972067039106144</c:v>
                </c:pt>
                <c:pt idx="9">
                  <c:v>0.1656</c:v>
                </c:pt>
                <c:pt idx="10">
                  <c:v>0.99962192816635165</c:v>
                </c:pt>
                <c:pt idx="11">
                  <c:v>0</c:v>
                </c:pt>
                <c:pt idx="12">
                  <c:v>0.99876760563380285</c:v>
                </c:pt>
                <c:pt idx="13">
                  <c:v>0.16642335766423355</c:v>
                </c:pt>
                <c:pt idx="14">
                  <c:v>0.58145161290322589</c:v>
                </c:pt>
                <c:pt idx="15">
                  <c:v>0.53961834733893554</c:v>
                </c:pt>
                <c:pt idx="16">
                  <c:v>0.99984785089387596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0.51598231777784009</c:v>
                </c:pt>
                <c:pt idx="1">
                  <c:v>0.51598231777784009</c:v>
                </c:pt>
                <c:pt idx="2">
                  <c:v>0.51598231777784009</c:v>
                </c:pt>
                <c:pt idx="3">
                  <c:v>0.51598231777784009</c:v>
                </c:pt>
                <c:pt idx="4">
                  <c:v>0.51598231777784009</c:v>
                </c:pt>
                <c:pt idx="5">
                  <c:v>0.51598231777784009</c:v>
                </c:pt>
                <c:pt idx="6">
                  <c:v>0.51598231777784009</c:v>
                </c:pt>
                <c:pt idx="7">
                  <c:v>0.51598231777784009</c:v>
                </c:pt>
                <c:pt idx="8">
                  <c:v>0.51598231777784009</c:v>
                </c:pt>
                <c:pt idx="9">
                  <c:v>0.51598231777784009</c:v>
                </c:pt>
                <c:pt idx="10">
                  <c:v>0.53961834733893554</c:v>
                </c:pt>
                <c:pt idx="11">
                  <c:v>0.51598231777784009</c:v>
                </c:pt>
                <c:pt idx="12">
                  <c:v>0.51598231777784009</c:v>
                </c:pt>
                <c:pt idx="13">
                  <c:v>0.51598231777784009</c:v>
                </c:pt>
                <c:pt idx="14">
                  <c:v>0.51598231777784009</c:v>
                </c:pt>
                <c:pt idx="15">
                  <c:v>0.51598231777784009</c:v>
                </c:pt>
                <c:pt idx="16">
                  <c:v>0.51598231777784009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31776"/>
        <c:axId val="392980160"/>
      </c:lineChart>
      <c:catAx>
        <c:axId val="39233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2980160"/>
        <c:crosses val="autoZero"/>
        <c:auto val="1"/>
        <c:lblAlgn val="ctr"/>
        <c:lblOffset val="100"/>
        <c:noMultiLvlLbl val="0"/>
      </c:catAx>
      <c:valAx>
        <c:axId val="3929801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233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0">
                  <c:v>4920</c:v>
                </c:pt>
                <c:pt idx="1">
                  <c:v>3788</c:v>
                </c:pt>
                <c:pt idx="3">
                  <c:v>1256</c:v>
                </c:pt>
                <c:pt idx="4">
                  <c:v>1360</c:v>
                </c:pt>
                <c:pt idx="5">
                  <c:v>2022</c:v>
                </c:pt>
                <c:pt idx="7">
                  <c:v>1960</c:v>
                </c:pt>
                <c:pt idx="8">
                  <c:v>1788</c:v>
                </c:pt>
                <c:pt idx="9">
                  <c:v>1242</c:v>
                </c:pt>
                <c:pt idx="10">
                  <c:v>5288</c:v>
                </c:pt>
                <c:pt idx="12">
                  <c:v>5673</c:v>
                </c:pt>
                <c:pt idx="13">
                  <c:v>1368</c:v>
                </c:pt>
                <c:pt idx="14">
                  <c:v>1854</c:v>
                </c:pt>
                <c:pt idx="15">
                  <c:v>2371</c:v>
                </c:pt>
                <c:pt idx="16">
                  <c:v>52572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4920</c:v>
                </c:pt>
                <c:pt idx="1">
                  <c:v>3790</c:v>
                </c:pt>
                <c:pt idx="2">
                  <c:v>2140</c:v>
                </c:pt>
                <c:pt idx="3">
                  <c:v>1260</c:v>
                </c:pt>
                <c:pt idx="4">
                  <c:v>1360</c:v>
                </c:pt>
                <c:pt idx="5">
                  <c:v>2030</c:v>
                </c:pt>
                <c:pt idx="6">
                  <c:v>1620</c:v>
                </c:pt>
                <c:pt idx="7">
                  <c:v>1960</c:v>
                </c:pt>
                <c:pt idx="8">
                  <c:v>1790</c:v>
                </c:pt>
                <c:pt idx="9">
                  <c:v>1250</c:v>
                </c:pt>
                <c:pt idx="10">
                  <c:v>5290</c:v>
                </c:pt>
                <c:pt idx="11">
                  <c:v>25070</c:v>
                </c:pt>
                <c:pt idx="12">
                  <c:v>5680</c:v>
                </c:pt>
                <c:pt idx="13">
                  <c:v>1370</c:v>
                </c:pt>
                <c:pt idx="14">
                  <c:v>1860</c:v>
                </c:pt>
                <c:pt idx="15">
                  <c:v>2380</c:v>
                </c:pt>
                <c:pt idx="16">
                  <c:v>52580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32800"/>
        <c:axId val="392982464"/>
      </c:lineChart>
      <c:catAx>
        <c:axId val="3923328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2982464"/>
        <c:crosses val="autoZero"/>
        <c:auto val="1"/>
        <c:lblAlgn val="ctr"/>
        <c:lblOffset val="100"/>
        <c:noMultiLvlLbl val="0"/>
      </c:catAx>
      <c:valAx>
        <c:axId val="392982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332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"/>
                <c:pt idx="0">
                  <c:v>100% 92% 0% 17% 17% 50% 0% 29% 25% 17% 100% 0% 100% 17% 58% 54%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1</c:v>
                </c:pt>
                <c:pt idx="1">
                  <c:v>0.91618293755496916</c:v>
                </c:pt>
                <c:pt idx="2">
                  <c:v>0</c:v>
                </c:pt>
                <c:pt idx="3">
                  <c:v>0.16613756613756614</c:v>
                </c:pt>
                <c:pt idx="4">
                  <c:v>0.16666666666666666</c:v>
                </c:pt>
                <c:pt idx="5">
                  <c:v>0.49802955665024629</c:v>
                </c:pt>
                <c:pt idx="6">
                  <c:v>0</c:v>
                </c:pt>
                <c:pt idx="7">
                  <c:v>0.29166666666666669</c:v>
                </c:pt>
                <c:pt idx="8">
                  <c:v>0.24972067039106144</c:v>
                </c:pt>
                <c:pt idx="9">
                  <c:v>0.1656</c:v>
                </c:pt>
                <c:pt idx="10">
                  <c:v>0.99962192816635165</c:v>
                </c:pt>
                <c:pt idx="11">
                  <c:v>0</c:v>
                </c:pt>
                <c:pt idx="12">
                  <c:v>0.99876760563380285</c:v>
                </c:pt>
                <c:pt idx="13">
                  <c:v>0.16642335766423355</c:v>
                </c:pt>
                <c:pt idx="14">
                  <c:v>0.58145161290322589</c:v>
                </c:pt>
                <c:pt idx="15">
                  <c:v>0.53961834733893554</c:v>
                </c:pt>
                <c:pt idx="16">
                  <c:v>0.99984785089387596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'22'!$D$6:$D$22</c:f>
              <c:strCache>
                <c:ptCount val="17"/>
                <c:pt idx="0">
                  <c:v>STOPPER</c:v>
                </c:pt>
                <c:pt idx="1">
                  <c:v>BODY</c:v>
                </c:pt>
                <c:pt idx="2">
                  <c:v>STOPPER</c:v>
                </c:pt>
                <c:pt idx="3">
                  <c:v>ACTUATOR</c:v>
                </c:pt>
                <c:pt idx="4">
                  <c:v>COVER</c:v>
                </c:pt>
                <c:pt idx="5">
                  <c:v>BASE</c:v>
                </c:pt>
                <c:pt idx="6">
                  <c:v>SLIDER</c:v>
                </c:pt>
                <c:pt idx="7">
                  <c:v>BODY</c:v>
                </c:pt>
                <c:pt idx="8">
                  <c:v>BASE</c:v>
                </c:pt>
                <c:pt idx="9">
                  <c:v>STOPPER</c:v>
                </c:pt>
                <c:pt idx="10">
                  <c:v>COVER</c:v>
                </c:pt>
                <c:pt idx="11">
                  <c:v>DETECTOR</c:v>
                </c:pt>
                <c:pt idx="12">
                  <c:v>LEAD GUIDE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0.51598231777784009</c:v>
                </c:pt>
                <c:pt idx="1">
                  <c:v>0.51598231777784009</c:v>
                </c:pt>
                <c:pt idx="2">
                  <c:v>0.51598231777784009</c:v>
                </c:pt>
                <c:pt idx="3">
                  <c:v>0.51598231777784009</c:v>
                </c:pt>
                <c:pt idx="4">
                  <c:v>0.51598231777784009</c:v>
                </c:pt>
                <c:pt idx="5">
                  <c:v>0.51598231777784009</c:v>
                </c:pt>
                <c:pt idx="6">
                  <c:v>0.51598231777784009</c:v>
                </c:pt>
                <c:pt idx="7">
                  <c:v>0.51598231777784009</c:v>
                </c:pt>
                <c:pt idx="8">
                  <c:v>0.51598231777784009</c:v>
                </c:pt>
                <c:pt idx="9">
                  <c:v>0.51598231777784009</c:v>
                </c:pt>
                <c:pt idx="10">
                  <c:v>0.53961834733893554</c:v>
                </c:pt>
                <c:pt idx="11">
                  <c:v>0.51598231777784009</c:v>
                </c:pt>
                <c:pt idx="12">
                  <c:v>0.51598231777784009</c:v>
                </c:pt>
                <c:pt idx="13">
                  <c:v>0.51598231777784009</c:v>
                </c:pt>
                <c:pt idx="14">
                  <c:v>0.51598231777784009</c:v>
                </c:pt>
                <c:pt idx="15">
                  <c:v>0.51598231777784009</c:v>
                </c:pt>
                <c:pt idx="16">
                  <c:v>0.51598231777784009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33312"/>
        <c:axId val="392984192"/>
      </c:lineChart>
      <c:catAx>
        <c:axId val="39233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2984192"/>
        <c:crosses val="autoZero"/>
        <c:auto val="1"/>
        <c:lblAlgn val="ctr"/>
        <c:lblOffset val="100"/>
        <c:noMultiLvlLbl val="0"/>
      </c:catAx>
      <c:valAx>
        <c:axId val="3929841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2333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333824"/>
        <c:axId val="3922247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33824"/>
        <c:axId val="392224768"/>
      </c:lineChart>
      <c:catAx>
        <c:axId val="39233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392224768"/>
        <c:crosses val="autoZero"/>
        <c:auto val="1"/>
        <c:lblAlgn val="ctr"/>
        <c:lblOffset val="100"/>
        <c:noMultiLvlLbl val="0"/>
      </c:catAx>
      <c:valAx>
        <c:axId val="3922247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233382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0">
                  <c:v>1272</c:v>
                </c:pt>
                <c:pt idx="1">
                  <c:v>4480</c:v>
                </c:pt>
                <c:pt idx="2">
                  <c:v>1182</c:v>
                </c:pt>
                <c:pt idx="4">
                  <c:v>4472</c:v>
                </c:pt>
                <c:pt idx="7">
                  <c:v>1112</c:v>
                </c:pt>
                <c:pt idx="8">
                  <c:v>5060</c:v>
                </c:pt>
                <c:pt idx="10">
                  <c:v>5638</c:v>
                </c:pt>
                <c:pt idx="12">
                  <c:v>3132</c:v>
                </c:pt>
                <c:pt idx="13">
                  <c:v>2495</c:v>
                </c:pt>
                <c:pt idx="14">
                  <c:v>50384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1280</c:v>
                </c:pt>
                <c:pt idx="1">
                  <c:v>4480</c:v>
                </c:pt>
                <c:pt idx="2">
                  <c:v>1190</c:v>
                </c:pt>
                <c:pt idx="3">
                  <c:v>1260</c:v>
                </c:pt>
                <c:pt idx="4">
                  <c:v>4480</c:v>
                </c:pt>
                <c:pt idx="5">
                  <c:v>1620</c:v>
                </c:pt>
                <c:pt idx="6">
                  <c:v>1960</c:v>
                </c:pt>
                <c:pt idx="7">
                  <c:v>1120</c:v>
                </c:pt>
                <c:pt idx="8">
                  <c:v>5060</c:v>
                </c:pt>
                <c:pt idx="9">
                  <c:v>25070</c:v>
                </c:pt>
                <c:pt idx="10">
                  <c:v>5640</c:v>
                </c:pt>
                <c:pt idx="11">
                  <c:v>1370</c:v>
                </c:pt>
                <c:pt idx="12">
                  <c:v>3140</c:v>
                </c:pt>
                <c:pt idx="13">
                  <c:v>2500</c:v>
                </c:pt>
                <c:pt idx="14">
                  <c:v>50390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709632"/>
        <c:axId val="392227072"/>
      </c:lineChart>
      <c:catAx>
        <c:axId val="3927096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2227072"/>
        <c:crosses val="autoZero"/>
        <c:auto val="1"/>
        <c:lblAlgn val="ctr"/>
        <c:lblOffset val="100"/>
        <c:noMultiLvlLbl val="0"/>
      </c:catAx>
      <c:valAx>
        <c:axId val="3922270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709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33% 100% 33% 0% 100% 0% 0% 50% 100% 0% 100% 0% 71% 67%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0.33124999999999999</c:v>
                </c:pt>
                <c:pt idx="1">
                  <c:v>1</c:v>
                </c:pt>
                <c:pt idx="2">
                  <c:v>0.33109243697478991</c:v>
                </c:pt>
                <c:pt idx="3">
                  <c:v>0</c:v>
                </c:pt>
                <c:pt idx="4">
                  <c:v>0.99821428571428572</c:v>
                </c:pt>
                <c:pt idx="5">
                  <c:v>0</c:v>
                </c:pt>
                <c:pt idx="6">
                  <c:v>0</c:v>
                </c:pt>
                <c:pt idx="7">
                  <c:v>0.49642857142857144</c:v>
                </c:pt>
                <c:pt idx="8">
                  <c:v>1</c:v>
                </c:pt>
                <c:pt idx="9">
                  <c:v>0</c:v>
                </c:pt>
                <c:pt idx="10">
                  <c:v>0.99964539007092201</c:v>
                </c:pt>
                <c:pt idx="11">
                  <c:v>0</c:v>
                </c:pt>
                <c:pt idx="12">
                  <c:v>0.70652866242038215</c:v>
                </c:pt>
                <c:pt idx="13">
                  <c:v>0.66533333333333333</c:v>
                </c:pt>
                <c:pt idx="14">
                  <c:v>0.99988092875570544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0.50189157391319927</c:v>
                </c:pt>
                <c:pt idx="1">
                  <c:v>0.50189157391319927</c:v>
                </c:pt>
                <c:pt idx="2">
                  <c:v>0.50189157391319927</c:v>
                </c:pt>
                <c:pt idx="3">
                  <c:v>0.50189157391319927</c:v>
                </c:pt>
                <c:pt idx="4">
                  <c:v>0.50189157391319927</c:v>
                </c:pt>
                <c:pt idx="5">
                  <c:v>0.50189157391319927</c:v>
                </c:pt>
                <c:pt idx="6">
                  <c:v>0.50189157391319927</c:v>
                </c:pt>
                <c:pt idx="7">
                  <c:v>0.50189157391319927</c:v>
                </c:pt>
                <c:pt idx="8">
                  <c:v>0.66533333333333333</c:v>
                </c:pt>
                <c:pt idx="9">
                  <c:v>0.50189157391319927</c:v>
                </c:pt>
                <c:pt idx="10">
                  <c:v>0.50189157391319927</c:v>
                </c:pt>
                <c:pt idx="11">
                  <c:v>0.50189157391319927</c:v>
                </c:pt>
                <c:pt idx="12">
                  <c:v>0.50189157391319927</c:v>
                </c:pt>
                <c:pt idx="13">
                  <c:v>0.50189157391319927</c:v>
                </c:pt>
                <c:pt idx="14">
                  <c:v>0.50189157391319927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711680"/>
        <c:axId val="392228800"/>
      </c:lineChart>
      <c:catAx>
        <c:axId val="39271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2228800"/>
        <c:crosses val="autoZero"/>
        <c:auto val="1"/>
        <c:lblAlgn val="ctr"/>
        <c:lblOffset val="100"/>
        <c:noMultiLvlLbl val="0"/>
      </c:catAx>
      <c:valAx>
        <c:axId val="392228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271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0">
                  <c:v>1272</c:v>
                </c:pt>
                <c:pt idx="1">
                  <c:v>4480</c:v>
                </c:pt>
                <c:pt idx="2">
                  <c:v>1182</c:v>
                </c:pt>
                <c:pt idx="4">
                  <c:v>4472</c:v>
                </c:pt>
                <c:pt idx="7">
                  <c:v>1112</c:v>
                </c:pt>
                <c:pt idx="8">
                  <c:v>5060</c:v>
                </c:pt>
                <c:pt idx="10">
                  <c:v>5638</c:v>
                </c:pt>
                <c:pt idx="12">
                  <c:v>3132</c:v>
                </c:pt>
                <c:pt idx="13">
                  <c:v>2495</c:v>
                </c:pt>
                <c:pt idx="14">
                  <c:v>50384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1280</c:v>
                </c:pt>
                <c:pt idx="1">
                  <c:v>4480</c:v>
                </c:pt>
                <c:pt idx="2">
                  <c:v>1190</c:v>
                </c:pt>
                <c:pt idx="3">
                  <c:v>1260</c:v>
                </c:pt>
                <c:pt idx="4">
                  <c:v>4480</c:v>
                </c:pt>
                <c:pt idx="5">
                  <c:v>1620</c:v>
                </c:pt>
                <c:pt idx="6">
                  <c:v>1960</c:v>
                </c:pt>
                <c:pt idx="7">
                  <c:v>1120</c:v>
                </c:pt>
                <c:pt idx="8">
                  <c:v>5060</c:v>
                </c:pt>
                <c:pt idx="9">
                  <c:v>25070</c:v>
                </c:pt>
                <c:pt idx="10">
                  <c:v>5640</c:v>
                </c:pt>
                <c:pt idx="11">
                  <c:v>1370</c:v>
                </c:pt>
                <c:pt idx="12">
                  <c:v>3140</c:v>
                </c:pt>
                <c:pt idx="13">
                  <c:v>2500</c:v>
                </c:pt>
                <c:pt idx="14">
                  <c:v>50390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781824"/>
        <c:axId val="392231104"/>
      </c:lineChart>
      <c:catAx>
        <c:axId val="3927818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2231104"/>
        <c:crosses val="autoZero"/>
        <c:auto val="1"/>
        <c:lblAlgn val="ctr"/>
        <c:lblOffset val="100"/>
        <c:noMultiLvlLbl val="0"/>
      </c:catAx>
      <c:valAx>
        <c:axId val="3922311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2781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33% 100% 33% 0% 100% 0% 0% 50% 100% 0% 100% 0% 71% 67%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0.33124999999999999</c:v>
                </c:pt>
                <c:pt idx="1">
                  <c:v>1</c:v>
                </c:pt>
                <c:pt idx="2">
                  <c:v>0.33109243697478991</c:v>
                </c:pt>
                <c:pt idx="3">
                  <c:v>0</c:v>
                </c:pt>
                <c:pt idx="4">
                  <c:v>0.99821428571428572</c:v>
                </c:pt>
                <c:pt idx="5">
                  <c:v>0</c:v>
                </c:pt>
                <c:pt idx="6">
                  <c:v>0</c:v>
                </c:pt>
                <c:pt idx="7">
                  <c:v>0.49642857142857144</c:v>
                </c:pt>
                <c:pt idx="8">
                  <c:v>1</c:v>
                </c:pt>
                <c:pt idx="9">
                  <c:v>0</c:v>
                </c:pt>
                <c:pt idx="10">
                  <c:v>0.99964539007092201</c:v>
                </c:pt>
                <c:pt idx="11">
                  <c:v>0</c:v>
                </c:pt>
                <c:pt idx="12">
                  <c:v>0.70652866242038215</c:v>
                </c:pt>
                <c:pt idx="13">
                  <c:v>0.66533333333333333</c:v>
                </c:pt>
                <c:pt idx="14">
                  <c:v>0.99988092875570544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0.50189157391319927</c:v>
                </c:pt>
                <c:pt idx="1">
                  <c:v>0.50189157391319927</c:v>
                </c:pt>
                <c:pt idx="2">
                  <c:v>0.50189157391319927</c:v>
                </c:pt>
                <c:pt idx="3">
                  <c:v>0.50189157391319927</c:v>
                </c:pt>
                <c:pt idx="4">
                  <c:v>0.50189157391319927</c:v>
                </c:pt>
                <c:pt idx="5">
                  <c:v>0.50189157391319927</c:v>
                </c:pt>
                <c:pt idx="6">
                  <c:v>0.50189157391319927</c:v>
                </c:pt>
                <c:pt idx="7">
                  <c:v>0.50189157391319927</c:v>
                </c:pt>
                <c:pt idx="8">
                  <c:v>0.66533333333333333</c:v>
                </c:pt>
                <c:pt idx="9">
                  <c:v>0.50189157391319927</c:v>
                </c:pt>
                <c:pt idx="10">
                  <c:v>0.50189157391319927</c:v>
                </c:pt>
                <c:pt idx="11">
                  <c:v>0.50189157391319927</c:v>
                </c:pt>
                <c:pt idx="12">
                  <c:v>0.50189157391319927</c:v>
                </c:pt>
                <c:pt idx="13">
                  <c:v>0.50189157391319927</c:v>
                </c:pt>
                <c:pt idx="14">
                  <c:v>0.50189157391319927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783360"/>
        <c:axId val="392839168"/>
      </c:lineChart>
      <c:catAx>
        <c:axId val="39278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2839168"/>
        <c:crosses val="autoZero"/>
        <c:auto val="1"/>
        <c:lblAlgn val="ctr"/>
        <c:lblOffset val="100"/>
        <c:noMultiLvlLbl val="0"/>
      </c:catAx>
      <c:valAx>
        <c:axId val="3928391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2783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784896"/>
        <c:axId val="39284147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784896"/>
        <c:axId val="392841472"/>
      </c:lineChart>
      <c:catAx>
        <c:axId val="39278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392841472"/>
        <c:crosses val="autoZero"/>
        <c:auto val="1"/>
        <c:lblAlgn val="ctr"/>
        <c:lblOffset val="100"/>
        <c:noMultiLvlLbl val="0"/>
      </c:catAx>
      <c:valAx>
        <c:axId val="3928414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27848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0">
                  <c:v>1912</c:v>
                </c:pt>
                <c:pt idx="1">
                  <c:v>2670</c:v>
                </c:pt>
                <c:pt idx="2">
                  <c:v>2835</c:v>
                </c:pt>
                <c:pt idx="4">
                  <c:v>1365</c:v>
                </c:pt>
                <c:pt idx="6">
                  <c:v>359</c:v>
                </c:pt>
                <c:pt idx="7">
                  <c:v>1274</c:v>
                </c:pt>
                <c:pt idx="8">
                  <c:v>5535</c:v>
                </c:pt>
                <c:pt idx="10">
                  <c:v>3826</c:v>
                </c:pt>
                <c:pt idx="12">
                  <c:v>2256</c:v>
                </c:pt>
                <c:pt idx="13">
                  <c:v>4275</c:v>
                </c:pt>
                <c:pt idx="14">
                  <c:v>54156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1920</c:v>
                </c:pt>
                <c:pt idx="1">
                  <c:v>2670</c:v>
                </c:pt>
                <c:pt idx="2">
                  <c:v>2840</c:v>
                </c:pt>
                <c:pt idx="3">
                  <c:v>1260</c:v>
                </c:pt>
                <c:pt idx="4">
                  <c:v>1370</c:v>
                </c:pt>
                <c:pt idx="5">
                  <c:v>1620</c:v>
                </c:pt>
                <c:pt idx="6">
                  <c:v>360</c:v>
                </c:pt>
                <c:pt idx="7">
                  <c:v>1280</c:v>
                </c:pt>
                <c:pt idx="8">
                  <c:v>5540</c:v>
                </c:pt>
                <c:pt idx="9">
                  <c:v>25070</c:v>
                </c:pt>
                <c:pt idx="10">
                  <c:v>3830</c:v>
                </c:pt>
                <c:pt idx="11">
                  <c:v>1370</c:v>
                </c:pt>
                <c:pt idx="12">
                  <c:v>2260</c:v>
                </c:pt>
                <c:pt idx="13">
                  <c:v>4280</c:v>
                </c:pt>
                <c:pt idx="14">
                  <c:v>54160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40992"/>
        <c:axId val="392844352"/>
      </c:lineChart>
      <c:catAx>
        <c:axId val="393940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2844352"/>
        <c:crosses val="autoZero"/>
        <c:auto val="1"/>
        <c:lblAlgn val="ctr"/>
        <c:lblOffset val="100"/>
        <c:noMultiLvlLbl val="0"/>
      </c:catAx>
      <c:valAx>
        <c:axId val="3928443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3940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41% 63% 67% 0% 33% 0% 17% 25% 100% 0% 83% 0% 46% 92%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0.41493055555555558</c:v>
                </c:pt>
                <c:pt idx="1">
                  <c:v>0.625</c:v>
                </c:pt>
                <c:pt idx="2">
                  <c:v>0.66549295774647876</c:v>
                </c:pt>
                <c:pt idx="3">
                  <c:v>0</c:v>
                </c:pt>
                <c:pt idx="4">
                  <c:v>0.33211678832116787</c:v>
                </c:pt>
                <c:pt idx="5">
                  <c:v>0</c:v>
                </c:pt>
                <c:pt idx="6">
                  <c:v>0.16620370370370369</c:v>
                </c:pt>
                <c:pt idx="7">
                  <c:v>0.24882812500000001</c:v>
                </c:pt>
                <c:pt idx="8">
                  <c:v>0.99909747292418771</c:v>
                </c:pt>
                <c:pt idx="9">
                  <c:v>0</c:v>
                </c:pt>
                <c:pt idx="10">
                  <c:v>0.83246301131418621</c:v>
                </c:pt>
                <c:pt idx="11">
                  <c:v>0</c:v>
                </c:pt>
                <c:pt idx="12">
                  <c:v>0.45752212389380531</c:v>
                </c:pt>
                <c:pt idx="13">
                  <c:v>0.91559579439252337</c:v>
                </c:pt>
                <c:pt idx="14">
                  <c:v>0.99992614475627772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0.44381177850719239</c:v>
                </c:pt>
                <c:pt idx="1">
                  <c:v>0.44381177850719239</c:v>
                </c:pt>
                <c:pt idx="2">
                  <c:v>0.44381177850719239</c:v>
                </c:pt>
                <c:pt idx="3">
                  <c:v>0.44381177850719239</c:v>
                </c:pt>
                <c:pt idx="4">
                  <c:v>0.44381177850719239</c:v>
                </c:pt>
                <c:pt idx="5">
                  <c:v>0.44381177850719239</c:v>
                </c:pt>
                <c:pt idx="6">
                  <c:v>0.44381177850719239</c:v>
                </c:pt>
                <c:pt idx="7">
                  <c:v>0.44381177850719239</c:v>
                </c:pt>
                <c:pt idx="8">
                  <c:v>0.91559579439252337</c:v>
                </c:pt>
                <c:pt idx="9">
                  <c:v>0.44381177850719239</c:v>
                </c:pt>
                <c:pt idx="10">
                  <c:v>0.44381177850719239</c:v>
                </c:pt>
                <c:pt idx="11">
                  <c:v>0.44381177850719239</c:v>
                </c:pt>
                <c:pt idx="12">
                  <c:v>0.44381177850719239</c:v>
                </c:pt>
                <c:pt idx="13">
                  <c:v>0.44381177850719239</c:v>
                </c:pt>
                <c:pt idx="14">
                  <c:v>0.44381177850719239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42528"/>
        <c:axId val="392846080"/>
      </c:lineChart>
      <c:catAx>
        <c:axId val="39394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2846080"/>
        <c:crosses val="autoZero"/>
        <c:auto val="1"/>
        <c:lblAlgn val="ctr"/>
        <c:lblOffset val="100"/>
        <c:noMultiLvlLbl val="0"/>
      </c:catAx>
      <c:valAx>
        <c:axId val="392846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3942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0">
                  <c:v>1912</c:v>
                </c:pt>
                <c:pt idx="1">
                  <c:v>2670</c:v>
                </c:pt>
                <c:pt idx="2">
                  <c:v>2835</c:v>
                </c:pt>
                <c:pt idx="4">
                  <c:v>1365</c:v>
                </c:pt>
                <c:pt idx="6">
                  <c:v>359</c:v>
                </c:pt>
                <c:pt idx="7">
                  <c:v>1274</c:v>
                </c:pt>
                <c:pt idx="8">
                  <c:v>5535</c:v>
                </c:pt>
                <c:pt idx="10">
                  <c:v>3826</c:v>
                </c:pt>
                <c:pt idx="12">
                  <c:v>2256</c:v>
                </c:pt>
                <c:pt idx="13">
                  <c:v>4275</c:v>
                </c:pt>
                <c:pt idx="14">
                  <c:v>54156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1920</c:v>
                </c:pt>
                <c:pt idx="1">
                  <c:v>2670</c:v>
                </c:pt>
                <c:pt idx="2">
                  <c:v>2840</c:v>
                </c:pt>
                <c:pt idx="3">
                  <c:v>1260</c:v>
                </c:pt>
                <c:pt idx="4">
                  <c:v>1370</c:v>
                </c:pt>
                <c:pt idx="5">
                  <c:v>1620</c:v>
                </c:pt>
                <c:pt idx="6">
                  <c:v>360</c:v>
                </c:pt>
                <c:pt idx="7">
                  <c:v>1280</c:v>
                </c:pt>
                <c:pt idx="8">
                  <c:v>5540</c:v>
                </c:pt>
                <c:pt idx="9">
                  <c:v>25070</c:v>
                </c:pt>
                <c:pt idx="10">
                  <c:v>3830</c:v>
                </c:pt>
                <c:pt idx="11">
                  <c:v>1370</c:v>
                </c:pt>
                <c:pt idx="12">
                  <c:v>2260</c:v>
                </c:pt>
                <c:pt idx="13">
                  <c:v>4280</c:v>
                </c:pt>
                <c:pt idx="14">
                  <c:v>54160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43040"/>
        <c:axId val="394019968"/>
      </c:lineChart>
      <c:catAx>
        <c:axId val="3939430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4019968"/>
        <c:crosses val="autoZero"/>
        <c:auto val="1"/>
        <c:lblAlgn val="ctr"/>
        <c:lblOffset val="100"/>
        <c:noMultiLvlLbl val="0"/>
      </c:catAx>
      <c:valAx>
        <c:axId val="3940199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3943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"/>
                <c:pt idx="0">
                  <c:v>41% 63% 67% 0% 33% 0% 17% 25% 100% 0% 83% 0% 46% 92%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0.41493055555555558</c:v>
                </c:pt>
                <c:pt idx="1">
                  <c:v>0.625</c:v>
                </c:pt>
                <c:pt idx="2">
                  <c:v>0.66549295774647876</c:v>
                </c:pt>
                <c:pt idx="3">
                  <c:v>0</c:v>
                </c:pt>
                <c:pt idx="4">
                  <c:v>0.33211678832116787</c:v>
                </c:pt>
                <c:pt idx="5">
                  <c:v>0</c:v>
                </c:pt>
                <c:pt idx="6">
                  <c:v>0.16620370370370369</c:v>
                </c:pt>
                <c:pt idx="7">
                  <c:v>0.24882812500000001</c:v>
                </c:pt>
                <c:pt idx="8">
                  <c:v>0.99909747292418771</c:v>
                </c:pt>
                <c:pt idx="9">
                  <c:v>0</c:v>
                </c:pt>
                <c:pt idx="10">
                  <c:v>0.83246301131418621</c:v>
                </c:pt>
                <c:pt idx="11">
                  <c:v>0</c:v>
                </c:pt>
                <c:pt idx="12">
                  <c:v>0.45752212389380531</c:v>
                </c:pt>
                <c:pt idx="13">
                  <c:v>0.91559579439252337</c:v>
                </c:pt>
                <c:pt idx="14">
                  <c:v>0.99992614475627772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COVER</c:v>
                </c:pt>
                <c:pt idx="9">
                  <c:v>DETECTOR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0.44381177850719239</c:v>
                </c:pt>
                <c:pt idx="1">
                  <c:v>0.44381177850719239</c:v>
                </c:pt>
                <c:pt idx="2">
                  <c:v>0.44381177850719239</c:v>
                </c:pt>
                <c:pt idx="3">
                  <c:v>0.44381177850719239</c:v>
                </c:pt>
                <c:pt idx="4">
                  <c:v>0.44381177850719239</c:v>
                </c:pt>
                <c:pt idx="5">
                  <c:v>0.44381177850719239</c:v>
                </c:pt>
                <c:pt idx="6">
                  <c:v>0.44381177850719239</c:v>
                </c:pt>
                <c:pt idx="7">
                  <c:v>0.44381177850719239</c:v>
                </c:pt>
                <c:pt idx="8">
                  <c:v>0.91559579439252337</c:v>
                </c:pt>
                <c:pt idx="9">
                  <c:v>0.44381177850719239</c:v>
                </c:pt>
                <c:pt idx="10">
                  <c:v>0.44381177850719239</c:v>
                </c:pt>
                <c:pt idx="11">
                  <c:v>0.44381177850719239</c:v>
                </c:pt>
                <c:pt idx="12">
                  <c:v>0.44381177850719239</c:v>
                </c:pt>
                <c:pt idx="13">
                  <c:v>0.44381177850719239</c:v>
                </c:pt>
                <c:pt idx="14">
                  <c:v>0.44381177850719239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944064"/>
        <c:axId val="394021696"/>
      </c:lineChart>
      <c:catAx>
        <c:axId val="3939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4021696"/>
        <c:crosses val="autoZero"/>
        <c:auto val="1"/>
        <c:lblAlgn val="ctr"/>
        <c:lblOffset val="100"/>
        <c:noMultiLvlLbl val="0"/>
      </c:catAx>
      <c:valAx>
        <c:axId val="3940216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3944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782848"/>
        <c:axId val="3940240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782848"/>
        <c:axId val="394024000"/>
      </c:lineChart>
      <c:catAx>
        <c:axId val="39278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394024000"/>
        <c:crosses val="autoZero"/>
        <c:auto val="1"/>
        <c:lblAlgn val="ctr"/>
        <c:lblOffset val="100"/>
        <c:noMultiLvlLbl val="0"/>
      </c:catAx>
      <c:valAx>
        <c:axId val="3940240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27828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0">
                  <c:v>3494</c:v>
                </c:pt>
                <c:pt idx="2">
                  <c:v>4608</c:v>
                </c:pt>
                <c:pt idx="8">
                  <c:v>406</c:v>
                </c:pt>
                <c:pt idx="10">
                  <c:v>4897</c:v>
                </c:pt>
                <c:pt idx="11">
                  <c:v>2313</c:v>
                </c:pt>
                <c:pt idx="12">
                  <c:v>1801</c:v>
                </c:pt>
                <c:pt idx="13">
                  <c:v>4519</c:v>
                </c:pt>
                <c:pt idx="14">
                  <c:v>47100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3500</c:v>
                </c:pt>
                <c:pt idx="1">
                  <c:v>2670</c:v>
                </c:pt>
                <c:pt idx="2">
                  <c:v>4610</c:v>
                </c:pt>
                <c:pt idx="3">
                  <c:v>1260</c:v>
                </c:pt>
                <c:pt idx="4">
                  <c:v>1370</c:v>
                </c:pt>
                <c:pt idx="5">
                  <c:v>1620</c:v>
                </c:pt>
                <c:pt idx="6">
                  <c:v>360</c:v>
                </c:pt>
                <c:pt idx="7">
                  <c:v>1280</c:v>
                </c:pt>
                <c:pt idx="8">
                  <c:v>410</c:v>
                </c:pt>
                <c:pt idx="9">
                  <c:v>25070</c:v>
                </c:pt>
                <c:pt idx="10">
                  <c:v>4900</c:v>
                </c:pt>
                <c:pt idx="11">
                  <c:v>2320</c:v>
                </c:pt>
                <c:pt idx="12">
                  <c:v>1810</c:v>
                </c:pt>
                <c:pt idx="13">
                  <c:v>4520</c:v>
                </c:pt>
                <c:pt idx="14">
                  <c:v>47100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499136"/>
        <c:axId val="394616832"/>
      </c:lineChart>
      <c:catAx>
        <c:axId val="3934991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4616832"/>
        <c:crosses val="autoZero"/>
        <c:auto val="1"/>
        <c:lblAlgn val="ctr"/>
        <c:lblOffset val="100"/>
        <c:noMultiLvlLbl val="0"/>
      </c:catAx>
      <c:valAx>
        <c:axId val="3946168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3499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87% 0% 96% 0% 0% 0% 0% 0% 29% 0% 100% 50% 41% 100%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0.87350000000000005</c:v>
                </c:pt>
                <c:pt idx="1">
                  <c:v>0</c:v>
                </c:pt>
                <c:pt idx="2">
                  <c:v>0.95791757049891546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0.28882113821138211</c:v>
                </c:pt>
                <c:pt idx="9">
                  <c:v>0</c:v>
                </c:pt>
                <c:pt idx="10">
                  <c:v>0.99938775510204081</c:v>
                </c:pt>
                <c:pt idx="11">
                  <c:v>0.49849137931034482</c:v>
                </c:pt>
                <c:pt idx="12">
                  <c:v>0.41459484346224679</c:v>
                </c:pt>
                <c:pt idx="13">
                  <c:v>0.99977876106194685</c:v>
                </c:pt>
                <c:pt idx="14">
                  <c:v>0.95833333333333337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0.39938831873201402</c:v>
                </c:pt>
                <c:pt idx="1">
                  <c:v>0.39938831873201402</c:v>
                </c:pt>
                <c:pt idx="2">
                  <c:v>0.39938831873201402</c:v>
                </c:pt>
                <c:pt idx="3">
                  <c:v>0.39938831873201402</c:v>
                </c:pt>
                <c:pt idx="4">
                  <c:v>0.39938831873201402</c:v>
                </c:pt>
                <c:pt idx="5">
                  <c:v>0.39938831873201402</c:v>
                </c:pt>
                <c:pt idx="6">
                  <c:v>0.39938831873201402</c:v>
                </c:pt>
                <c:pt idx="7">
                  <c:v>0.39938831873201402</c:v>
                </c:pt>
                <c:pt idx="8">
                  <c:v>0.99977876106194685</c:v>
                </c:pt>
                <c:pt idx="9">
                  <c:v>0.39938831873201402</c:v>
                </c:pt>
                <c:pt idx="10">
                  <c:v>0.39938831873201402</c:v>
                </c:pt>
                <c:pt idx="11">
                  <c:v>0.39938831873201402</c:v>
                </c:pt>
                <c:pt idx="12">
                  <c:v>0.39938831873201402</c:v>
                </c:pt>
                <c:pt idx="13">
                  <c:v>0.39938831873201402</c:v>
                </c:pt>
                <c:pt idx="14">
                  <c:v>0.39938831873201402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500160"/>
        <c:axId val="394618560"/>
      </c:lineChart>
      <c:catAx>
        <c:axId val="39350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4618560"/>
        <c:crosses val="autoZero"/>
        <c:auto val="1"/>
        <c:lblAlgn val="ctr"/>
        <c:lblOffset val="100"/>
        <c:noMultiLvlLbl val="0"/>
      </c:catAx>
      <c:valAx>
        <c:axId val="3946185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3500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0">
                  <c:v>3494</c:v>
                </c:pt>
                <c:pt idx="2">
                  <c:v>4608</c:v>
                </c:pt>
                <c:pt idx="8">
                  <c:v>406</c:v>
                </c:pt>
                <c:pt idx="10">
                  <c:v>4897</c:v>
                </c:pt>
                <c:pt idx="11">
                  <c:v>2313</c:v>
                </c:pt>
                <c:pt idx="12">
                  <c:v>1801</c:v>
                </c:pt>
                <c:pt idx="13">
                  <c:v>4519</c:v>
                </c:pt>
                <c:pt idx="14">
                  <c:v>47100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3500</c:v>
                </c:pt>
                <c:pt idx="1">
                  <c:v>2670</c:v>
                </c:pt>
                <c:pt idx="2">
                  <c:v>4610</c:v>
                </c:pt>
                <c:pt idx="3">
                  <c:v>1260</c:v>
                </c:pt>
                <c:pt idx="4">
                  <c:v>1370</c:v>
                </c:pt>
                <c:pt idx="5">
                  <c:v>1620</c:v>
                </c:pt>
                <c:pt idx="6">
                  <c:v>360</c:v>
                </c:pt>
                <c:pt idx="7">
                  <c:v>1280</c:v>
                </c:pt>
                <c:pt idx="8">
                  <c:v>410</c:v>
                </c:pt>
                <c:pt idx="9">
                  <c:v>25070</c:v>
                </c:pt>
                <c:pt idx="10">
                  <c:v>4900</c:v>
                </c:pt>
                <c:pt idx="11">
                  <c:v>2320</c:v>
                </c:pt>
                <c:pt idx="12">
                  <c:v>1810</c:v>
                </c:pt>
                <c:pt idx="13">
                  <c:v>4520</c:v>
                </c:pt>
                <c:pt idx="14">
                  <c:v>47100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500672"/>
        <c:axId val="394620864"/>
      </c:lineChart>
      <c:catAx>
        <c:axId val="3935006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94620864"/>
        <c:crosses val="autoZero"/>
        <c:auto val="1"/>
        <c:lblAlgn val="ctr"/>
        <c:lblOffset val="100"/>
        <c:noMultiLvlLbl val="0"/>
      </c:catAx>
      <c:valAx>
        <c:axId val="394620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93500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87% 0% 96% 0% 0% 0% 0% 0% 29% 0% 100% 50% 41% 100% 96%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0.87350000000000005</c:v>
                </c:pt>
                <c:pt idx="1">
                  <c:v>0</c:v>
                </c:pt>
                <c:pt idx="2">
                  <c:v>0.95791757049891546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0.28882113821138211</c:v>
                </c:pt>
                <c:pt idx="9">
                  <c:v>0</c:v>
                </c:pt>
                <c:pt idx="10">
                  <c:v>0.99938775510204081</c:v>
                </c:pt>
                <c:pt idx="11">
                  <c:v>0.49849137931034482</c:v>
                </c:pt>
                <c:pt idx="12">
                  <c:v>0.41459484346224679</c:v>
                </c:pt>
                <c:pt idx="13">
                  <c:v>0.99977876106194685</c:v>
                </c:pt>
                <c:pt idx="14">
                  <c:v>0.95833333333333337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ACTUATOR</c:v>
                </c:pt>
                <c:pt idx="4">
                  <c:v>BASE</c:v>
                </c:pt>
                <c:pt idx="5">
                  <c:v>SLIDER</c:v>
                </c:pt>
                <c:pt idx="6">
                  <c:v>BLOCK/HINGE</c:v>
                </c:pt>
                <c:pt idx="7">
                  <c:v>LATCH</c:v>
                </c:pt>
                <c:pt idx="8">
                  <c:v>BASE</c:v>
                </c:pt>
                <c:pt idx="9">
                  <c:v>DETECTOR</c:v>
                </c:pt>
                <c:pt idx="10">
                  <c:v>LEAD GUIDE</c:v>
                </c:pt>
                <c:pt idx="11">
                  <c:v>F/ADAPTER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0.39938831873201402</c:v>
                </c:pt>
                <c:pt idx="1">
                  <c:v>0.39938831873201402</c:v>
                </c:pt>
                <c:pt idx="2">
                  <c:v>0.39938831873201402</c:v>
                </c:pt>
                <c:pt idx="3">
                  <c:v>0.39938831873201402</c:v>
                </c:pt>
                <c:pt idx="4">
                  <c:v>0.39938831873201402</c:v>
                </c:pt>
                <c:pt idx="5">
                  <c:v>0.39938831873201402</c:v>
                </c:pt>
                <c:pt idx="6">
                  <c:v>0.39938831873201402</c:v>
                </c:pt>
                <c:pt idx="7">
                  <c:v>0.39938831873201402</c:v>
                </c:pt>
                <c:pt idx="8">
                  <c:v>0.99977876106194685</c:v>
                </c:pt>
                <c:pt idx="9">
                  <c:v>0.39938831873201402</c:v>
                </c:pt>
                <c:pt idx="10">
                  <c:v>0.39938831873201402</c:v>
                </c:pt>
                <c:pt idx="11">
                  <c:v>0.39938831873201402</c:v>
                </c:pt>
                <c:pt idx="12">
                  <c:v>0.39938831873201402</c:v>
                </c:pt>
                <c:pt idx="13">
                  <c:v>0.39938831873201402</c:v>
                </c:pt>
                <c:pt idx="14">
                  <c:v>0.39938831873201402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501696"/>
        <c:axId val="394622592"/>
      </c:lineChart>
      <c:catAx>
        <c:axId val="39350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4622592"/>
        <c:crosses val="autoZero"/>
        <c:auto val="1"/>
        <c:lblAlgn val="ctr"/>
        <c:lblOffset val="100"/>
        <c:noMultiLvlLbl val="0"/>
      </c:catAx>
      <c:valAx>
        <c:axId val="394622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9350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654272"/>
        <c:axId val="3946414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654272"/>
        <c:axId val="394641408"/>
      </c:lineChart>
      <c:catAx>
        <c:axId val="393654272"/>
        <c:scaling>
          <c:orientation val="minMax"/>
        </c:scaling>
        <c:delete val="0"/>
        <c:axPos val="b"/>
        <c:majorTickMark val="out"/>
        <c:minorTickMark val="none"/>
        <c:tickLblPos val="nextTo"/>
        <c:crossAx val="394641408"/>
        <c:crosses val="autoZero"/>
        <c:auto val="1"/>
        <c:lblAlgn val="ctr"/>
        <c:lblOffset val="100"/>
        <c:noMultiLvlLbl val="0"/>
      </c:catAx>
      <c:valAx>
        <c:axId val="394641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936542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0">
                  <c:v>3637</c:v>
                </c:pt>
                <c:pt idx="2">
                  <c:v>5224</c:v>
                </c:pt>
                <c:pt idx="3">
                  <c:v>2594</c:v>
                </c:pt>
                <c:pt idx="4">
                  <c:v>1848</c:v>
                </c:pt>
                <c:pt idx="6">
                  <c:v>1200</c:v>
                </c:pt>
                <c:pt idx="7">
                  <c:v>2452</c:v>
                </c:pt>
                <c:pt idx="9">
                  <c:v>7200</c:v>
                </c:pt>
                <c:pt idx="10">
                  <c:v>4091</c:v>
                </c:pt>
                <c:pt idx="11">
                  <c:v>5677</c:v>
                </c:pt>
                <c:pt idx="12">
                  <c:v>2776</c:v>
                </c:pt>
                <c:pt idx="13">
                  <c:v>4039</c:v>
                </c:pt>
                <c:pt idx="14">
                  <c:v>55408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3640</c:v>
                </c:pt>
                <c:pt idx="1">
                  <c:v>2670</c:v>
                </c:pt>
                <c:pt idx="2">
                  <c:v>5230</c:v>
                </c:pt>
                <c:pt idx="3">
                  <c:v>2600</c:v>
                </c:pt>
                <c:pt idx="4">
                  <c:v>1850</c:v>
                </c:pt>
                <c:pt idx="5">
                  <c:v>1620</c:v>
                </c:pt>
                <c:pt idx="6">
                  <c:v>1200</c:v>
                </c:pt>
                <c:pt idx="7">
                  <c:v>1280</c:v>
                </c:pt>
                <c:pt idx="8">
                  <c:v>410</c:v>
                </c:pt>
                <c:pt idx="9">
                  <c:v>7200</c:v>
                </c:pt>
                <c:pt idx="10">
                  <c:v>4100</c:v>
                </c:pt>
                <c:pt idx="11">
                  <c:v>5700</c:v>
                </c:pt>
                <c:pt idx="12">
                  <c:v>2780</c:v>
                </c:pt>
                <c:pt idx="13">
                  <c:v>4040</c:v>
                </c:pt>
                <c:pt idx="14">
                  <c:v>55410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431168"/>
        <c:axId val="414743296"/>
      </c:lineChart>
      <c:catAx>
        <c:axId val="4074311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14743296"/>
        <c:crosses val="autoZero"/>
        <c:auto val="1"/>
        <c:lblAlgn val="ctr"/>
        <c:lblOffset val="100"/>
        <c:noMultiLvlLbl val="0"/>
      </c:catAx>
      <c:valAx>
        <c:axId val="4147432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0743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87% 0% 100% 71% 42% 0% 46% 128% 0% 75% 83% 100% 67%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0.87427884615384621</c:v>
                </c:pt>
                <c:pt idx="1">
                  <c:v>0</c:v>
                </c:pt>
                <c:pt idx="2">
                  <c:v>0.99885277246653925</c:v>
                </c:pt>
                <c:pt idx="3">
                  <c:v>0.70669871794871797</c:v>
                </c:pt>
                <c:pt idx="4">
                  <c:v>0.41621621621621624</c:v>
                </c:pt>
                <c:pt idx="5">
                  <c:v>0</c:v>
                </c:pt>
                <c:pt idx="6">
                  <c:v>0.45833333333333331</c:v>
                </c:pt>
                <c:pt idx="7">
                  <c:v>1.2770833333333331</c:v>
                </c:pt>
                <c:pt idx="8">
                  <c:v>0</c:v>
                </c:pt>
                <c:pt idx="9">
                  <c:v>0.75</c:v>
                </c:pt>
                <c:pt idx="10">
                  <c:v>0.83150406504065044</c:v>
                </c:pt>
                <c:pt idx="11">
                  <c:v>0.99596491228070172</c:v>
                </c:pt>
                <c:pt idx="12">
                  <c:v>0.66570743405275778</c:v>
                </c:pt>
                <c:pt idx="13">
                  <c:v>0.87478341584158414</c:v>
                </c:pt>
                <c:pt idx="14">
                  <c:v>0.99996390543223246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0.65662579680666089</c:v>
                </c:pt>
                <c:pt idx="1">
                  <c:v>0.65662579680666089</c:v>
                </c:pt>
                <c:pt idx="2">
                  <c:v>0.65662579680666089</c:v>
                </c:pt>
                <c:pt idx="3">
                  <c:v>0.65662579680666089</c:v>
                </c:pt>
                <c:pt idx="4">
                  <c:v>0.65662579680666089</c:v>
                </c:pt>
                <c:pt idx="5">
                  <c:v>0.65662579680666089</c:v>
                </c:pt>
                <c:pt idx="6">
                  <c:v>0.65662579680666089</c:v>
                </c:pt>
                <c:pt idx="7">
                  <c:v>0.65662579680666089</c:v>
                </c:pt>
                <c:pt idx="8">
                  <c:v>0.87478341584158414</c:v>
                </c:pt>
                <c:pt idx="9">
                  <c:v>0.65662579680666089</c:v>
                </c:pt>
                <c:pt idx="10">
                  <c:v>0.65662579680666089</c:v>
                </c:pt>
                <c:pt idx="11">
                  <c:v>0.65662579680666089</c:v>
                </c:pt>
                <c:pt idx="12">
                  <c:v>0.65662579680666089</c:v>
                </c:pt>
                <c:pt idx="13">
                  <c:v>0.65662579680666089</c:v>
                </c:pt>
                <c:pt idx="14">
                  <c:v>0.65662579680666089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724032"/>
        <c:axId val="426468480"/>
      </c:lineChart>
      <c:catAx>
        <c:axId val="40772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26468480"/>
        <c:crosses val="autoZero"/>
        <c:auto val="1"/>
        <c:lblAlgn val="ctr"/>
        <c:lblOffset val="100"/>
        <c:noMultiLvlLbl val="0"/>
      </c:catAx>
      <c:valAx>
        <c:axId val="4264684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07724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0">
                  <c:v>3637</c:v>
                </c:pt>
                <c:pt idx="2">
                  <c:v>5224</c:v>
                </c:pt>
                <c:pt idx="3">
                  <c:v>2594</c:v>
                </c:pt>
                <c:pt idx="4">
                  <c:v>1848</c:v>
                </c:pt>
                <c:pt idx="6">
                  <c:v>1200</c:v>
                </c:pt>
                <c:pt idx="7">
                  <c:v>2452</c:v>
                </c:pt>
                <c:pt idx="9">
                  <c:v>7200</c:v>
                </c:pt>
                <c:pt idx="10">
                  <c:v>4091</c:v>
                </c:pt>
                <c:pt idx="11">
                  <c:v>5677</c:v>
                </c:pt>
                <c:pt idx="12">
                  <c:v>2776</c:v>
                </c:pt>
                <c:pt idx="13">
                  <c:v>4039</c:v>
                </c:pt>
                <c:pt idx="14">
                  <c:v>55408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3640</c:v>
                </c:pt>
                <c:pt idx="1">
                  <c:v>2670</c:v>
                </c:pt>
                <c:pt idx="2">
                  <c:v>5230</c:v>
                </c:pt>
                <c:pt idx="3">
                  <c:v>2600</c:v>
                </c:pt>
                <c:pt idx="4">
                  <c:v>1850</c:v>
                </c:pt>
                <c:pt idx="5">
                  <c:v>1620</c:v>
                </c:pt>
                <c:pt idx="6">
                  <c:v>1200</c:v>
                </c:pt>
                <c:pt idx="7">
                  <c:v>1280</c:v>
                </c:pt>
                <c:pt idx="8">
                  <c:v>410</c:v>
                </c:pt>
                <c:pt idx="9">
                  <c:v>7200</c:v>
                </c:pt>
                <c:pt idx="10">
                  <c:v>4100</c:v>
                </c:pt>
                <c:pt idx="11">
                  <c:v>5700</c:v>
                </c:pt>
                <c:pt idx="12">
                  <c:v>2780</c:v>
                </c:pt>
                <c:pt idx="13">
                  <c:v>4040</c:v>
                </c:pt>
                <c:pt idx="14">
                  <c:v>55410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724544"/>
        <c:axId val="426471936"/>
      </c:lineChart>
      <c:catAx>
        <c:axId val="4077245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26471936"/>
        <c:crosses val="autoZero"/>
        <c:auto val="1"/>
        <c:lblAlgn val="ctr"/>
        <c:lblOffset val="100"/>
        <c:noMultiLvlLbl val="0"/>
      </c:catAx>
      <c:valAx>
        <c:axId val="4264719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40772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87% 0% 100% 71% 42% 0% 46% 128% 0% 75% 83% 100% 67%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0.87427884615384621</c:v>
                </c:pt>
                <c:pt idx="1">
                  <c:v>0</c:v>
                </c:pt>
                <c:pt idx="2">
                  <c:v>0.99885277246653925</c:v>
                </c:pt>
                <c:pt idx="3">
                  <c:v>0.70669871794871797</c:v>
                </c:pt>
                <c:pt idx="4">
                  <c:v>0.41621621621621624</c:v>
                </c:pt>
                <c:pt idx="5">
                  <c:v>0</c:v>
                </c:pt>
                <c:pt idx="6">
                  <c:v>0.45833333333333331</c:v>
                </c:pt>
                <c:pt idx="7">
                  <c:v>1.2770833333333331</c:v>
                </c:pt>
                <c:pt idx="8">
                  <c:v>0</c:v>
                </c:pt>
                <c:pt idx="9">
                  <c:v>0.75</c:v>
                </c:pt>
                <c:pt idx="10">
                  <c:v>0.83150406504065044</c:v>
                </c:pt>
                <c:pt idx="11">
                  <c:v>0.99596491228070172</c:v>
                </c:pt>
                <c:pt idx="12">
                  <c:v>0.66570743405275778</c:v>
                </c:pt>
                <c:pt idx="13">
                  <c:v>0.87478341584158414</c:v>
                </c:pt>
                <c:pt idx="14">
                  <c:v>0.99996390543223246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SLIDER</c:v>
                </c:pt>
                <c:pt idx="6">
                  <c:v>BLOCK/HINGE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0.65662579680666089</c:v>
                </c:pt>
                <c:pt idx="1">
                  <c:v>0.65662579680666089</c:v>
                </c:pt>
                <c:pt idx="2">
                  <c:v>0.65662579680666089</c:v>
                </c:pt>
                <c:pt idx="3">
                  <c:v>0.65662579680666089</c:v>
                </c:pt>
                <c:pt idx="4">
                  <c:v>0.65662579680666089</c:v>
                </c:pt>
                <c:pt idx="5">
                  <c:v>0.65662579680666089</c:v>
                </c:pt>
                <c:pt idx="6">
                  <c:v>0.65662579680666089</c:v>
                </c:pt>
                <c:pt idx="7">
                  <c:v>0.65662579680666089</c:v>
                </c:pt>
                <c:pt idx="8">
                  <c:v>0.87478341584158414</c:v>
                </c:pt>
                <c:pt idx="9">
                  <c:v>0.65662579680666089</c:v>
                </c:pt>
                <c:pt idx="10">
                  <c:v>0.65662579680666089</c:v>
                </c:pt>
                <c:pt idx="11">
                  <c:v>0.65662579680666089</c:v>
                </c:pt>
                <c:pt idx="12">
                  <c:v>0.65662579680666089</c:v>
                </c:pt>
                <c:pt idx="13">
                  <c:v>0.65662579680666089</c:v>
                </c:pt>
                <c:pt idx="14">
                  <c:v>0.65662579680666089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431680"/>
        <c:axId val="426474240"/>
      </c:lineChart>
      <c:catAx>
        <c:axId val="40743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26474240"/>
        <c:crosses val="autoZero"/>
        <c:auto val="1"/>
        <c:lblAlgn val="ctr"/>
        <c:lblOffset val="100"/>
        <c:noMultiLvlLbl val="0"/>
      </c:catAx>
      <c:valAx>
        <c:axId val="4264742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40743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0.41893073913843004</c:v>
                </c:pt>
                <c:pt idx="1">
                  <c:v>0.48800351453642815</c:v>
                </c:pt>
                <c:pt idx="2">
                  <c:v>0.4647324451783168</c:v>
                </c:pt>
                <c:pt idx="5">
                  <c:v>0.41849796715980697</c:v>
                </c:pt>
                <c:pt idx="6">
                  <c:v>0.5105223198666905</c:v>
                </c:pt>
                <c:pt idx="7">
                  <c:v>0.5607773389109314</c:v>
                </c:pt>
                <c:pt idx="8">
                  <c:v>0.64098020710511372</c:v>
                </c:pt>
                <c:pt idx="9">
                  <c:v>0.52453072044993088</c:v>
                </c:pt>
                <c:pt idx="12">
                  <c:v>0.36625972070904139</c:v>
                </c:pt>
                <c:pt idx="13">
                  <c:v>0.54947901844270086</c:v>
                </c:pt>
                <c:pt idx="14">
                  <c:v>0.62723810351140652</c:v>
                </c:pt>
                <c:pt idx="15">
                  <c:v>0.48301366323129713</c:v>
                </c:pt>
                <c:pt idx="16">
                  <c:v>0.54955674245079678</c:v>
                </c:pt>
                <c:pt idx="19">
                  <c:v>0.39375207992082634</c:v>
                </c:pt>
                <c:pt idx="20">
                  <c:v>0.50478284251741035</c:v>
                </c:pt>
                <c:pt idx="21">
                  <c:v>0.51598231777784009</c:v>
                </c:pt>
                <c:pt idx="22">
                  <c:v>0.50189157391319927</c:v>
                </c:pt>
                <c:pt idx="23">
                  <c:v>0.44381177850719239</c:v>
                </c:pt>
                <c:pt idx="26">
                  <c:v>0.39938831873201402</c:v>
                </c:pt>
                <c:pt idx="27">
                  <c:v>0.65662579680666089</c:v>
                </c:pt>
                <c:pt idx="31">
                  <c:v>0.35781275745950131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7726592"/>
        <c:axId val="1866657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726592"/>
        <c:axId val="186665792"/>
      </c:lineChart>
      <c:catAx>
        <c:axId val="40772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86665792"/>
        <c:crosses val="autoZero"/>
        <c:auto val="1"/>
        <c:lblAlgn val="ctr"/>
        <c:lblOffset val="100"/>
        <c:noMultiLvlLbl val="0"/>
      </c:catAx>
      <c:valAx>
        <c:axId val="1866657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077265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68036</xdr:colOff>
      <xdr:row>52</xdr:row>
      <xdr:rowOff>54429</xdr:rowOff>
    </xdr:from>
    <xdr:to>
      <xdr:col>20</xdr:col>
      <xdr:colOff>81643</xdr:colOff>
      <xdr:row>54</xdr:row>
      <xdr:rowOff>163286</xdr:rowOff>
    </xdr:to>
    <xdr:sp macro="" textlink="">
      <xdr:nvSpPr>
        <xdr:cNvPr id="9" name="TextBox 8"/>
        <xdr:cNvSpPr txBox="1"/>
      </xdr:nvSpPr>
      <xdr:spPr>
        <a:xfrm>
          <a:off x="14097000" y="16165286"/>
          <a:ext cx="3143250" cy="789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/>
            <a:t>MCS </a:t>
          </a:r>
          <a:r>
            <a:rPr lang="ko-KR" altLang="en-US" sz="2000" b="1"/>
            <a:t>셈플 </a:t>
          </a:r>
          <a:r>
            <a:rPr lang="en-US" altLang="ko-KR" sz="2000" b="1"/>
            <a:t>3</a:t>
          </a:r>
          <a:r>
            <a:rPr lang="ko-KR" altLang="en-US" sz="2000" b="1"/>
            <a:t>벌 진행</a:t>
          </a:r>
        </a:p>
      </xdr:txBody>
    </xdr:sp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G18" sqref="AG18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7.5" style="75" bestFit="1" customWidth="1"/>
    <col min="19" max="33" width="5.5" style="75" bestFit="1" customWidth="1"/>
    <col min="34" max="16384" width="9" style="75"/>
  </cols>
  <sheetData>
    <row r="1" spans="1:33" ht="33.75" customHeight="1" thickBot="1">
      <c r="A1" s="371" t="s">
        <v>185</v>
      </c>
      <c r="B1" s="371"/>
      <c r="C1" s="371"/>
      <c r="D1" s="371"/>
      <c r="E1" s="371"/>
      <c r="F1" s="371"/>
      <c r="G1" s="371"/>
      <c r="H1" s="371"/>
    </row>
    <row r="2" spans="1:33" ht="21.75" customHeight="1" thickBot="1">
      <c r="A2" s="96" t="s">
        <v>64</v>
      </c>
      <c r="B2" s="98" t="s">
        <v>79</v>
      </c>
      <c r="C2" s="99" t="s">
        <v>80</v>
      </c>
      <c r="D2" s="99" t="s">
        <v>81</v>
      </c>
      <c r="E2" s="99" t="s">
        <v>82</v>
      </c>
      <c r="F2" s="99" t="s">
        <v>83</v>
      </c>
      <c r="G2" s="99" t="s">
        <v>84</v>
      </c>
      <c r="H2" s="99" t="s">
        <v>85</v>
      </c>
      <c r="I2" s="99" t="s">
        <v>86</v>
      </c>
      <c r="J2" s="99" t="s">
        <v>87</v>
      </c>
      <c r="K2" s="99" t="s">
        <v>88</v>
      </c>
      <c r="L2" s="99" t="s">
        <v>89</v>
      </c>
      <c r="M2" s="99" t="s">
        <v>90</v>
      </c>
      <c r="N2" s="99" t="s">
        <v>91</v>
      </c>
      <c r="O2" s="99" t="s">
        <v>92</v>
      </c>
      <c r="P2" s="99" t="s">
        <v>93</v>
      </c>
      <c r="Q2" s="99" t="s">
        <v>94</v>
      </c>
      <c r="R2" s="99" t="s">
        <v>95</v>
      </c>
      <c r="S2" s="99" t="s">
        <v>96</v>
      </c>
      <c r="T2" s="99" t="s">
        <v>97</v>
      </c>
      <c r="U2" s="99" t="s">
        <v>98</v>
      </c>
      <c r="V2" s="99" t="s">
        <v>99</v>
      </c>
      <c r="W2" s="99" t="s">
        <v>100</v>
      </c>
      <c r="X2" s="99" t="s">
        <v>101</v>
      </c>
      <c r="Y2" s="99" t="s">
        <v>102</v>
      </c>
      <c r="Z2" s="99" t="s">
        <v>103</v>
      </c>
      <c r="AA2" s="99" t="s">
        <v>104</v>
      </c>
      <c r="AB2" s="99" t="s">
        <v>105</v>
      </c>
      <c r="AC2" s="99" t="s">
        <v>106</v>
      </c>
      <c r="AD2" s="99" t="s">
        <v>107</v>
      </c>
      <c r="AE2" s="99" t="s">
        <v>108</v>
      </c>
      <c r="AF2" s="100" t="s">
        <v>109</v>
      </c>
      <c r="AG2" s="96" t="s">
        <v>111</v>
      </c>
    </row>
    <row r="3" spans="1:33" ht="21.75" customHeight="1">
      <c r="A3" s="116" t="s">
        <v>65</v>
      </c>
      <c r="B3" s="111">
        <f>'01'!AD6</f>
        <v>0.99982142857142853</v>
      </c>
      <c r="C3" s="111">
        <f>'02'!AD6</f>
        <v>0.99978331527627307</v>
      </c>
      <c r="D3" s="104">
        <f>'03'!AD6+'03'!AD7</f>
        <v>0.74174160346695561</v>
      </c>
      <c r="E3" s="104"/>
      <c r="F3" s="104"/>
      <c r="G3" s="104">
        <f>'06'!AD6</f>
        <v>0.95656682027649764</v>
      </c>
      <c r="H3" s="104">
        <f>'07'!AD6</f>
        <v>0.99813664596273288</v>
      </c>
      <c r="I3" s="104">
        <f>'08'!AD6</f>
        <v>0.9995850622406639</v>
      </c>
      <c r="J3" s="104">
        <f>'09'!AD6</f>
        <v>0.99928909952606637</v>
      </c>
      <c r="K3" s="104">
        <f>'10'!AD6</f>
        <v>0.6244791666666667</v>
      </c>
      <c r="L3" s="104"/>
      <c r="M3" s="104"/>
      <c r="N3" s="122">
        <f>'13'!AD6</f>
        <v>0.12379518072289157</v>
      </c>
      <c r="O3" s="104">
        <f>'14'!AD6</f>
        <v>0.49903846153846154</v>
      </c>
      <c r="P3" s="104">
        <f>'15'!AD6</f>
        <v>0.66493256262042388</v>
      </c>
      <c r="Q3" s="104">
        <f>'16'!AD6</f>
        <v>0.99898989898989898</v>
      </c>
      <c r="R3" s="104">
        <f>'17'!AD6</f>
        <v>0.99880478087649405</v>
      </c>
      <c r="S3" s="104"/>
      <c r="T3" s="104"/>
      <c r="U3" s="104">
        <f>'20'!AD6</f>
        <v>0.9574228028503563</v>
      </c>
      <c r="V3" s="104">
        <f>'21'!AD6</f>
        <v>1</v>
      </c>
      <c r="W3" s="122">
        <f>'22'!AD6</f>
        <v>1</v>
      </c>
      <c r="X3" s="104">
        <f>'23'!AD6</f>
        <v>0.33124999999999999</v>
      </c>
      <c r="Y3" s="104">
        <f>'24'!AD6</f>
        <v>0.41493055555555558</v>
      </c>
      <c r="Z3" s="104"/>
      <c r="AA3" s="104"/>
      <c r="AB3" s="104">
        <f>'27'!AD6</f>
        <v>0.87350000000000005</v>
      </c>
      <c r="AC3" s="104">
        <f>'28'!AD6</f>
        <v>0.87427884615384621</v>
      </c>
      <c r="AD3" s="104"/>
      <c r="AE3" s="104"/>
      <c r="AF3" s="105"/>
      <c r="AG3" s="107">
        <f>SUM(B3:AF3)/28</f>
        <v>0.57344093683197195</v>
      </c>
    </row>
    <row r="4" spans="1:33" ht="21.75" customHeight="1">
      <c r="A4" s="117" t="s">
        <v>66</v>
      </c>
      <c r="B4" s="112">
        <f>'01'!AD7</f>
        <v>0</v>
      </c>
      <c r="C4" s="112">
        <f>'02'!AD7</f>
        <v>0.29053398058252428</v>
      </c>
      <c r="D4" s="81">
        <f>'03'!AD8</f>
        <v>0</v>
      </c>
      <c r="E4" s="81"/>
      <c r="F4" s="81"/>
      <c r="G4" s="81">
        <f>'06'!AD7</f>
        <v>0</v>
      </c>
      <c r="H4" s="81">
        <f>'07'!AD7</f>
        <v>0.2079248366013072</v>
      </c>
      <c r="I4" s="81">
        <f>'08'!AD7+'08'!AD8</f>
        <v>0.74799783549783549</v>
      </c>
      <c r="J4" s="81">
        <f>'09'!AD7</f>
        <v>0.99980897803247371</v>
      </c>
      <c r="K4" s="81">
        <f>'10'!AD7</f>
        <v>0.99980988593155895</v>
      </c>
      <c r="L4" s="81"/>
      <c r="M4" s="81"/>
      <c r="N4" s="81">
        <f>'13'!AD7</f>
        <v>0.95793024886084832</v>
      </c>
      <c r="O4" s="81">
        <f>'14'!AD7</f>
        <v>0.99943661971830988</v>
      </c>
      <c r="P4" s="81">
        <f>'15'!AD7</f>
        <v>0.91647997284453497</v>
      </c>
      <c r="Q4" s="81">
        <f>'16'!AD7</f>
        <v>0.87475895316804408</v>
      </c>
      <c r="R4" s="81">
        <f>'17'!AD7</f>
        <v>0.79127954360228192</v>
      </c>
      <c r="S4" s="81"/>
      <c r="T4" s="81"/>
      <c r="U4" s="81">
        <f>'20'!AD7</f>
        <v>0.33218390804597697</v>
      </c>
      <c r="V4" s="81">
        <f>'21'!AD7</f>
        <v>0.37351694915254241</v>
      </c>
      <c r="W4" s="81">
        <f>'22'!AD7</f>
        <v>0.91618293755496916</v>
      </c>
      <c r="X4" s="81">
        <f>'23'!AD7</f>
        <v>1</v>
      </c>
      <c r="Y4" s="81">
        <f>'24'!AD7</f>
        <v>0.625</v>
      </c>
      <c r="Z4" s="81"/>
      <c r="AA4" s="81"/>
      <c r="AB4" s="81">
        <f>'27'!AD7</f>
        <v>0</v>
      </c>
      <c r="AC4" s="81">
        <f>'28'!AD7</f>
        <v>0</v>
      </c>
      <c r="AD4" s="81"/>
      <c r="AE4" s="81"/>
      <c r="AF4" s="82"/>
      <c r="AG4" s="83">
        <f t="shared" ref="AG4:AG18" si="0">SUM(B4:AF4)/28</f>
        <v>0.39403016605690028</v>
      </c>
    </row>
    <row r="5" spans="1:33" ht="21.75" customHeight="1">
      <c r="A5" s="118" t="s">
        <v>67</v>
      </c>
      <c r="B5" s="113">
        <f>'01'!AD8</f>
        <v>0</v>
      </c>
      <c r="C5" s="113">
        <f>'02'!AD8</f>
        <v>0</v>
      </c>
      <c r="D5" s="84">
        <f>'03'!AD9</f>
        <v>0</v>
      </c>
      <c r="E5" s="84"/>
      <c r="F5" s="84"/>
      <c r="G5" s="84">
        <f>'06'!AD8</f>
        <v>0</v>
      </c>
      <c r="H5" s="84">
        <f>'07'!AD8</f>
        <v>0</v>
      </c>
      <c r="I5" s="84">
        <f>'08'!AD9</f>
        <v>0</v>
      </c>
      <c r="J5" s="84">
        <f>'09'!AD8</f>
        <v>0</v>
      </c>
      <c r="K5" s="84">
        <f>'10'!AD8</f>
        <v>0</v>
      </c>
      <c r="L5" s="84"/>
      <c r="M5" s="84"/>
      <c r="N5" s="84">
        <f>'13'!AD8</f>
        <v>0</v>
      </c>
      <c r="O5" s="84">
        <f>'14'!AD8</f>
        <v>0</v>
      </c>
      <c r="P5" s="84">
        <f>'15'!AD8</f>
        <v>0.45784050179211466</v>
      </c>
      <c r="Q5" s="84">
        <f>'16'!AD8</f>
        <v>0</v>
      </c>
      <c r="R5" s="84">
        <f>'17'!AD8</f>
        <v>0.16666666666666666</v>
      </c>
      <c r="S5" s="84"/>
      <c r="T5" s="84"/>
      <c r="U5" s="84">
        <f>'20'!AD8</f>
        <v>0.49883177570093457</v>
      </c>
      <c r="V5" s="84">
        <f>'21'!AD8</f>
        <v>0</v>
      </c>
      <c r="W5" s="330">
        <f>'22'!AD8</f>
        <v>0</v>
      </c>
      <c r="X5" s="84">
        <f>'23'!AD8</f>
        <v>0.33109243697478991</v>
      </c>
      <c r="Y5" s="84">
        <f>'24'!AD8</f>
        <v>0.66549295774647876</v>
      </c>
      <c r="Z5" s="84"/>
      <c r="AA5" s="84"/>
      <c r="AB5" s="84">
        <f>'27'!AD8</f>
        <v>0.95791757049891546</v>
      </c>
      <c r="AC5" s="84">
        <f>'28'!AD8</f>
        <v>0.99885277246653925</v>
      </c>
      <c r="AD5" s="84"/>
      <c r="AE5" s="84"/>
      <c r="AF5" s="85"/>
      <c r="AG5" s="86">
        <f t="shared" si="0"/>
        <v>0.14559623863737284</v>
      </c>
    </row>
    <row r="6" spans="1:33" ht="21.75" customHeight="1">
      <c r="A6" s="119" t="s">
        <v>68</v>
      </c>
      <c r="B6" s="114">
        <f>'01'!AD9</f>
        <v>0</v>
      </c>
      <c r="C6" s="114">
        <f>'02'!AD9</f>
        <v>0</v>
      </c>
      <c r="D6" s="87">
        <f>'03'!AD10</f>
        <v>0.58163194444444444</v>
      </c>
      <c r="E6" s="87"/>
      <c r="F6" s="87"/>
      <c r="G6" s="87">
        <f>'06'!AD9</f>
        <v>0.95833333333333337</v>
      </c>
      <c r="H6" s="87">
        <f>'07'!AD9</f>
        <v>0.99964788732394361</v>
      </c>
      <c r="I6" s="87">
        <f>'08'!AD10</f>
        <v>0.83313204508856686</v>
      </c>
      <c r="J6" s="87">
        <f>'09'!AD9</f>
        <v>0.99925925925925929</v>
      </c>
      <c r="K6" s="87">
        <f>'10'!AD9</f>
        <v>0.99898819561551433</v>
      </c>
      <c r="L6" s="87"/>
      <c r="M6" s="87"/>
      <c r="N6" s="87">
        <f>'13'!AD9</f>
        <v>0.70833333333333337</v>
      </c>
      <c r="O6" s="87">
        <f>'14'!AD9</f>
        <v>0.91512605042016804</v>
      </c>
      <c r="P6" s="87">
        <f>'15'!AD9</f>
        <v>0.9992606284658041</v>
      </c>
      <c r="Q6" s="87">
        <f>'16'!AD9</f>
        <v>0</v>
      </c>
      <c r="R6" s="87">
        <f>'17'!AD9</f>
        <v>0.62478070175438594</v>
      </c>
      <c r="S6" s="87"/>
      <c r="T6" s="87"/>
      <c r="U6" s="87">
        <f>'20'!AD9+'20'!AD10</f>
        <v>0.6627758054664834</v>
      </c>
      <c r="V6" s="87">
        <f>'21'!AD9</f>
        <v>0.99860000000000004</v>
      </c>
      <c r="W6" s="87">
        <f>'22'!AD9+'22'!AD10</f>
        <v>0.33280423280423277</v>
      </c>
      <c r="X6" s="87">
        <f>'23'!AD9</f>
        <v>0</v>
      </c>
      <c r="Y6" s="87">
        <f>'24'!AD9</f>
        <v>0</v>
      </c>
      <c r="Z6" s="87"/>
      <c r="AA6" s="87"/>
      <c r="AB6" s="87">
        <f>'27'!AD9</f>
        <v>0</v>
      </c>
      <c r="AC6" s="87">
        <f>'28'!AD9</f>
        <v>0.70669871794871797</v>
      </c>
      <c r="AD6" s="87"/>
      <c r="AE6" s="87"/>
      <c r="AF6" s="88"/>
      <c r="AG6" s="89">
        <f t="shared" si="0"/>
        <v>0.40426329054493532</v>
      </c>
    </row>
    <row r="7" spans="1:33" ht="21.75" customHeight="1">
      <c r="A7" s="119" t="s">
        <v>69</v>
      </c>
      <c r="B7" s="114">
        <f>'01'!AD10</f>
        <v>0</v>
      </c>
      <c r="C7" s="114">
        <f>'02'!AD10+'02'!AD11</f>
        <v>0.49847136222910216</v>
      </c>
      <c r="D7" s="87">
        <f>'03'!AD11</f>
        <v>0</v>
      </c>
      <c r="E7" s="87"/>
      <c r="F7" s="87"/>
      <c r="G7" s="87">
        <f>'06'!AD10</f>
        <v>0.33248587570621468</v>
      </c>
      <c r="H7" s="87">
        <f>'07'!AD10</f>
        <v>0</v>
      </c>
      <c r="I7" s="87">
        <f>'08'!AD11</f>
        <v>0</v>
      </c>
      <c r="J7" s="87">
        <f>'09'!AD10</f>
        <v>0.125</v>
      </c>
      <c r="K7" s="87">
        <f>'10'!AD10</f>
        <v>0</v>
      </c>
      <c r="L7" s="87"/>
      <c r="M7" s="87"/>
      <c r="N7" s="87">
        <f>'13'!AD10</f>
        <v>0.16610169491525423</v>
      </c>
      <c r="O7" s="87">
        <f>'14'!AD10</f>
        <v>0.74996685082872927</v>
      </c>
      <c r="P7" s="87">
        <f>'15'!AD10</f>
        <v>0.74973913043478269</v>
      </c>
      <c r="Q7" s="87">
        <f>'16'!AD10</f>
        <v>0.95831044229467732</v>
      </c>
      <c r="R7" s="87">
        <f>'17'!AD10</f>
        <v>0.49995600527936646</v>
      </c>
      <c r="S7" s="87"/>
      <c r="T7" s="87"/>
      <c r="U7" s="87">
        <f>'20'!AD11</f>
        <v>0.87420694864048343</v>
      </c>
      <c r="V7" s="87">
        <f>'21'!AD10+'21'!AD11</f>
        <v>0.87244393939393949</v>
      </c>
      <c r="W7" s="87">
        <f>'22'!AD11</f>
        <v>0.49802955665024629</v>
      </c>
      <c r="X7" s="87">
        <f>'23'!AD10</f>
        <v>0.99821428571428572</v>
      </c>
      <c r="Y7" s="87">
        <f>'24'!AD10</f>
        <v>0.33211678832116787</v>
      </c>
      <c r="Z7" s="87"/>
      <c r="AA7" s="87"/>
      <c r="AB7" s="87">
        <f>'27'!AD10</f>
        <v>0</v>
      </c>
      <c r="AC7" s="87">
        <f>'28'!AD10</f>
        <v>0.41621621621621624</v>
      </c>
      <c r="AD7" s="87"/>
      <c r="AE7" s="87"/>
      <c r="AF7" s="88"/>
      <c r="AG7" s="89">
        <f t="shared" si="0"/>
        <v>0.28825925345087378</v>
      </c>
    </row>
    <row r="8" spans="1:33" ht="21.75" customHeight="1">
      <c r="A8" s="119" t="s">
        <v>70</v>
      </c>
      <c r="B8" s="114">
        <f>'01'!AD11</f>
        <v>0.99864636209813873</v>
      </c>
      <c r="C8" s="114">
        <f>'02'!AD12</f>
        <v>0.99913494809688586</v>
      </c>
      <c r="D8" s="87">
        <f>'03'!AD12</f>
        <v>0.99877835951134375</v>
      </c>
      <c r="E8" s="87"/>
      <c r="F8" s="87"/>
      <c r="G8" s="87">
        <f>'06'!AD11</f>
        <v>0.74903846153846154</v>
      </c>
      <c r="H8" s="87">
        <f>'07'!AD11+'07'!AD12</f>
        <v>0.95694103194103197</v>
      </c>
      <c r="I8" s="87">
        <f>'08'!AD12</f>
        <v>1</v>
      </c>
      <c r="J8" s="87">
        <f>'09'!AD11</f>
        <v>0.99979338842975207</v>
      </c>
      <c r="K8" s="87">
        <f>'10'!AD11</f>
        <v>0</v>
      </c>
      <c r="L8" s="87"/>
      <c r="M8" s="87"/>
      <c r="N8" s="87">
        <f>'13'!AD11</f>
        <v>0</v>
      </c>
      <c r="O8" s="87">
        <f>'14'!AD11</f>
        <v>0</v>
      </c>
      <c r="P8" s="87">
        <f>'15'!AD11</f>
        <v>0</v>
      </c>
      <c r="Q8" s="87">
        <f>'16'!AD11</f>
        <v>0</v>
      </c>
      <c r="R8" s="87">
        <f>'17'!AD11</f>
        <v>0</v>
      </c>
      <c r="S8" s="87"/>
      <c r="T8" s="87"/>
      <c r="U8" s="87">
        <f>'20'!AD12</f>
        <v>0</v>
      </c>
      <c r="V8" s="87">
        <f>'21'!AD12</f>
        <v>0.33312757201646087</v>
      </c>
      <c r="W8" s="87">
        <f>'22'!AD12</f>
        <v>0</v>
      </c>
      <c r="X8" s="87">
        <f>'23'!AD11</f>
        <v>0</v>
      </c>
      <c r="Y8" s="87">
        <f>'24'!AD11</f>
        <v>0</v>
      </c>
      <c r="Z8" s="87"/>
      <c r="AA8" s="87"/>
      <c r="AB8" s="87">
        <f>'27'!AD11</f>
        <v>0</v>
      </c>
      <c r="AC8" s="87">
        <f>'28'!AD11</f>
        <v>0</v>
      </c>
      <c r="AD8" s="87"/>
      <c r="AE8" s="87"/>
      <c r="AF8" s="88"/>
      <c r="AG8" s="89">
        <f t="shared" si="0"/>
        <v>0.2512664329868598</v>
      </c>
    </row>
    <row r="9" spans="1:33" ht="21.75" customHeight="1">
      <c r="A9" s="119" t="s">
        <v>71</v>
      </c>
      <c r="B9" s="114">
        <f>'01'!AD12</f>
        <v>0.83268229166666674</v>
      </c>
      <c r="C9" s="114">
        <f>'02'!AD13</f>
        <v>0.99855072463768113</v>
      </c>
      <c r="D9" s="87">
        <f>'03'!AD13</f>
        <v>0.99819819819819822</v>
      </c>
      <c r="E9" s="87"/>
      <c r="F9" s="87"/>
      <c r="G9" s="87">
        <f>'06'!AD12</f>
        <v>0.95795000000000008</v>
      </c>
      <c r="H9" s="87">
        <f>'07'!AD13</f>
        <v>0.79114810771470157</v>
      </c>
      <c r="I9" s="87">
        <f>'08'!AD13</f>
        <v>0.99982094897045659</v>
      </c>
      <c r="J9" s="87">
        <f>'09'!AD12</f>
        <v>0.99834123222748816</v>
      </c>
      <c r="K9" s="87">
        <f>'10'!AD12</f>
        <v>0.99939271255060724</v>
      </c>
      <c r="L9" s="87"/>
      <c r="M9" s="87"/>
      <c r="N9" s="87">
        <f>'13'!AD12</f>
        <v>0.9570023148148149</v>
      </c>
      <c r="O9" s="87">
        <f>'14'!AD12</f>
        <v>0.99921722113502931</v>
      </c>
      <c r="P9" s="87">
        <f>'15'!AD12</f>
        <v>0.74898097826086951</v>
      </c>
      <c r="Q9" s="87">
        <f>'16'!AD12</f>
        <v>0.66642246642246639</v>
      </c>
      <c r="R9" s="87">
        <f>'17'!AD12</f>
        <v>0.99956043956043961</v>
      </c>
      <c r="S9" s="87"/>
      <c r="T9" s="87"/>
      <c r="U9" s="87">
        <f>'20'!AD13</f>
        <v>0.375</v>
      </c>
      <c r="V9" s="87">
        <f>'21'!AD13</f>
        <v>0.78947435897435891</v>
      </c>
      <c r="W9" s="87">
        <f>'22'!AD13</f>
        <v>0.29166666666666669</v>
      </c>
      <c r="X9" s="87">
        <f>'23'!AD12</f>
        <v>0</v>
      </c>
      <c r="Y9" s="87">
        <f>'24'!AD12</f>
        <v>0.16620370370370369</v>
      </c>
      <c r="Z9" s="87"/>
      <c r="AA9" s="87"/>
      <c r="AB9" s="87">
        <f>'27'!AD12</f>
        <v>0</v>
      </c>
      <c r="AC9" s="87">
        <f>'28'!AD12</f>
        <v>0.45833333333333331</v>
      </c>
      <c r="AD9" s="87"/>
      <c r="AE9" s="87"/>
      <c r="AF9" s="88"/>
      <c r="AG9" s="89">
        <f t="shared" si="0"/>
        <v>0.50099806067276731</v>
      </c>
    </row>
    <row r="10" spans="1:33" ht="21.75" customHeight="1">
      <c r="A10" s="119" t="s">
        <v>72</v>
      </c>
      <c r="B10" s="114">
        <f>'01'!AD13</f>
        <v>0.41543209876543213</v>
      </c>
      <c r="C10" s="114">
        <f>'02'!AD14</f>
        <v>0</v>
      </c>
      <c r="D10" s="87">
        <f>'03'!AD14</f>
        <v>0.83333333333333337</v>
      </c>
      <c r="E10" s="87"/>
      <c r="F10" s="87"/>
      <c r="G10" s="87">
        <f>'06'!AD13</f>
        <v>0.37282258064516127</v>
      </c>
      <c r="H10" s="87">
        <f>'07'!AD14</f>
        <v>0.74855769230769231</v>
      </c>
      <c r="I10" s="87">
        <f>'08'!AD14</f>
        <v>0.99900166389351086</v>
      </c>
      <c r="J10" s="87">
        <f>'09'!AD13+'09'!AD14</f>
        <v>0.95356933368277863</v>
      </c>
      <c r="K10" s="87">
        <f>'10'!AD13</f>
        <v>0.99906542056074765</v>
      </c>
      <c r="L10" s="87"/>
      <c r="M10" s="87"/>
      <c r="N10" s="87">
        <f>'13'!AD13</f>
        <v>0.95715986394557828</v>
      </c>
      <c r="O10" s="87">
        <f>'14'!AD13</f>
        <v>0.99842105263157899</v>
      </c>
      <c r="P10" s="87">
        <f>'15'!AD13</f>
        <v>1</v>
      </c>
      <c r="Q10" s="87">
        <f>'16'!AD13</f>
        <v>0</v>
      </c>
      <c r="R10" s="87">
        <f>'17'!AD13</f>
        <v>0.58232758620689662</v>
      </c>
      <c r="S10" s="87"/>
      <c r="T10" s="87"/>
      <c r="U10" s="87">
        <f>'20'!AD14</f>
        <v>0.29140390390390392</v>
      </c>
      <c r="V10" s="87">
        <f>'21'!AD14</f>
        <v>0</v>
      </c>
      <c r="W10" s="87">
        <f>'22'!AD14+'22'!AD15</f>
        <v>0.41532067039106146</v>
      </c>
      <c r="X10" s="87">
        <f>'23'!AD13</f>
        <v>0.49642857142857144</v>
      </c>
      <c r="Y10" s="87">
        <f>'24'!AD13</f>
        <v>0.24882812500000001</v>
      </c>
      <c r="Z10" s="87"/>
      <c r="AA10" s="87"/>
      <c r="AB10" s="87">
        <f>'27'!AD13</f>
        <v>0</v>
      </c>
      <c r="AC10" s="87">
        <f>'28'!AD13</f>
        <v>1.2770833333333331</v>
      </c>
      <c r="AD10" s="87"/>
      <c r="AE10" s="87"/>
      <c r="AF10" s="88"/>
      <c r="AG10" s="89">
        <f t="shared" si="0"/>
        <v>0.4138841153581993</v>
      </c>
    </row>
    <row r="11" spans="1:33" ht="21.75" customHeight="1">
      <c r="A11" s="118" t="s">
        <v>73</v>
      </c>
      <c r="B11" s="113">
        <f>'01'!AD14</f>
        <v>0</v>
      </c>
      <c r="C11" s="113">
        <f>'02'!AD15+'02'!AD16</f>
        <v>0.70290697674418601</v>
      </c>
      <c r="D11" s="84">
        <f>'03'!AD15</f>
        <v>0</v>
      </c>
      <c r="E11" s="84"/>
      <c r="F11" s="84"/>
      <c r="G11" s="84">
        <f>'06'!AD14</f>
        <v>0.20673076923076925</v>
      </c>
      <c r="H11" s="84">
        <f>'07'!AD15</f>
        <v>0</v>
      </c>
      <c r="I11" s="84">
        <f>'08'!AD15</f>
        <v>0</v>
      </c>
      <c r="J11" s="84">
        <f>'09'!AD15</f>
        <v>0</v>
      </c>
      <c r="K11" s="84">
        <f>'10'!AD14</f>
        <v>0.78982558139534875</v>
      </c>
      <c r="L11" s="84"/>
      <c r="M11" s="84"/>
      <c r="N11" s="84">
        <f>'13'!AD14</f>
        <v>0.95701149425287357</v>
      </c>
      <c r="O11" s="84">
        <f>'14'!AD14</f>
        <v>1</v>
      </c>
      <c r="P11" s="84">
        <f>'15'!AD14</f>
        <v>0.95737259816207188</v>
      </c>
      <c r="Q11" s="84">
        <f>'16'!AD14</f>
        <v>0.99844444444444447</v>
      </c>
      <c r="R11" s="84">
        <f>'17'!AD14</f>
        <v>0.54166666666666663</v>
      </c>
      <c r="S11" s="84"/>
      <c r="T11" s="84"/>
      <c r="U11" s="84">
        <f>'20'!AD15</f>
        <v>0</v>
      </c>
      <c r="V11" s="84">
        <f>'21'!AD15</f>
        <v>0.83149678604224053</v>
      </c>
      <c r="W11" s="84">
        <f>'22'!AD16</f>
        <v>0.99962192816635165</v>
      </c>
      <c r="X11" s="84">
        <f>'23'!AD14</f>
        <v>1</v>
      </c>
      <c r="Y11" s="84">
        <f>'24'!AD14</f>
        <v>0.99909747292418771</v>
      </c>
      <c r="Z11" s="84"/>
      <c r="AA11" s="84"/>
      <c r="AB11" s="84">
        <f>'27'!AD14</f>
        <v>0.28882113821138211</v>
      </c>
      <c r="AC11" s="84">
        <f>'28'!AD14</f>
        <v>0</v>
      </c>
      <c r="AD11" s="84"/>
      <c r="AE11" s="84"/>
      <c r="AF11" s="85"/>
      <c r="AG11" s="86">
        <f t="shared" si="0"/>
        <v>0.36689270915144728</v>
      </c>
    </row>
    <row r="12" spans="1:33" ht="21.75" customHeight="1">
      <c r="A12" s="118" t="s">
        <v>74</v>
      </c>
      <c r="B12" s="113">
        <f>'01'!AD15</f>
        <v>0</v>
      </c>
      <c r="C12" s="113">
        <f>'02'!AD17</f>
        <v>0</v>
      </c>
      <c r="D12" s="84">
        <f>'03'!AD16</f>
        <v>0.93981914893617025</v>
      </c>
      <c r="E12" s="84"/>
      <c r="F12" s="84"/>
      <c r="G12" s="84">
        <f>'06'!AD15</f>
        <v>0.95833333333333337</v>
      </c>
      <c r="H12" s="84">
        <f>'07'!AD16</f>
        <v>0.99992022337455122</v>
      </c>
      <c r="I12" s="84">
        <f>'08'!AD16</f>
        <v>0</v>
      </c>
      <c r="J12" s="84">
        <f>'09'!AD16</f>
        <v>0</v>
      </c>
      <c r="K12" s="84">
        <f>'10'!AD15</f>
        <v>0</v>
      </c>
      <c r="L12" s="84"/>
      <c r="M12" s="84"/>
      <c r="N12" s="84">
        <f>'13'!AD15</f>
        <v>0</v>
      </c>
      <c r="O12" s="84">
        <f>'14'!AD15</f>
        <v>0</v>
      </c>
      <c r="P12" s="84">
        <f>'15'!AD15</f>
        <v>0</v>
      </c>
      <c r="Q12" s="84">
        <f>'16'!AD15</f>
        <v>0</v>
      </c>
      <c r="R12" s="84">
        <f>'17'!AD15</f>
        <v>0</v>
      </c>
      <c r="S12" s="84"/>
      <c r="T12" s="84"/>
      <c r="U12" s="84">
        <f>'20'!AD16</f>
        <v>0</v>
      </c>
      <c r="V12" s="84">
        <f>'21'!AD16</f>
        <v>0</v>
      </c>
      <c r="W12" s="84">
        <f>'22'!AD17</f>
        <v>0</v>
      </c>
      <c r="X12" s="84">
        <f>'23'!AD15</f>
        <v>0</v>
      </c>
      <c r="Y12" s="84">
        <f>'24'!AD15</f>
        <v>0</v>
      </c>
      <c r="Z12" s="84"/>
      <c r="AA12" s="84"/>
      <c r="AB12" s="84">
        <f>'27'!AD15</f>
        <v>0</v>
      </c>
      <c r="AC12" s="84">
        <f>'28'!AD15</f>
        <v>0.75</v>
      </c>
      <c r="AD12" s="84"/>
      <c r="AE12" s="84"/>
      <c r="AF12" s="85"/>
      <c r="AG12" s="86">
        <f t="shared" si="0"/>
        <v>0.1302883109158591</v>
      </c>
    </row>
    <row r="13" spans="1:33" ht="21.75" customHeight="1">
      <c r="A13" s="118" t="s">
        <v>75</v>
      </c>
      <c r="B13" s="113">
        <f>'01'!AD16</f>
        <v>0.7488031914893617</v>
      </c>
      <c r="C13" s="113">
        <f>'02'!AD18</f>
        <v>0.99963570127504553</v>
      </c>
      <c r="D13" s="84">
        <f>'03'!AD17</f>
        <v>0.99854280510018212</v>
      </c>
      <c r="E13" s="84"/>
      <c r="F13" s="84"/>
      <c r="G13" s="84">
        <f>'06'!AD16</f>
        <v>0.78520833333333329</v>
      </c>
      <c r="H13" s="84">
        <f>'07'!AD17</f>
        <v>0.70751915708812263</v>
      </c>
      <c r="I13" s="84">
        <f>'08'!AD17</f>
        <v>0.9579861111111112</v>
      </c>
      <c r="J13" s="84">
        <f>'09'!AD17</f>
        <v>0.99966159052453474</v>
      </c>
      <c r="K13" s="84">
        <f>'10'!AD16</f>
        <v>0.95811553030303032</v>
      </c>
      <c r="L13" s="84"/>
      <c r="M13" s="84"/>
      <c r="N13" s="84">
        <f>'13'!AD16</f>
        <v>0</v>
      </c>
      <c r="O13" s="84">
        <f>'14'!AD16</f>
        <v>0.5814716312056738</v>
      </c>
      <c r="P13" s="84">
        <f>'15'!AD16</f>
        <v>0.99852398523985242</v>
      </c>
      <c r="Q13" s="84">
        <f>'16'!AD16</f>
        <v>0.99888682745825608</v>
      </c>
      <c r="R13" s="84">
        <f>'17'!AD16</f>
        <v>0.79003856041131104</v>
      </c>
      <c r="S13" s="84"/>
      <c r="T13" s="84"/>
      <c r="U13" s="84">
        <f>'20'!AD17</f>
        <v>0.95681216931216939</v>
      </c>
      <c r="V13" s="84">
        <f>'21'!AD17</f>
        <v>0.9986666666666667</v>
      </c>
      <c r="W13" s="84">
        <f>'22'!AD18</f>
        <v>0.99876760563380285</v>
      </c>
      <c r="X13" s="84">
        <f>'23'!AD16</f>
        <v>0.99964539007092201</v>
      </c>
      <c r="Y13" s="84">
        <f>'24'!AD16</f>
        <v>0.83246301131418621</v>
      </c>
      <c r="Z13" s="84"/>
      <c r="AA13" s="84"/>
      <c r="AB13" s="84">
        <f>'27'!AD16</f>
        <v>0.99938775510204081</v>
      </c>
      <c r="AC13" s="84">
        <f>'28'!AD16</f>
        <v>0.83150406504065044</v>
      </c>
      <c r="AD13" s="84"/>
      <c r="AE13" s="84"/>
      <c r="AF13" s="85"/>
      <c r="AG13" s="86">
        <f t="shared" si="0"/>
        <v>0.61220143170286623</v>
      </c>
    </row>
    <row r="14" spans="1:33" ht="21.75" customHeight="1">
      <c r="A14" s="118" t="s">
        <v>76</v>
      </c>
      <c r="B14" s="113">
        <f>'01'!AD17</f>
        <v>0.87463991769547322</v>
      </c>
      <c r="C14" s="113">
        <f>'02'!AD19</f>
        <v>0.99921752738654146</v>
      </c>
      <c r="D14" s="84">
        <f>'03'!AD18</f>
        <v>0.46282527881040891</v>
      </c>
      <c r="E14" s="84"/>
      <c r="F14" s="84"/>
      <c r="G14" s="84">
        <f>'06'!AD17</f>
        <v>0</v>
      </c>
      <c r="H14" s="84">
        <f>'07'!AD18</f>
        <v>0</v>
      </c>
      <c r="I14" s="84">
        <f>'08'!AD18</f>
        <v>0</v>
      </c>
      <c r="J14" s="84">
        <f>'09'!AD18</f>
        <v>0.54148179749715586</v>
      </c>
      <c r="K14" s="84">
        <f>'10'!AD17</f>
        <v>0.25</v>
      </c>
      <c r="L14" s="84"/>
      <c r="M14" s="84"/>
      <c r="N14" s="84">
        <f>'13'!AD17</f>
        <v>0</v>
      </c>
      <c r="O14" s="84">
        <f>'14'!AD17</f>
        <v>0</v>
      </c>
      <c r="P14" s="84">
        <f>'15'!AD17</f>
        <v>0</v>
      </c>
      <c r="Q14" s="84">
        <f>'16'!AD17</f>
        <v>0</v>
      </c>
      <c r="R14" s="84">
        <f>'17'!AD17</f>
        <v>0.62335526315789469</v>
      </c>
      <c r="S14" s="84"/>
      <c r="T14" s="84"/>
      <c r="U14" s="84">
        <f>'20'!AD18</f>
        <v>0</v>
      </c>
      <c r="V14" s="84">
        <f>'21'!AD18</f>
        <v>0</v>
      </c>
      <c r="W14" s="84">
        <f>'22'!AD19</f>
        <v>0.16642335766423355</v>
      </c>
      <c r="X14" s="84">
        <f>'23'!AD17</f>
        <v>0</v>
      </c>
      <c r="Y14" s="84">
        <f>'24'!AD17</f>
        <v>0</v>
      </c>
      <c r="Z14" s="84"/>
      <c r="AA14" s="84"/>
      <c r="AB14" s="84">
        <f>'27'!AD17</f>
        <v>0.49849137931034482</v>
      </c>
      <c r="AC14" s="84">
        <f>'28'!AD17</f>
        <v>0.99596491228070172</v>
      </c>
      <c r="AD14" s="84"/>
      <c r="AE14" s="84"/>
      <c r="AF14" s="85"/>
      <c r="AG14" s="86">
        <f t="shared" si="0"/>
        <v>0.19329997977866978</v>
      </c>
    </row>
    <row r="15" spans="1:33" ht="21.75" customHeight="1">
      <c r="A15" s="119" t="s">
        <v>77</v>
      </c>
      <c r="B15" s="114">
        <f>'01'!AD18</f>
        <v>0.54144375857338811</v>
      </c>
      <c r="C15" s="114">
        <f>'02'!AD20</f>
        <v>0.83181818181818179</v>
      </c>
      <c r="D15" s="87">
        <f>'03'!AD19</f>
        <v>0.41611600587371511</v>
      </c>
      <c r="E15" s="87"/>
      <c r="F15" s="87"/>
      <c r="G15" s="87">
        <f>'06'!AD18</f>
        <v>0</v>
      </c>
      <c r="H15" s="87">
        <f>'07'!AD19</f>
        <v>0.58333333333333337</v>
      </c>
      <c r="I15" s="87">
        <f>'08'!AD19</f>
        <v>0.87446428571428569</v>
      </c>
      <c r="J15" s="87">
        <f>'09'!AD19</f>
        <v>0.99964221824686939</v>
      </c>
      <c r="K15" s="87">
        <f>'10'!AD18</f>
        <v>0.95833333333333337</v>
      </c>
      <c r="L15" s="87"/>
      <c r="M15" s="87"/>
      <c r="N15" s="87">
        <f>'13'!AD18</f>
        <v>0</v>
      </c>
      <c r="O15" s="87">
        <f>'14'!AD18</f>
        <v>0</v>
      </c>
      <c r="P15" s="87">
        <f>'15'!AD18</f>
        <v>0.16666666666666666</v>
      </c>
      <c r="Q15" s="87">
        <f>'16'!AD18</f>
        <v>0</v>
      </c>
      <c r="R15" s="87">
        <f>'17'!AD18</f>
        <v>0</v>
      </c>
      <c r="S15" s="87"/>
      <c r="T15" s="87"/>
      <c r="U15" s="87">
        <f>'20'!AD19</f>
        <v>0</v>
      </c>
      <c r="V15" s="87">
        <f>'21'!AD19</f>
        <v>0</v>
      </c>
      <c r="W15" s="87">
        <f>'22'!AD20</f>
        <v>0.58145161290322589</v>
      </c>
      <c r="X15" s="87">
        <f>'23'!AD18</f>
        <v>0.70652866242038215</v>
      </c>
      <c r="Y15" s="87">
        <f>'24'!AD18</f>
        <v>0.45752212389380531</v>
      </c>
      <c r="Z15" s="87"/>
      <c r="AA15" s="87"/>
      <c r="AB15" s="87">
        <f>'27'!AD18</f>
        <v>0.41459484346224679</v>
      </c>
      <c r="AC15" s="87">
        <f>'28'!AD18</f>
        <v>0.66570743405275778</v>
      </c>
      <c r="AD15" s="87"/>
      <c r="AE15" s="87"/>
      <c r="AF15" s="88"/>
      <c r="AG15" s="89">
        <f t="shared" si="0"/>
        <v>0.29277223072472119</v>
      </c>
    </row>
    <row r="16" spans="1:33" ht="21.75" customHeight="1">
      <c r="A16" s="119" t="s">
        <v>78</v>
      </c>
      <c r="B16" s="114">
        <f>'01'!AD19</f>
        <v>0.87249203821656041</v>
      </c>
      <c r="C16" s="114">
        <f>'02'!AD21</f>
        <v>0</v>
      </c>
      <c r="D16" s="87">
        <f>'03'!AD20</f>
        <v>0</v>
      </c>
      <c r="E16" s="87"/>
      <c r="F16" s="87"/>
      <c r="G16" s="87">
        <f>'06'!AD19</f>
        <v>0</v>
      </c>
      <c r="H16" s="87">
        <f>'07'!AD20</f>
        <v>0.66470588235294115</v>
      </c>
      <c r="I16" s="87">
        <f>'08'!AD20</f>
        <v>0.99967213114754094</v>
      </c>
      <c r="J16" s="87">
        <f>'09'!AD20</f>
        <v>0.9988562091503268</v>
      </c>
      <c r="K16" s="87">
        <f>'10'!AD19</f>
        <v>0.28995098039215689</v>
      </c>
      <c r="L16" s="87"/>
      <c r="M16" s="87"/>
      <c r="N16" s="87">
        <f>'13'!AD19</f>
        <v>0</v>
      </c>
      <c r="O16" s="87">
        <f>'14'!AD19</f>
        <v>0.4995073891625616</v>
      </c>
      <c r="P16" s="87">
        <f>'15'!AD19</f>
        <v>0.74940944881889759</v>
      </c>
      <c r="Q16" s="87">
        <f>'16'!AD19</f>
        <v>0.74955089820359277</v>
      </c>
      <c r="R16" s="87">
        <f>'17'!AD19</f>
        <v>0.79166666666666663</v>
      </c>
      <c r="S16" s="87"/>
      <c r="T16" s="87"/>
      <c r="U16" s="87">
        <f>'20'!AD20</f>
        <v>0.95764388489208641</v>
      </c>
      <c r="V16" s="87">
        <f>'21'!AD20</f>
        <v>0.49950248756218907</v>
      </c>
      <c r="W16" s="87">
        <f>'22'!AD21</f>
        <v>0.53961834733893554</v>
      </c>
      <c r="X16" s="87">
        <f>'23'!AD19</f>
        <v>0.66533333333333333</v>
      </c>
      <c r="Y16" s="87">
        <f>'24'!AD19</f>
        <v>0.91559579439252337</v>
      </c>
      <c r="Z16" s="87"/>
      <c r="AA16" s="87"/>
      <c r="AB16" s="87">
        <f>'27'!AD19</f>
        <v>0.99977876106194685</v>
      </c>
      <c r="AC16" s="87">
        <f>'28'!AD19</f>
        <v>0.87478341584158414</v>
      </c>
      <c r="AD16" s="87"/>
      <c r="AE16" s="87"/>
      <c r="AF16" s="88"/>
      <c r="AG16" s="89">
        <f t="shared" si="0"/>
        <v>0.43100241673335155</v>
      </c>
    </row>
    <row r="17" spans="1:33" ht="21.75" customHeight="1" thickBot="1">
      <c r="A17" s="120" t="s">
        <v>116</v>
      </c>
      <c r="B17" s="115">
        <f>'01'!AD20</f>
        <v>0</v>
      </c>
      <c r="C17" s="115">
        <f>'02'!AD22</f>
        <v>0</v>
      </c>
      <c r="D17" s="90">
        <f>'03'!AD21</f>
        <v>0</v>
      </c>
      <c r="E17" s="90"/>
      <c r="F17" s="90"/>
      <c r="G17" s="90">
        <f>'06'!AD20</f>
        <v>0</v>
      </c>
      <c r="H17" s="90">
        <f>'07'!AD21</f>
        <v>0</v>
      </c>
      <c r="I17" s="90">
        <f>'08'!AD21</f>
        <v>0</v>
      </c>
      <c r="J17" s="90">
        <f>'09'!AD21</f>
        <v>0</v>
      </c>
      <c r="K17" s="90">
        <f>'10'!AD20</f>
        <v>0</v>
      </c>
      <c r="L17" s="90"/>
      <c r="M17" s="90"/>
      <c r="N17" s="90">
        <f>'13'!AD20</f>
        <v>0.66656167979002623</v>
      </c>
      <c r="O17" s="90">
        <f>'14'!AD20</f>
        <v>1</v>
      </c>
      <c r="P17" s="90">
        <f>'15'!AD20</f>
        <v>0.99936507936507935</v>
      </c>
      <c r="Q17" s="90">
        <f>'16'!AD20</f>
        <v>0.9998410174880763</v>
      </c>
      <c r="R17" s="90">
        <f>'17'!AD20</f>
        <v>0.83324825591288076</v>
      </c>
      <c r="S17" s="90"/>
      <c r="T17" s="90"/>
      <c r="U17" s="90">
        <f>'20'!AD21</f>
        <v>0</v>
      </c>
      <c r="V17" s="90">
        <f>'21'!AD21</f>
        <v>0.87491387795275588</v>
      </c>
      <c r="W17" s="90">
        <f>'22'!AD22</f>
        <v>0.99984785089387596</v>
      </c>
      <c r="X17" s="90">
        <f>'23'!AD20</f>
        <v>0.99988092875570544</v>
      </c>
      <c r="Y17" s="90">
        <f>'24'!AD20</f>
        <v>0.99992614475627772</v>
      </c>
      <c r="Z17" s="90"/>
      <c r="AA17" s="90"/>
      <c r="AB17" s="90">
        <f>'27'!AD20</f>
        <v>0.95833333333333337</v>
      </c>
      <c r="AC17" s="90">
        <f>'28'!AD20</f>
        <v>0.99996390543223246</v>
      </c>
      <c r="AD17" s="90"/>
      <c r="AE17" s="90"/>
      <c r="AF17" s="91"/>
      <c r="AG17" s="92">
        <f t="shared" si="0"/>
        <v>0.368995788345723</v>
      </c>
    </row>
    <row r="18" spans="1:33" s="93" customFormat="1" ht="21.75" customHeight="1">
      <c r="A18" s="97" t="s">
        <v>110</v>
      </c>
      <c r="B18" s="101">
        <f>'01'!AD21</f>
        <v>0.41893073913843004</v>
      </c>
      <c r="C18" s="101">
        <f>'02'!AD23</f>
        <v>0.48800351453642815</v>
      </c>
      <c r="D18" s="102">
        <f>'03'!AD22</f>
        <v>0.4647324451783168</v>
      </c>
      <c r="E18" s="102"/>
      <c r="F18" s="102"/>
      <c r="G18" s="102">
        <f>'06'!AD21</f>
        <v>0.41849796715980697</v>
      </c>
      <c r="H18" s="102">
        <f>'07'!AD22</f>
        <v>0.5105223198666905</v>
      </c>
      <c r="I18" s="102">
        <f>'08'!AD22</f>
        <v>0.5607773389109314</v>
      </c>
      <c r="J18" s="102">
        <f>'09'!AD22</f>
        <v>0.64098020710511372</v>
      </c>
      <c r="K18" s="102">
        <f>'10'!AD21</f>
        <v>0.52453072044993088</v>
      </c>
      <c r="L18" s="102"/>
      <c r="M18" s="102"/>
      <c r="N18" s="102">
        <f>'13'!AD21</f>
        <v>0.36625972070904139</v>
      </c>
      <c r="O18" s="102">
        <f>'14'!AD21</f>
        <v>0.54947901844270086</v>
      </c>
      <c r="P18" s="102">
        <f>'15'!AD21</f>
        <v>0.62723810351140652</v>
      </c>
      <c r="Q18" s="102">
        <f>'16'!AD21</f>
        <v>0.48301366323129713</v>
      </c>
      <c r="R18" s="102">
        <f>'17'!AD21</f>
        <v>0.54955674245079678</v>
      </c>
      <c r="S18" s="102"/>
      <c r="T18" s="102"/>
      <c r="U18" s="102">
        <f>'20'!AD22</f>
        <v>0.39375207992082634</v>
      </c>
      <c r="V18" s="102">
        <f>'21'!AD22</f>
        <v>0.50478284251741035</v>
      </c>
      <c r="W18" s="102">
        <f>'22'!AD23</f>
        <v>0.51598231777784009</v>
      </c>
      <c r="X18" s="102">
        <f>'23'!AD21</f>
        <v>0.50189157391319927</v>
      </c>
      <c r="Y18" s="102">
        <f>'24'!AD21</f>
        <v>0.44381177850719239</v>
      </c>
      <c r="Z18" s="102"/>
      <c r="AA18" s="102"/>
      <c r="AB18" s="102">
        <f>'27'!AD21</f>
        <v>0.39938831873201402</v>
      </c>
      <c r="AC18" s="102">
        <f>'28'!AD21</f>
        <v>0.65662579680666089</v>
      </c>
      <c r="AD18" s="102"/>
      <c r="AE18" s="102"/>
      <c r="AF18" s="103"/>
      <c r="AG18" s="106">
        <f t="shared" si="0"/>
        <v>0.35781275745950131</v>
      </c>
    </row>
    <row r="19" spans="1:33" ht="21.75" customHeight="1" thickBot="1">
      <c r="A19" s="76" t="s">
        <v>114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view="pageBreakPreview" topLeftCell="A10" zoomScale="70" zoomScaleNormal="70" zoomScaleSheetLayoutView="70" workbookViewId="0">
      <selection activeCell="AG32" sqref="AG3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184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124" t="s">
        <v>17</v>
      </c>
      <c r="L5" s="124" t="s">
        <v>18</v>
      </c>
      <c r="M5" s="124" t="s">
        <v>19</v>
      </c>
      <c r="N5" s="12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124</v>
      </c>
      <c r="D6" s="55" t="s">
        <v>163</v>
      </c>
      <c r="E6" s="56" t="s">
        <v>164</v>
      </c>
      <c r="F6" s="12" t="s">
        <v>158</v>
      </c>
      <c r="G6" s="36">
        <v>2</v>
      </c>
      <c r="H6" s="38">
        <v>25</v>
      </c>
      <c r="I6" s="7">
        <v>30000</v>
      </c>
      <c r="J6" s="14">
        <v>11200</v>
      </c>
      <c r="K6" s="15">
        <f>L6+9410</f>
        <v>20608</v>
      </c>
      <c r="L6" s="15">
        <f>2937*2+5324</f>
        <v>11198</v>
      </c>
      <c r="M6" s="16">
        <f t="shared" ref="M6:M20" si="0">L6-N6</f>
        <v>11198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0.99982142857142853</v>
      </c>
      <c r="AC6" s="9">
        <f t="shared" ref="AC6:AC20" si="5">IF(P6=0,"0",(P6/24))</f>
        <v>1</v>
      </c>
      <c r="AD6" s="10">
        <f t="shared" ref="AD6:AD20" si="6">AC6*AB6*(1-O6)</f>
        <v>0.99982142857142853</v>
      </c>
      <c r="AE6" s="39">
        <f t="shared" ref="AE6:AE20" si="7">$AD$21</f>
        <v>0.41893073913843004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151</v>
      </c>
      <c r="D7" s="55" t="s">
        <v>152</v>
      </c>
      <c r="E7" s="57" t="s">
        <v>155</v>
      </c>
      <c r="F7" s="33" t="s">
        <v>159</v>
      </c>
      <c r="G7" s="36">
        <v>1</v>
      </c>
      <c r="H7" s="38">
        <v>25</v>
      </c>
      <c r="I7" s="7">
        <v>200</v>
      </c>
      <c r="J7" s="5">
        <v>240</v>
      </c>
      <c r="K7" s="15">
        <f>L7+239</f>
        <v>239</v>
      </c>
      <c r="L7" s="15">
        <v>0</v>
      </c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0.41893073913843004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0.41893073913843004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123</v>
      </c>
      <c r="E9" s="57" t="s">
        <v>148</v>
      </c>
      <c r="F9" s="12" t="s">
        <v>136</v>
      </c>
      <c r="G9" s="12">
        <v>1</v>
      </c>
      <c r="H9" s="13">
        <v>25</v>
      </c>
      <c r="I9" s="34">
        <v>10000</v>
      </c>
      <c r="J9" s="5">
        <v>5110</v>
      </c>
      <c r="K9" s="15">
        <f>L9+4001+4493+5101</f>
        <v>13595</v>
      </c>
      <c r="L9" s="15">
        <v>0</v>
      </c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0.41893073913843004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165</v>
      </c>
      <c r="D10" s="55"/>
      <c r="E10" s="57" t="s">
        <v>172</v>
      </c>
      <c r="F10" s="12" t="s">
        <v>166</v>
      </c>
      <c r="G10" s="12">
        <v>1</v>
      </c>
      <c r="H10" s="13">
        <v>25</v>
      </c>
      <c r="I10" s="34">
        <v>1000</v>
      </c>
      <c r="J10" s="5">
        <v>1122</v>
      </c>
      <c r="K10" s="15">
        <f>L10+1122</f>
        <v>1122</v>
      </c>
      <c r="L10" s="15">
        <v>0</v>
      </c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0.41893073913843004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124</v>
      </c>
      <c r="D11" s="55" t="s">
        <v>121</v>
      </c>
      <c r="E11" s="56" t="s">
        <v>132</v>
      </c>
      <c r="F11" s="12" t="s">
        <v>130</v>
      </c>
      <c r="G11" s="12">
        <v>1</v>
      </c>
      <c r="H11" s="13">
        <v>25</v>
      </c>
      <c r="I11" s="34">
        <v>20000</v>
      </c>
      <c r="J11" s="14">
        <v>5910</v>
      </c>
      <c r="K11" s="15">
        <f>L11+3397</f>
        <v>9299</v>
      </c>
      <c r="L11" s="15">
        <f>3043+2859</f>
        <v>5902</v>
      </c>
      <c r="M11" s="16">
        <f t="shared" si="0"/>
        <v>5902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0.99864636209813873</v>
      </c>
      <c r="AC11" s="9">
        <f t="shared" si="5"/>
        <v>1</v>
      </c>
      <c r="AD11" s="10">
        <f t="shared" si="6"/>
        <v>0.99864636209813873</v>
      </c>
      <c r="AE11" s="39">
        <f t="shared" si="7"/>
        <v>0.41893073913843004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58</v>
      </c>
      <c r="E12" s="57" t="s">
        <v>147</v>
      </c>
      <c r="F12" s="12" t="s">
        <v>136</v>
      </c>
      <c r="G12" s="12">
        <v>1</v>
      </c>
      <c r="H12" s="13">
        <v>25</v>
      </c>
      <c r="I12" s="34">
        <v>40000</v>
      </c>
      <c r="J12" s="5">
        <v>3840</v>
      </c>
      <c r="K12" s="15">
        <f>L12+3891+5557+5322+934+3571+4181+5403+5481+4296</f>
        <v>42473</v>
      </c>
      <c r="L12" s="15">
        <f>2096+1741</f>
        <v>3837</v>
      </c>
      <c r="M12" s="16">
        <f t="shared" si="0"/>
        <v>3837</v>
      </c>
      <c r="N12" s="16">
        <v>0</v>
      </c>
      <c r="O12" s="62">
        <f t="shared" si="1"/>
        <v>0</v>
      </c>
      <c r="P12" s="42">
        <f t="shared" si="2"/>
        <v>20</v>
      </c>
      <c r="Q12" s="43">
        <f t="shared" si="3"/>
        <v>4</v>
      </c>
      <c r="R12" s="7"/>
      <c r="S12" s="6">
        <v>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0.99921875000000004</v>
      </c>
      <c r="AC12" s="9">
        <f t="shared" si="5"/>
        <v>0.83333333333333337</v>
      </c>
      <c r="AD12" s="10">
        <f t="shared" si="6"/>
        <v>0.83268229166666674</v>
      </c>
      <c r="AE12" s="39">
        <f t="shared" si="7"/>
        <v>0.41893073913843004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124</v>
      </c>
      <c r="D13" s="55" t="s">
        <v>212</v>
      </c>
      <c r="E13" s="57" t="s">
        <v>186</v>
      </c>
      <c r="F13" s="12">
        <v>7301</v>
      </c>
      <c r="G13" s="12" t="s">
        <v>187</v>
      </c>
      <c r="H13" s="13">
        <v>25</v>
      </c>
      <c r="I13" s="7">
        <v>1000</v>
      </c>
      <c r="J13" s="14">
        <v>1350</v>
      </c>
      <c r="K13" s="15">
        <f>L13</f>
        <v>1346</v>
      </c>
      <c r="L13" s="15">
        <f>1346</f>
        <v>1346</v>
      </c>
      <c r="M13" s="16">
        <f t="shared" si="0"/>
        <v>1346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si="4"/>
        <v>0.99703703703703705</v>
      </c>
      <c r="AC13" s="9">
        <f t="shared" si="5"/>
        <v>0.41666666666666669</v>
      </c>
      <c r="AD13" s="10">
        <f t="shared" si="6"/>
        <v>0.41543209876543213</v>
      </c>
      <c r="AE13" s="39">
        <f t="shared" si="7"/>
        <v>0.41893073913843004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188</v>
      </c>
      <c r="F14" s="33" t="s">
        <v>137</v>
      </c>
      <c r="G14" s="36">
        <v>1</v>
      </c>
      <c r="H14" s="38">
        <v>50</v>
      </c>
      <c r="I14" s="7">
        <v>100</v>
      </c>
      <c r="J14" s="5">
        <v>61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0.41893073913843004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124</v>
      </c>
      <c r="D15" s="55" t="s">
        <v>160</v>
      </c>
      <c r="E15" s="57" t="s">
        <v>156</v>
      </c>
      <c r="F15" s="12" t="s">
        <v>125</v>
      </c>
      <c r="G15" s="12">
        <v>1</v>
      </c>
      <c r="H15" s="13">
        <v>25</v>
      </c>
      <c r="I15" s="34">
        <v>9000</v>
      </c>
      <c r="J15" s="5">
        <v>12430</v>
      </c>
      <c r="K15" s="15">
        <f>L15+12428</f>
        <v>12428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0.41893073913843004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124</v>
      </c>
      <c r="D16" s="55" t="s">
        <v>167</v>
      </c>
      <c r="E16" s="56" t="s">
        <v>168</v>
      </c>
      <c r="F16" s="12">
        <v>7301</v>
      </c>
      <c r="G16" s="36">
        <v>1</v>
      </c>
      <c r="H16" s="38">
        <v>25</v>
      </c>
      <c r="I16" s="7">
        <v>25000</v>
      </c>
      <c r="J16" s="14">
        <v>3760</v>
      </c>
      <c r="K16" s="15">
        <f>L16+2789</f>
        <v>6543</v>
      </c>
      <c r="L16" s="15">
        <f>2853+901</f>
        <v>3754</v>
      </c>
      <c r="M16" s="16">
        <f t="shared" si="0"/>
        <v>3754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0.99840425531914889</v>
      </c>
      <c r="AC16" s="9">
        <f t="shared" si="5"/>
        <v>0.75</v>
      </c>
      <c r="AD16" s="10">
        <f t="shared" si="6"/>
        <v>0.7488031914893617</v>
      </c>
      <c r="AE16" s="39">
        <f t="shared" si="7"/>
        <v>0.41893073913843004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124</v>
      </c>
      <c r="D17" s="55" t="s">
        <v>189</v>
      </c>
      <c r="E17" s="56" t="s">
        <v>190</v>
      </c>
      <c r="F17" s="12">
        <v>8301</v>
      </c>
      <c r="G17" s="12">
        <v>1</v>
      </c>
      <c r="H17" s="13">
        <v>25</v>
      </c>
      <c r="I17" s="34">
        <v>15000</v>
      </c>
      <c r="J17" s="5">
        <v>4860</v>
      </c>
      <c r="K17" s="15">
        <f>L17</f>
        <v>4858</v>
      </c>
      <c r="L17" s="15">
        <f>1543+3315</f>
        <v>4858</v>
      </c>
      <c r="M17" s="16">
        <f t="shared" si="0"/>
        <v>4858</v>
      </c>
      <c r="N17" s="16">
        <v>0</v>
      </c>
      <c r="O17" s="62">
        <f t="shared" si="1"/>
        <v>0</v>
      </c>
      <c r="P17" s="42">
        <f t="shared" si="2"/>
        <v>21</v>
      </c>
      <c r="Q17" s="43">
        <f t="shared" si="3"/>
        <v>3</v>
      </c>
      <c r="R17" s="7"/>
      <c r="S17" s="6">
        <v>3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0.99958847736625511</v>
      </c>
      <c r="AC17" s="9">
        <f t="shared" si="5"/>
        <v>0.875</v>
      </c>
      <c r="AD17" s="10">
        <f t="shared" si="6"/>
        <v>0.87463991769547322</v>
      </c>
      <c r="AE17" s="39">
        <f t="shared" si="7"/>
        <v>0.41893073913843004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135</v>
      </c>
      <c r="D18" s="55" t="s">
        <v>121</v>
      </c>
      <c r="E18" s="56" t="s">
        <v>149</v>
      </c>
      <c r="F18" s="33" t="s">
        <v>129</v>
      </c>
      <c r="G18" s="36">
        <v>1</v>
      </c>
      <c r="H18" s="38">
        <v>25</v>
      </c>
      <c r="I18" s="7">
        <v>40000</v>
      </c>
      <c r="J18" s="5">
        <v>2430</v>
      </c>
      <c r="K18" s="15">
        <f>L18+3070+4970+3827+5005+3931+4263+3555+3591+3911</f>
        <v>38552</v>
      </c>
      <c r="L18" s="15">
        <v>2429</v>
      </c>
      <c r="M18" s="16">
        <f t="shared" si="0"/>
        <v>2429</v>
      </c>
      <c r="N18" s="16">
        <v>0</v>
      </c>
      <c r="O18" s="62">
        <f t="shared" si="1"/>
        <v>0</v>
      </c>
      <c r="P18" s="42">
        <f t="shared" si="2"/>
        <v>13</v>
      </c>
      <c r="Q18" s="43">
        <f t="shared" si="3"/>
        <v>11</v>
      </c>
      <c r="R18" s="7"/>
      <c r="S18" s="6"/>
      <c r="T18" s="17"/>
      <c r="U18" s="17"/>
      <c r="V18" s="18"/>
      <c r="W18" s="19">
        <v>11</v>
      </c>
      <c r="X18" s="17"/>
      <c r="Y18" s="20"/>
      <c r="Z18" s="20"/>
      <c r="AA18" s="21"/>
      <c r="AB18" s="8">
        <f t="shared" si="4"/>
        <v>0.99958847736625511</v>
      </c>
      <c r="AC18" s="9">
        <f t="shared" si="5"/>
        <v>0.54166666666666663</v>
      </c>
      <c r="AD18" s="10">
        <f t="shared" si="6"/>
        <v>0.54144375857338811</v>
      </c>
      <c r="AE18" s="39">
        <f t="shared" si="7"/>
        <v>0.41893073913843004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140</v>
      </c>
      <c r="D19" s="55" t="s">
        <v>191</v>
      </c>
      <c r="E19" s="57" t="s">
        <v>192</v>
      </c>
      <c r="F19" s="33" t="s">
        <v>157</v>
      </c>
      <c r="G19" s="36">
        <v>1</v>
      </c>
      <c r="H19" s="38">
        <v>25</v>
      </c>
      <c r="I19" s="34">
        <v>3000</v>
      </c>
      <c r="J19" s="5">
        <v>3140</v>
      </c>
      <c r="K19" s="15">
        <f>L19</f>
        <v>3131</v>
      </c>
      <c r="L19" s="15">
        <f>717+2414</f>
        <v>3131</v>
      </c>
      <c r="M19" s="16">
        <f t="shared" si="0"/>
        <v>3131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0.99713375796178338</v>
      </c>
      <c r="AC19" s="9">
        <f t="shared" si="5"/>
        <v>0.875</v>
      </c>
      <c r="AD19" s="10">
        <f t="shared" si="6"/>
        <v>0.87249203821656041</v>
      </c>
      <c r="AE19" s="39">
        <f t="shared" si="7"/>
        <v>0.41893073913843004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144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46440</v>
      </c>
      <c r="K20" s="15">
        <f>L20+46064+56292+46436</f>
        <v>148792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0.41893073913843004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894300</v>
      </c>
      <c r="J21" s="22">
        <f t="shared" si="9"/>
        <v>112503</v>
      </c>
      <c r="K21" s="23">
        <f t="shared" si="9"/>
        <v>541194</v>
      </c>
      <c r="L21" s="24">
        <f t="shared" si="9"/>
        <v>36455</v>
      </c>
      <c r="M21" s="23">
        <f t="shared" si="9"/>
        <v>36455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151</v>
      </c>
      <c r="Q21" s="46">
        <f t="shared" si="10"/>
        <v>209</v>
      </c>
      <c r="R21" s="26">
        <f t="shared" si="10"/>
        <v>0</v>
      </c>
      <c r="S21" s="27">
        <f t="shared" si="10"/>
        <v>64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145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0.53262923638133641</v>
      </c>
      <c r="AC21" s="4">
        <f>SUM(AC6:AC20)/15</f>
        <v>0.41944444444444445</v>
      </c>
      <c r="AD21" s="4">
        <f>SUM(AD6:AD20)/15</f>
        <v>0.41893073913843004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193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211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125" t="s">
        <v>47</v>
      </c>
      <c r="D50" s="125" t="s">
        <v>48</v>
      </c>
      <c r="E50" s="125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125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169</v>
      </c>
      <c r="B51" s="414"/>
      <c r="C51" s="126" t="s">
        <v>146</v>
      </c>
      <c r="D51" s="127" t="s">
        <v>194</v>
      </c>
      <c r="E51" s="126" t="s">
        <v>195</v>
      </c>
      <c r="F51" s="415" t="s">
        <v>170</v>
      </c>
      <c r="G51" s="415"/>
      <c r="H51" s="415"/>
      <c r="I51" s="415"/>
      <c r="J51" s="415"/>
      <c r="K51" s="415"/>
      <c r="L51" s="415"/>
      <c r="M51" s="416"/>
      <c r="N51" s="128" t="s">
        <v>161</v>
      </c>
      <c r="O51" s="74" t="s">
        <v>142</v>
      </c>
      <c r="P51" s="417"/>
      <c r="Q51" s="418"/>
      <c r="R51" s="419" t="s">
        <v>162</v>
      </c>
      <c r="S51" s="419"/>
      <c r="T51" s="419"/>
      <c r="U51" s="419"/>
      <c r="V51" s="415" t="s">
        <v>134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135</v>
      </c>
      <c r="B52" s="414"/>
      <c r="C52" s="126" t="s">
        <v>139</v>
      </c>
      <c r="D52" s="127" t="s">
        <v>160</v>
      </c>
      <c r="E52" s="126" t="s">
        <v>150</v>
      </c>
      <c r="F52" s="415" t="s">
        <v>196</v>
      </c>
      <c r="G52" s="415"/>
      <c r="H52" s="415"/>
      <c r="I52" s="415"/>
      <c r="J52" s="415"/>
      <c r="K52" s="415"/>
      <c r="L52" s="415"/>
      <c r="M52" s="416"/>
      <c r="N52" s="128" t="s">
        <v>213</v>
      </c>
      <c r="O52" s="74" t="s">
        <v>214</v>
      </c>
      <c r="P52" s="417" t="s">
        <v>215</v>
      </c>
      <c r="Q52" s="418"/>
      <c r="R52" s="419" t="s">
        <v>216</v>
      </c>
      <c r="S52" s="419"/>
      <c r="T52" s="419"/>
      <c r="U52" s="419"/>
      <c r="V52" s="415" t="s">
        <v>175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20" t="s">
        <v>124</v>
      </c>
      <c r="B53" s="419"/>
      <c r="C53" s="136" t="s">
        <v>138</v>
      </c>
      <c r="D53" s="136" t="s">
        <v>212</v>
      </c>
      <c r="E53" s="137" t="s">
        <v>197</v>
      </c>
      <c r="F53" s="415" t="s">
        <v>198</v>
      </c>
      <c r="G53" s="415"/>
      <c r="H53" s="415"/>
      <c r="I53" s="415"/>
      <c r="J53" s="415"/>
      <c r="K53" s="415"/>
      <c r="L53" s="415"/>
      <c r="M53" s="416"/>
      <c r="N53" s="128" t="s">
        <v>176</v>
      </c>
      <c r="O53" s="74" t="s">
        <v>177</v>
      </c>
      <c r="P53" s="419" t="s">
        <v>178</v>
      </c>
      <c r="Q53" s="419"/>
      <c r="R53" s="419" t="s">
        <v>217</v>
      </c>
      <c r="S53" s="419"/>
      <c r="T53" s="419"/>
      <c r="U53" s="419"/>
      <c r="V53" s="415" t="s">
        <v>171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124</v>
      </c>
      <c r="B54" s="414"/>
      <c r="C54" s="137" t="s">
        <v>173</v>
      </c>
      <c r="D54" s="136" t="s">
        <v>141</v>
      </c>
      <c r="E54" s="137" t="s">
        <v>174</v>
      </c>
      <c r="F54" s="415" t="s">
        <v>199</v>
      </c>
      <c r="G54" s="415"/>
      <c r="H54" s="415"/>
      <c r="I54" s="415"/>
      <c r="J54" s="415"/>
      <c r="K54" s="415"/>
      <c r="L54" s="415"/>
      <c r="M54" s="416"/>
      <c r="N54" s="128" t="s">
        <v>218</v>
      </c>
      <c r="O54" s="74" t="s">
        <v>145</v>
      </c>
      <c r="P54" s="417" t="s">
        <v>179</v>
      </c>
      <c r="Q54" s="418"/>
      <c r="R54" s="419" t="s">
        <v>219</v>
      </c>
      <c r="S54" s="419"/>
      <c r="T54" s="419"/>
      <c r="U54" s="419"/>
      <c r="V54" s="415" t="s">
        <v>171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20" t="s">
        <v>200</v>
      </c>
      <c r="B55" s="419"/>
      <c r="C55" s="127" t="s">
        <v>201</v>
      </c>
      <c r="D55" s="127" t="s">
        <v>202</v>
      </c>
      <c r="E55" s="126" t="s">
        <v>203</v>
      </c>
      <c r="F55" s="415" t="s">
        <v>204</v>
      </c>
      <c r="G55" s="415"/>
      <c r="H55" s="415"/>
      <c r="I55" s="415"/>
      <c r="J55" s="415"/>
      <c r="K55" s="415"/>
      <c r="L55" s="415"/>
      <c r="M55" s="416"/>
      <c r="N55" s="128" t="s">
        <v>218</v>
      </c>
      <c r="O55" s="74" t="s">
        <v>138</v>
      </c>
      <c r="P55" s="417" t="s">
        <v>220</v>
      </c>
      <c r="Q55" s="418"/>
      <c r="R55" s="419" t="s">
        <v>221</v>
      </c>
      <c r="S55" s="419"/>
      <c r="T55" s="419"/>
      <c r="U55" s="419"/>
      <c r="V55" s="415" t="s">
        <v>171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140</v>
      </c>
      <c r="B56" s="414"/>
      <c r="C56" s="126" t="s">
        <v>205</v>
      </c>
      <c r="D56" s="127" t="s">
        <v>206</v>
      </c>
      <c r="E56" s="126" t="s">
        <v>207</v>
      </c>
      <c r="F56" s="415" t="s">
        <v>198</v>
      </c>
      <c r="G56" s="415"/>
      <c r="H56" s="415"/>
      <c r="I56" s="415"/>
      <c r="J56" s="415"/>
      <c r="K56" s="415"/>
      <c r="L56" s="415"/>
      <c r="M56" s="416"/>
      <c r="N56" s="128" t="s">
        <v>223</v>
      </c>
      <c r="O56" s="74" t="s">
        <v>224</v>
      </c>
      <c r="P56" s="419" t="s">
        <v>225</v>
      </c>
      <c r="Q56" s="419"/>
      <c r="R56" s="419" t="s">
        <v>222</v>
      </c>
      <c r="S56" s="419"/>
      <c r="T56" s="419"/>
      <c r="U56" s="419"/>
      <c r="V56" s="415" t="s">
        <v>134</v>
      </c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 t="s">
        <v>140</v>
      </c>
      <c r="B57" s="419"/>
      <c r="C57" s="127" t="s">
        <v>208</v>
      </c>
      <c r="D57" s="127" t="s">
        <v>206</v>
      </c>
      <c r="E57" s="126" t="s">
        <v>209</v>
      </c>
      <c r="F57" s="415" t="s">
        <v>210</v>
      </c>
      <c r="G57" s="415"/>
      <c r="H57" s="415"/>
      <c r="I57" s="415"/>
      <c r="J57" s="415"/>
      <c r="K57" s="415"/>
      <c r="L57" s="415"/>
      <c r="M57" s="416"/>
      <c r="N57" s="128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126"/>
      <c r="D58" s="127"/>
      <c r="E58" s="126"/>
      <c r="F58" s="415"/>
      <c r="G58" s="415"/>
      <c r="H58" s="415"/>
      <c r="I58" s="415"/>
      <c r="J58" s="415"/>
      <c r="K58" s="415"/>
      <c r="L58" s="415"/>
      <c r="M58" s="416"/>
      <c r="N58" s="128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127"/>
      <c r="D59" s="127"/>
      <c r="E59" s="127"/>
      <c r="F59" s="415"/>
      <c r="G59" s="415"/>
      <c r="H59" s="415"/>
      <c r="I59" s="415"/>
      <c r="J59" s="415"/>
      <c r="K59" s="415"/>
      <c r="L59" s="415"/>
      <c r="M59" s="416"/>
      <c r="N59" s="128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130"/>
      <c r="D60" s="130"/>
      <c r="E60" s="130"/>
      <c r="F60" s="423"/>
      <c r="G60" s="423"/>
      <c r="H60" s="423"/>
      <c r="I60" s="423"/>
      <c r="J60" s="423"/>
      <c r="K60" s="423"/>
      <c r="L60" s="423"/>
      <c r="M60" s="424"/>
      <c r="N60" s="129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226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131" t="s">
        <v>2</v>
      </c>
      <c r="D62" s="131" t="s">
        <v>38</v>
      </c>
      <c r="E62" s="131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131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200</v>
      </c>
      <c r="D63" s="134"/>
      <c r="E63" s="132" t="s">
        <v>227</v>
      </c>
      <c r="F63" s="434" t="s">
        <v>228</v>
      </c>
      <c r="G63" s="434"/>
      <c r="H63" s="434"/>
      <c r="I63" s="434"/>
      <c r="J63" s="434"/>
      <c r="K63" s="435" t="s">
        <v>229</v>
      </c>
      <c r="L63" s="436"/>
      <c r="M63" s="54" t="s">
        <v>230</v>
      </c>
      <c r="N63" s="434">
        <v>8</v>
      </c>
      <c r="O63" s="434"/>
      <c r="P63" s="437">
        <v>300</v>
      </c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140</v>
      </c>
      <c r="D64" s="134"/>
      <c r="E64" s="132" t="s">
        <v>231</v>
      </c>
      <c r="F64" s="434" t="s">
        <v>232</v>
      </c>
      <c r="G64" s="434"/>
      <c r="H64" s="434"/>
      <c r="I64" s="434"/>
      <c r="J64" s="434"/>
      <c r="K64" s="434" t="s">
        <v>233</v>
      </c>
      <c r="L64" s="434"/>
      <c r="M64" s="54" t="s">
        <v>234</v>
      </c>
      <c r="N64" s="434">
        <v>5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/>
      <c r="D65" s="134"/>
      <c r="E65" s="132"/>
      <c r="F65" s="434"/>
      <c r="G65" s="434"/>
      <c r="H65" s="434"/>
      <c r="I65" s="434"/>
      <c r="J65" s="434"/>
      <c r="K65" s="434"/>
      <c r="L65" s="434"/>
      <c r="M65" s="54"/>
      <c r="N65" s="434"/>
      <c r="O65" s="434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/>
      <c r="D66" s="134"/>
      <c r="E66" s="132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134"/>
      <c r="E67" s="132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134"/>
      <c r="E68" s="132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134"/>
      <c r="E69" s="132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134"/>
      <c r="E70" s="132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235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133" t="s">
        <v>2</v>
      </c>
      <c r="D72" s="133" t="s">
        <v>38</v>
      </c>
      <c r="E72" s="133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135" t="s">
        <v>62</v>
      </c>
      <c r="D73" s="135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134" t="s">
        <v>62</v>
      </c>
      <c r="D74" s="134"/>
      <c r="E74" s="35" t="s">
        <v>123</v>
      </c>
      <c r="F74" s="447" t="s">
        <v>131</v>
      </c>
      <c r="G74" s="447"/>
      <c r="H74" s="447"/>
      <c r="I74" s="447"/>
      <c r="J74" s="447"/>
      <c r="K74" s="448" t="s">
        <v>133</v>
      </c>
      <c r="L74" s="449"/>
      <c r="M74" s="449"/>
      <c r="N74" s="449"/>
      <c r="O74" s="449"/>
      <c r="P74" s="449"/>
      <c r="Q74" s="449"/>
      <c r="R74" s="449"/>
      <c r="S74" s="450"/>
      <c r="T74" s="451">
        <v>42728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134" t="s">
        <v>62</v>
      </c>
      <c r="D75" s="134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134" t="s">
        <v>62</v>
      </c>
      <c r="D76" s="134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134" t="s">
        <v>62</v>
      </c>
      <c r="D77" s="134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134" t="s">
        <v>180</v>
      </c>
      <c r="D78" s="134"/>
      <c r="E78" s="35" t="s">
        <v>231</v>
      </c>
      <c r="F78" s="447" t="s">
        <v>236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134" t="s">
        <v>181</v>
      </c>
      <c r="D79" s="134"/>
      <c r="E79" s="35"/>
      <c r="F79" s="447" t="s">
        <v>182</v>
      </c>
      <c r="G79" s="447"/>
      <c r="H79" s="447"/>
      <c r="I79" s="447"/>
      <c r="J79" s="447"/>
      <c r="K79" s="448" t="s">
        <v>183</v>
      </c>
      <c r="L79" s="449"/>
      <c r="M79" s="449"/>
      <c r="N79" s="449"/>
      <c r="O79" s="449"/>
      <c r="P79" s="449"/>
      <c r="Q79" s="449"/>
      <c r="R79" s="449"/>
      <c r="S79" s="450"/>
      <c r="T79" s="451">
        <v>42759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134"/>
      <c r="D80" s="134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134"/>
      <c r="D81" s="134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237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view="pageBreakPreview" zoomScale="70" zoomScaleNormal="70" zoomScaleSheetLayoutView="70" workbookViewId="0">
      <selection activeCell="T13" sqref="T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238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138" t="s">
        <v>17</v>
      </c>
      <c r="L5" s="138" t="s">
        <v>18</v>
      </c>
      <c r="M5" s="138" t="s">
        <v>19</v>
      </c>
      <c r="N5" s="13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62</v>
      </c>
      <c r="D6" s="55" t="s">
        <v>163</v>
      </c>
      <c r="E6" s="56" t="s">
        <v>164</v>
      </c>
      <c r="F6" s="12" t="s">
        <v>158</v>
      </c>
      <c r="G6" s="36">
        <v>2</v>
      </c>
      <c r="H6" s="38">
        <v>25</v>
      </c>
      <c r="I6" s="7">
        <v>30000</v>
      </c>
      <c r="J6" s="14">
        <v>18460</v>
      </c>
      <c r="K6" s="15">
        <f>L6+9410+11198</f>
        <v>39064</v>
      </c>
      <c r="L6" s="15">
        <f>2956*2+6272*2</f>
        <v>18456</v>
      </c>
      <c r="M6" s="16">
        <f t="shared" ref="M6:M22" si="0">L6-N6</f>
        <v>18456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24</v>
      </c>
      <c r="Q6" s="43">
        <f t="shared" ref="Q6:Q22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0.99978331527627307</v>
      </c>
      <c r="AC6" s="9">
        <f t="shared" ref="AC6:AC22" si="5">IF(P6=0,"0",(P6/24))</f>
        <v>1</v>
      </c>
      <c r="AD6" s="10">
        <f t="shared" ref="AD6:AD22" si="6">AC6*AB6*(1-O6)</f>
        <v>0.99978331527627307</v>
      </c>
      <c r="AE6" s="39">
        <f t="shared" ref="AE6:AE22" si="7">$AD$23</f>
        <v>0.48800351453642815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37" t="s">
        <v>239</v>
      </c>
      <c r="D7" s="55" t="s">
        <v>240</v>
      </c>
      <c r="E7" s="57" t="s">
        <v>241</v>
      </c>
      <c r="F7" s="33" t="s">
        <v>242</v>
      </c>
      <c r="G7" s="36">
        <v>1</v>
      </c>
      <c r="H7" s="38">
        <v>25</v>
      </c>
      <c r="I7" s="7">
        <v>1000</v>
      </c>
      <c r="J7" s="5">
        <v>1030</v>
      </c>
      <c r="K7" s="15">
        <f>L7</f>
        <v>1026</v>
      </c>
      <c r="L7" s="15">
        <v>1026</v>
      </c>
      <c r="M7" s="16">
        <f t="shared" si="0"/>
        <v>1026</v>
      </c>
      <c r="N7" s="16">
        <v>0</v>
      </c>
      <c r="O7" s="62">
        <f t="shared" si="1"/>
        <v>0</v>
      </c>
      <c r="P7" s="42">
        <f t="shared" si="2"/>
        <v>7</v>
      </c>
      <c r="Q7" s="43">
        <f t="shared" si="3"/>
        <v>17</v>
      </c>
      <c r="R7" s="7"/>
      <c r="S7" s="6"/>
      <c r="T7" s="17"/>
      <c r="U7" s="17"/>
      <c r="V7" s="18"/>
      <c r="W7" s="19">
        <v>17</v>
      </c>
      <c r="X7" s="17"/>
      <c r="Y7" s="20"/>
      <c r="Z7" s="20"/>
      <c r="AA7" s="21"/>
      <c r="AB7" s="8">
        <f t="shared" si="4"/>
        <v>0.99611650485436898</v>
      </c>
      <c r="AC7" s="9">
        <f t="shared" si="5"/>
        <v>0.29166666666666669</v>
      </c>
      <c r="AD7" s="10">
        <f t="shared" si="6"/>
        <v>0.29053398058252428</v>
      </c>
      <c r="AE7" s="39">
        <f t="shared" si="7"/>
        <v>0.48800351453642815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0.48800351453642815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123</v>
      </c>
      <c r="E9" s="57" t="s">
        <v>148</v>
      </c>
      <c r="F9" s="12" t="s">
        <v>136</v>
      </c>
      <c r="G9" s="12">
        <v>1</v>
      </c>
      <c r="H9" s="13">
        <v>25</v>
      </c>
      <c r="I9" s="34">
        <v>10000</v>
      </c>
      <c r="J9" s="5">
        <v>5110</v>
      </c>
      <c r="K9" s="15">
        <f>L9+4001+4493+5101</f>
        <v>13595</v>
      </c>
      <c r="L9" s="15">
        <v>0</v>
      </c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0.48800351453642815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243</v>
      </c>
      <c r="D10" s="55" t="s">
        <v>244</v>
      </c>
      <c r="E10" s="57" t="s">
        <v>245</v>
      </c>
      <c r="F10" s="12" t="s">
        <v>246</v>
      </c>
      <c r="G10" s="12">
        <v>1</v>
      </c>
      <c r="H10" s="13">
        <v>25</v>
      </c>
      <c r="I10" s="34">
        <v>1000</v>
      </c>
      <c r="J10" s="5">
        <v>760</v>
      </c>
      <c r="K10" s="15">
        <f>L10</f>
        <v>758</v>
      </c>
      <c r="L10" s="15">
        <v>758</v>
      </c>
      <c r="M10" s="16">
        <f t="shared" si="0"/>
        <v>758</v>
      </c>
      <c r="N10" s="16">
        <v>0</v>
      </c>
      <c r="O10" s="62">
        <f t="shared" si="1"/>
        <v>0</v>
      </c>
      <c r="P10" s="42">
        <f t="shared" si="2"/>
        <v>5</v>
      </c>
      <c r="Q10" s="43">
        <f t="shared" si="3"/>
        <v>19</v>
      </c>
      <c r="R10" s="7"/>
      <c r="S10" s="6"/>
      <c r="T10" s="17"/>
      <c r="U10" s="17"/>
      <c r="V10" s="18"/>
      <c r="W10" s="19">
        <v>19</v>
      </c>
      <c r="X10" s="17"/>
      <c r="Y10" s="20"/>
      <c r="Z10" s="20"/>
      <c r="AA10" s="21"/>
      <c r="AB10" s="8">
        <f t="shared" si="4"/>
        <v>0.99736842105263157</v>
      </c>
      <c r="AC10" s="9">
        <f t="shared" si="5"/>
        <v>0.20833333333333334</v>
      </c>
      <c r="AD10" s="10">
        <f t="shared" si="6"/>
        <v>0.20778508771929824</v>
      </c>
      <c r="AE10" s="39">
        <f t="shared" si="7"/>
        <v>0.48800351453642815</v>
      </c>
      <c r="AF10" s="94">
        <f t="shared" si="8"/>
        <v>5</v>
      </c>
    </row>
    <row r="11" spans="1:32" ht="27" customHeight="1">
      <c r="A11" s="110">
        <v>5</v>
      </c>
      <c r="B11" s="11" t="s">
        <v>59</v>
      </c>
      <c r="C11" s="37" t="s">
        <v>243</v>
      </c>
      <c r="D11" s="55" t="s">
        <v>247</v>
      </c>
      <c r="E11" s="57" t="s">
        <v>248</v>
      </c>
      <c r="F11" s="12" t="s">
        <v>246</v>
      </c>
      <c r="G11" s="12">
        <v>1</v>
      </c>
      <c r="H11" s="13">
        <v>25</v>
      </c>
      <c r="I11" s="34">
        <v>1000</v>
      </c>
      <c r="J11" s="5">
        <v>1190</v>
      </c>
      <c r="K11" s="15">
        <f>L11</f>
        <v>1186</v>
      </c>
      <c r="L11" s="15">
        <f>593*2</f>
        <v>1186</v>
      </c>
      <c r="M11" s="16">
        <f t="shared" ref="M11" si="9">L11-N11</f>
        <v>1186</v>
      </c>
      <c r="N11" s="16">
        <v>0</v>
      </c>
      <c r="O11" s="62">
        <f t="shared" ref="O11" si="10">IF(L11=0,"0",N11/L11)</f>
        <v>0</v>
      </c>
      <c r="P11" s="42">
        <f t="shared" ref="P11" si="11">IF(L11=0,"0",(24-Q11))</f>
        <v>7</v>
      </c>
      <c r="Q11" s="43">
        <f t="shared" ref="Q11" si="12">SUM(R11:AA11)</f>
        <v>17</v>
      </c>
      <c r="R11" s="7"/>
      <c r="S11" s="6"/>
      <c r="T11" s="17"/>
      <c r="U11" s="17"/>
      <c r="V11" s="18"/>
      <c r="W11" s="19">
        <v>17</v>
      </c>
      <c r="X11" s="17"/>
      <c r="Y11" s="20"/>
      <c r="Z11" s="20"/>
      <c r="AA11" s="21"/>
      <c r="AB11" s="8">
        <f t="shared" ref="AB11" si="13">IF(J11=0,"0",(L11/J11))</f>
        <v>0.99663865546218489</v>
      </c>
      <c r="AC11" s="9">
        <f t="shared" ref="AC11" si="14">IF(P11=0,"0",(P11/24))</f>
        <v>0.29166666666666669</v>
      </c>
      <c r="AD11" s="10">
        <f t="shared" ref="AD11" si="15">AC11*AB11*(1-O11)</f>
        <v>0.29068627450980394</v>
      </c>
      <c r="AE11" s="39">
        <f t="shared" si="7"/>
        <v>0.48800351453642815</v>
      </c>
      <c r="AF11" s="94">
        <f t="shared" ref="AF11" si="16">A11</f>
        <v>5</v>
      </c>
    </row>
    <row r="12" spans="1:32" ht="27" customHeight="1">
      <c r="A12" s="110">
        <v>6</v>
      </c>
      <c r="B12" s="11" t="s">
        <v>59</v>
      </c>
      <c r="C12" s="11" t="s">
        <v>62</v>
      </c>
      <c r="D12" s="55" t="s">
        <v>121</v>
      </c>
      <c r="E12" s="56" t="s">
        <v>132</v>
      </c>
      <c r="F12" s="12" t="s">
        <v>130</v>
      </c>
      <c r="G12" s="12">
        <v>1</v>
      </c>
      <c r="H12" s="13">
        <v>25</v>
      </c>
      <c r="I12" s="34">
        <v>20000</v>
      </c>
      <c r="J12" s="14">
        <v>5780</v>
      </c>
      <c r="K12" s="15">
        <f>L12+3397+5902</f>
        <v>15074</v>
      </c>
      <c r="L12" s="15">
        <f>3117+2658</f>
        <v>5775</v>
      </c>
      <c r="M12" s="16">
        <f t="shared" si="0"/>
        <v>5775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0.99913494809688586</v>
      </c>
      <c r="AC12" s="9">
        <f t="shared" si="5"/>
        <v>1</v>
      </c>
      <c r="AD12" s="10">
        <f t="shared" si="6"/>
        <v>0.99913494809688586</v>
      </c>
      <c r="AE12" s="39">
        <f t="shared" si="7"/>
        <v>0.48800351453642815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135</v>
      </c>
      <c r="D13" s="55" t="s">
        <v>58</v>
      </c>
      <c r="E13" s="57" t="s">
        <v>147</v>
      </c>
      <c r="F13" s="12" t="s">
        <v>136</v>
      </c>
      <c r="G13" s="12">
        <v>1</v>
      </c>
      <c r="H13" s="13">
        <v>25</v>
      </c>
      <c r="I13" s="34">
        <v>40000</v>
      </c>
      <c r="J13" s="5">
        <v>5520</v>
      </c>
      <c r="K13" s="15">
        <f>L13+3891+5557+5322+934+3571+4181+5403+5481+4296+3837</f>
        <v>47985</v>
      </c>
      <c r="L13" s="15">
        <f>2875+2637</f>
        <v>5512</v>
      </c>
      <c r="M13" s="16">
        <f t="shared" si="0"/>
        <v>5512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0.99855072463768113</v>
      </c>
      <c r="AC13" s="9">
        <f t="shared" si="5"/>
        <v>1</v>
      </c>
      <c r="AD13" s="10">
        <f t="shared" si="6"/>
        <v>0.99855072463768113</v>
      </c>
      <c r="AE13" s="39">
        <f t="shared" si="7"/>
        <v>0.48800351453642815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62</v>
      </c>
      <c r="D14" s="55" t="s">
        <v>212</v>
      </c>
      <c r="E14" s="57" t="s">
        <v>186</v>
      </c>
      <c r="F14" s="12">
        <v>7301</v>
      </c>
      <c r="G14" s="12" t="s">
        <v>187</v>
      </c>
      <c r="H14" s="13">
        <v>25</v>
      </c>
      <c r="I14" s="7">
        <v>1000</v>
      </c>
      <c r="J14" s="14">
        <v>1350</v>
      </c>
      <c r="K14" s="15">
        <f>L14+1346</f>
        <v>1346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0.48800351453642815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249</v>
      </c>
      <c r="F15" s="33" t="s">
        <v>137</v>
      </c>
      <c r="G15" s="36">
        <v>1</v>
      </c>
      <c r="H15" s="38">
        <v>50</v>
      </c>
      <c r="I15" s="7">
        <v>100</v>
      </c>
      <c r="J15" s="5">
        <v>430</v>
      </c>
      <c r="K15" s="15">
        <f>L15</f>
        <v>423</v>
      </c>
      <c r="L15" s="15">
        <v>423</v>
      </c>
      <c r="M15" s="16">
        <f t="shared" si="0"/>
        <v>423</v>
      </c>
      <c r="N15" s="16">
        <v>0</v>
      </c>
      <c r="O15" s="62">
        <f t="shared" si="1"/>
        <v>0</v>
      </c>
      <c r="P15" s="42">
        <f t="shared" si="2"/>
        <v>8</v>
      </c>
      <c r="Q15" s="43">
        <f t="shared" si="3"/>
        <v>16</v>
      </c>
      <c r="R15" s="7"/>
      <c r="S15" s="6"/>
      <c r="T15" s="17"/>
      <c r="U15" s="17"/>
      <c r="V15" s="18"/>
      <c r="W15" s="19">
        <v>16</v>
      </c>
      <c r="X15" s="17"/>
      <c r="Y15" s="20"/>
      <c r="Z15" s="20"/>
      <c r="AA15" s="21"/>
      <c r="AB15" s="8">
        <f t="shared" si="4"/>
        <v>0.98372093023255813</v>
      </c>
      <c r="AC15" s="9">
        <f t="shared" si="5"/>
        <v>0.33333333333333331</v>
      </c>
      <c r="AD15" s="10">
        <f t="shared" si="6"/>
        <v>0.32790697674418601</v>
      </c>
      <c r="AE15" s="39">
        <f t="shared" si="7"/>
        <v>0.48800351453642815</v>
      </c>
      <c r="AF15" s="94">
        <f t="shared" si="8"/>
        <v>9</v>
      </c>
    </row>
    <row r="16" spans="1:32" ht="27" customHeight="1">
      <c r="A16" s="109">
        <v>9</v>
      </c>
      <c r="B16" s="11" t="s">
        <v>59</v>
      </c>
      <c r="C16" s="37" t="s">
        <v>122</v>
      </c>
      <c r="D16" s="55" t="s">
        <v>58</v>
      </c>
      <c r="E16" s="57" t="s">
        <v>250</v>
      </c>
      <c r="F16" s="33" t="s">
        <v>137</v>
      </c>
      <c r="G16" s="36">
        <v>1</v>
      </c>
      <c r="H16" s="38">
        <v>50</v>
      </c>
      <c r="I16" s="7">
        <v>100</v>
      </c>
      <c r="J16" s="5">
        <v>552</v>
      </c>
      <c r="K16" s="15">
        <f>L16</f>
        <v>552</v>
      </c>
      <c r="L16" s="15">
        <v>552</v>
      </c>
      <c r="M16" s="16">
        <f t="shared" ref="M16" si="17">L16-N16</f>
        <v>552</v>
      </c>
      <c r="N16" s="16">
        <v>0</v>
      </c>
      <c r="O16" s="62">
        <f t="shared" ref="O16" si="18">IF(L16=0,"0",N16/L16)</f>
        <v>0</v>
      </c>
      <c r="P16" s="42">
        <f t="shared" ref="P16" si="19">IF(L16=0,"0",(24-Q16))</f>
        <v>9</v>
      </c>
      <c r="Q16" s="43">
        <f t="shared" ref="Q16" si="20">SUM(R16:AA16)</f>
        <v>15</v>
      </c>
      <c r="R16" s="7"/>
      <c r="S16" s="6"/>
      <c r="T16" s="17"/>
      <c r="U16" s="17"/>
      <c r="V16" s="18"/>
      <c r="W16" s="19">
        <v>15</v>
      </c>
      <c r="X16" s="17"/>
      <c r="Y16" s="20"/>
      <c r="Z16" s="20"/>
      <c r="AA16" s="21"/>
      <c r="AB16" s="8">
        <f t="shared" ref="AB16" si="21">IF(J16=0,"0",(L16/J16))</f>
        <v>1</v>
      </c>
      <c r="AC16" s="9">
        <f t="shared" ref="AC16" si="22">IF(P16=0,"0",(P16/24))</f>
        <v>0.375</v>
      </c>
      <c r="AD16" s="10">
        <f t="shared" ref="AD16" si="23">AC16*AB16*(1-O16)</f>
        <v>0.375</v>
      </c>
      <c r="AE16" s="39">
        <f t="shared" si="7"/>
        <v>0.48800351453642815</v>
      </c>
      <c r="AF16" s="94">
        <f t="shared" ref="AF16" si="24">A16</f>
        <v>9</v>
      </c>
    </row>
    <row r="17" spans="1:32" ht="27" customHeight="1">
      <c r="A17" s="109">
        <v>10</v>
      </c>
      <c r="B17" s="11" t="s">
        <v>59</v>
      </c>
      <c r="C17" s="37" t="s">
        <v>62</v>
      </c>
      <c r="D17" s="55" t="s">
        <v>160</v>
      </c>
      <c r="E17" s="57" t="s">
        <v>156</v>
      </c>
      <c r="F17" s="12" t="s">
        <v>125</v>
      </c>
      <c r="G17" s="12">
        <v>1</v>
      </c>
      <c r="H17" s="13">
        <v>25</v>
      </c>
      <c r="I17" s="34">
        <v>9000</v>
      </c>
      <c r="J17" s="5">
        <v>12430</v>
      </c>
      <c r="K17" s="15">
        <f>L17+12428</f>
        <v>12428</v>
      </c>
      <c r="L17" s="15">
        <v>0</v>
      </c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0.48800351453642815</v>
      </c>
      <c r="AF17" s="94">
        <f t="shared" si="8"/>
        <v>10</v>
      </c>
    </row>
    <row r="18" spans="1:32" ht="27" customHeight="1">
      <c r="A18" s="109">
        <v>11</v>
      </c>
      <c r="B18" s="11" t="s">
        <v>59</v>
      </c>
      <c r="C18" s="11" t="s">
        <v>62</v>
      </c>
      <c r="D18" s="55" t="s">
        <v>167</v>
      </c>
      <c r="E18" s="56" t="s">
        <v>168</v>
      </c>
      <c r="F18" s="12">
        <v>7301</v>
      </c>
      <c r="G18" s="36">
        <v>1</v>
      </c>
      <c r="H18" s="38">
        <v>25</v>
      </c>
      <c r="I18" s="7">
        <v>25000</v>
      </c>
      <c r="J18" s="14">
        <v>5490</v>
      </c>
      <c r="K18" s="15">
        <f>L18+2789+3754</f>
        <v>12031</v>
      </c>
      <c r="L18" s="15">
        <f>2863+2625</f>
        <v>5488</v>
      </c>
      <c r="M18" s="16">
        <f t="shared" si="0"/>
        <v>5488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0.99963570127504553</v>
      </c>
      <c r="AC18" s="9">
        <f t="shared" si="5"/>
        <v>1</v>
      </c>
      <c r="AD18" s="10">
        <f t="shared" si="6"/>
        <v>0.99963570127504553</v>
      </c>
      <c r="AE18" s="39">
        <f t="shared" si="7"/>
        <v>0.48800351453642815</v>
      </c>
      <c r="AF18" s="94">
        <f t="shared" si="8"/>
        <v>11</v>
      </c>
    </row>
    <row r="19" spans="1:32" ht="27" customHeight="1">
      <c r="A19" s="109">
        <v>12</v>
      </c>
      <c r="B19" s="11" t="s">
        <v>59</v>
      </c>
      <c r="C19" s="37" t="s">
        <v>62</v>
      </c>
      <c r="D19" s="55" t="s">
        <v>189</v>
      </c>
      <c r="E19" s="56" t="s">
        <v>190</v>
      </c>
      <c r="F19" s="12">
        <v>8301</v>
      </c>
      <c r="G19" s="12">
        <v>1</v>
      </c>
      <c r="H19" s="13">
        <v>25</v>
      </c>
      <c r="I19" s="34">
        <v>15000</v>
      </c>
      <c r="J19" s="5">
        <v>6390</v>
      </c>
      <c r="K19" s="15">
        <f>L19+4858</f>
        <v>11243</v>
      </c>
      <c r="L19" s="15">
        <f>3323+3062</f>
        <v>6385</v>
      </c>
      <c r="M19" s="16">
        <f t="shared" si="0"/>
        <v>6385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0.99921752738654146</v>
      </c>
      <c r="AC19" s="9">
        <f t="shared" si="5"/>
        <v>1</v>
      </c>
      <c r="AD19" s="10">
        <f t="shared" si="6"/>
        <v>0.99921752738654146</v>
      </c>
      <c r="AE19" s="39">
        <f t="shared" si="7"/>
        <v>0.48800351453642815</v>
      </c>
      <c r="AF19" s="94">
        <f t="shared" si="8"/>
        <v>12</v>
      </c>
    </row>
    <row r="20" spans="1:32" ht="27" customHeight="1">
      <c r="A20" s="110">
        <v>13</v>
      </c>
      <c r="B20" s="11" t="s">
        <v>59</v>
      </c>
      <c r="C20" s="37" t="s">
        <v>135</v>
      </c>
      <c r="D20" s="55" t="s">
        <v>121</v>
      </c>
      <c r="E20" s="56" t="s">
        <v>149</v>
      </c>
      <c r="F20" s="33" t="s">
        <v>129</v>
      </c>
      <c r="G20" s="36">
        <v>1</v>
      </c>
      <c r="H20" s="38">
        <v>25</v>
      </c>
      <c r="I20" s="7">
        <v>40000</v>
      </c>
      <c r="J20" s="5">
        <v>3850</v>
      </c>
      <c r="K20" s="15">
        <f>L20+3070+4970+3827+5005+3931+4263+3555+3591+3911+2429</f>
        <v>42395</v>
      </c>
      <c r="L20" s="15">
        <f>2205+1638</f>
        <v>3843</v>
      </c>
      <c r="M20" s="16">
        <f t="shared" si="0"/>
        <v>3843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/>
      <c r="T20" s="17"/>
      <c r="U20" s="17"/>
      <c r="V20" s="18"/>
      <c r="W20" s="19">
        <v>4</v>
      </c>
      <c r="X20" s="17"/>
      <c r="Y20" s="20"/>
      <c r="Z20" s="20"/>
      <c r="AA20" s="21"/>
      <c r="AB20" s="8">
        <f t="shared" si="4"/>
        <v>0.99818181818181817</v>
      </c>
      <c r="AC20" s="9">
        <f t="shared" si="5"/>
        <v>0.83333333333333337</v>
      </c>
      <c r="AD20" s="10">
        <f t="shared" si="6"/>
        <v>0.83181818181818179</v>
      </c>
      <c r="AE20" s="39">
        <f t="shared" si="7"/>
        <v>0.48800351453642815</v>
      </c>
      <c r="AF20" s="94">
        <f t="shared" si="8"/>
        <v>13</v>
      </c>
    </row>
    <row r="21" spans="1:32" ht="27" customHeight="1">
      <c r="A21" s="110">
        <v>14</v>
      </c>
      <c r="B21" s="11" t="s">
        <v>59</v>
      </c>
      <c r="C21" s="37" t="s">
        <v>140</v>
      </c>
      <c r="D21" s="55" t="s">
        <v>191</v>
      </c>
      <c r="E21" s="57" t="s">
        <v>192</v>
      </c>
      <c r="F21" s="33" t="s">
        <v>157</v>
      </c>
      <c r="G21" s="36">
        <v>1</v>
      </c>
      <c r="H21" s="38">
        <v>25</v>
      </c>
      <c r="I21" s="34">
        <v>3000</v>
      </c>
      <c r="J21" s="5">
        <v>3140</v>
      </c>
      <c r="K21" s="15">
        <f>L21+3131</f>
        <v>3131</v>
      </c>
      <c r="L21" s="15">
        <v>0</v>
      </c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0.48800351453642815</v>
      </c>
      <c r="AF21" s="94">
        <f t="shared" si="8"/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 t="s">
        <v>144</v>
      </c>
      <c r="E22" s="56"/>
      <c r="F22" s="12" t="s">
        <v>120</v>
      </c>
      <c r="G22" s="12">
        <v>4</v>
      </c>
      <c r="H22" s="38">
        <v>20</v>
      </c>
      <c r="I22" s="7">
        <v>200000</v>
      </c>
      <c r="J22" s="14">
        <v>46440</v>
      </c>
      <c r="K22" s="15">
        <f>L22+46064+56292+46436</f>
        <v>148792</v>
      </c>
      <c r="L22" s="15">
        <v>0</v>
      </c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0.48800351453642815</v>
      </c>
      <c r="AF22" s="94">
        <f t="shared" si="8"/>
        <v>15</v>
      </c>
    </row>
    <row r="23" spans="1:32" ht="31.5" customHeight="1" thickBot="1">
      <c r="A23" s="386" t="s">
        <v>34</v>
      </c>
      <c r="B23" s="387"/>
      <c r="C23" s="387"/>
      <c r="D23" s="387"/>
      <c r="E23" s="387"/>
      <c r="F23" s="387"/>
      <c r="G23" s="387"/>
      <c r="H23" s="388"/>
      <c r="I23" s="25">
        <f t="shared" ref="I23:N23" si="25">SUM(I6:I22)</f>
        <v>896200</v>
      </c>
      <c r="J23" s="22">
        <f t="shared" si="25"/>
        <v>128532</v>
      </c>
      <c r="K23" s="23">
        <f t="shared" si="25"/>
        <v>589237</v>
      </c>
      <c r="L23" s="24">
        <f t="shared" si="25"/>
        <v>49404</v>
      </c>
      <c r="M23" s="23">
        <f t="shared" si="25"/>
        <v>49404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176</v>
      </c>
      <c r="Q23" s="46">
        <f t="shared" si="26"/>
        <v>232</v>
      </c>
      <c r="R23" s="26">
        <f t="shared" si="26"/>
        <v>0</v>
      </c>
      <c r="S23" s="27">
        <f t="shared" si="26"/>
        <v>24</v>
      </c>
      <c r="T23" s="27">
        <f t="shared" si="26"/>
        <v>0</v>
      </c>
      <c r="U23" s="27">
        <f t="shared" si="26"/>
        <v>0</v>
      </c>
      <c r="V23" s="28">
        <f t="shared" si="26"/>
        <v>0</v>
      </c>
      <c r="W23" s="29">
        <f t="shared" si="26"/>
        <v>208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0.73122323643039921</v>
      </c>
      <c r="AC23" s="4">
        <f>SUM(AC6:AC22)/15</f>
        <v>0.48888888888888887</v>
      </c>
      <c r="AD23" s="4">
        <f>SUM(AD6:AD22)/15</f>
        <v>0.48800351453642815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89" t="s">
        <v>46</v>
      </c>
      <c r="B50" s="389"/>
      <c r="C50" s="389"/>
      <c r="D50" s="389"/>
      <c r="E50" s="389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90" t="s">
        <v>251</v>
      </c>
      <c r="B51" s="391"/>
      <c r="C51" s="391"/>
      <c r="D51" s="391"/>
      <c r="E51" s="391"/>
      <c r="F51" s="391"/>
      <c r="G51" s="391"/>
      <c r="H51" s="391"/>
      <c r="I51" s="391"/>
      <c r="J51" s="391"/>
      <c r="K51" s="391"/>
      <c r="L51" s="391"/>
      <c r="M51" s="392"/>
      <c r="N51" s="393" t="s">
        <v>265</v>
      </c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394"/>
      <c r="AA51" s="394"/>
      <c r="AB51" s="394"/>
      <c r="AC51" s="394"/>
      <c r="AD51" s="395"/>
    </row>
    <row r="52" spans="1:32" ht="27" customHeight="1">
      <c r="A52" s="396" t="s">
        <v>2</v>
      </c>
      <c r="B52" s="397"/>
      <c r="C52" s="139" t="s">
        <v>47</v>
      </c>
      <c r="D52" s="139" t="s">
        <v>48</v>
      </c>
      <c r="E52" s="139" t="s">
        <v>113</v>
      </c>
      <c r="F52" s="397" t="s">
        <v>112</v>
      </c>
      <c r="G52" s="397"/>
      <c r="H52" s="397"/>
      <c r="I52" s="397"/>
      <c r="J52" s="397"/>
      <c r="K52" s="397"/>
      <c r="L52" s="397"/>
      <c r="M52" s="398"/>
      <c r="N52" s="73" t="s">
        <v>117</v>
      </c>
      <c r="O52" s="139" t="s">
        <v>47</v>
      </c>
      <c r="P52" s="399" t="s">
        <v>48</v>
      </c>
      <c r="Q52" s="400"/>
      <c r="R52" s="399" t="s">
        <v>39</v>
      </c>
      <c r="S52" s="401"/>
      <c r="T52" s="401"/>
      <c r="U52" s="400"/>
      <c r="V52" s="399" t="s">
        <v>49</v>
      </c>
      <c r="W52" s="401"/>
      <c r="X52" s="401"/>
      <c r="Y52" s="401"/>
      <c r="Z52" s="401"/>
      <c r="AA52" s="401"/>
      <c r="AB52" s="401"/>
      <c r="AC52" s="401"/>
      <c r="AD52" s="402"/>
    </row>
    <row r="53" spans="1:32" ht="27" customHeight="1">
      <c r="A53" s="413" t="s">
        <v>135</v>
      </c>
      <c r="B53" s="414"/>
      <c r="C53" s="140" t="s">
        <v>139</v>
      </c>
      <c r="D53" s="141" t="s">
        <v>160</v>
      </c>
      <c r="E53" s="140" t="s">
        <v>150</v>
      </c>
      <c r="F53" s="415" t="s">
        <v>252</v>
      </c>
      <c r="G53" s="415"/>
      <c r="H53" s="415"/>
      <c r="I53" s="415"/>
      <c r="J53" s="415"/>
      <c r="K53" s="415"/>
      <c r="L53" s="415"/>
      <c r="M53" s="416"/>
      <c r="N53" s="142" t="s">
        <v>140</v>
      </c>
      <c r="O53" s="74" t="s">
        <v>266</v>
      </c>
      <c r="P53" s="417" t="s">
        <v>267</v>
      </c>
      <c r="Q53" s="418"/>
      <c r="R53" s="419" t="s">
        <v>268</v>
      </c>
      <c r="S53" s="419"/>
      <c r="T53" s="419"/>
      <c r="U53" s="419"/>
      <c r="V53" s="415" t="s">
        <v>269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253</v>
      </c>
      <c r="B54" s="414"/>
      <c r="C54" s="140" t="s">
        <v>254</v>
      </c>
      <c r="D54" s="141" t="s">
        <v>255</v>
      </c>
      <c r="E54" s="140" t="s">
        <v>250</v>
      </c>
      <c r="F54" s="415" t="s">
        <v>257</v>
      </c>
      <c r="G54" s="415"/>
      <c r="H54" s="415"/>
      <c r="I54" s="415"/>
      <c r="J54" s="415"/>
      <c r="K54" s="415"/>
      <c r="L54" s="415"/>
      <c r="M54" s="416"/>
      <c r="N54" s="142" t="s">
        <v>140</v>
      </c>
      <c r="O54" s="74" t="s">
        <v>270</v>
      </c>
      <c r="P54" s="417" t="s">
        <v>263</v>
      </c>
      <c r="Q54" s="418"/>
      <c r="R54" s="419" t="s">
        <v>271</v>
      </c>
      <c r="S54" s="419"/>
      <c r="T54" s="419"/>
      <c r="U54" s="419"/>
      <c r="V54" s="415" t="s">
        <v>175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20" t="s">
        <v>256</v>
      </c>
      <c r="B55" s="419"/>
      <c r="C55" s="141" t="s">
        <v>177</v>
      </c>
      <c r="D55" s="141" t="s">
        <v>206</v>
      </c>
      <c r="E55" s="140" t="s">
        <v>249</v>
      </c>
      <c r="F55" s="415" t="s">
        <v>175</v>
      </c>
      <c r="G55" s="415"/>
      <c r="H55" s="415"/>
      <c r="I55" s="415"/>
      <c r="J55" s="415"/>
      <c r="K55" s="415"/>
      <c r="L55" s="415"/>
      <c r="M55" s="416"/>
      <c r="N55" s="142" t="s">
        <v>140</v>
      </c>
      <c r="O55" s="74" t="s">
        <v>272</v>
      </c>
      <c r="P55" s="419" t="s">
        <v>273</v>
      </c>
      <c r="Q55" s="419"/>
      <c r="R55" s="419" t="s">
        <v>274</v>
      </c>
      <c r="S55" s="419"/>
      <c r="T55" s="419"/>
      <c r="U55" s="419"/>
      <c r="V55" s="415" t="s">
        <v>171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258</v>
      </c>
      <c r="B56" s="414"/>
      <c r="C56" s="140" t="s">
        <v>259</v>
      </c>
      <c r="D56" s="141" t="s">
        <v>260</v>
      </c>
      <c r="E56" s="140" t="s">
        <v>261</v>
      </c>
      <c r="F56" s="415" t="s">
        <v>175</v>
      </c>
      <c r="G56" s="415"/>
      <c r="H56" s="415"/>
      <c r="I56" s="415"/>
      <c r="J56" s="415"/>
      <c r="K56" s="415"/>
      <c r="L56" s="415"/>
      <c r="M56" s="416"/>
      <c r="N56" s="142"/>
      <c r="O56" s="74"/>
      <c r="P56" s="417"/>
      <c r="Q56" s="418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13" t="s">
        <v>258</v>
      </c>
      <c r="B57" s="414"/>
      <c r="C57" s="140" t="s">
        <v>262</v>
      </c>
      <c r="D57" s="141" t="s">
        <v>263</v>
      </c>
      <c r="E57" s="140" t="s">
        <v>264</v>
      </c>
      <c r="F57" s="415" t="s">
        <v>175</v>
      </c>
      <c r="G57" s="415"/>
      <c r="H57" s="415"/>
      <c r="I57" s="415"/>
      <c r="J57" s="415"/>
      <c r="K57" s="415"/>
      <c r="L57" s="415"/>
      <c r="M57" s="416"/>
      <c r="N57" s="142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 t="s">
        <v>258</v>
      </c>
      <c r="B58" s="414"/>
      <c r="C58" s="140" t="s">
        <v>262</v>
      </c>
      <c r="D58" s="141" t="s">
        <v>247</v>
      </c>
      <c r="E58" s="140" t="s">
        <v>248</v>
      </c>
      <c r="F58" s="415" t="s">
        <v>175</v>
      </c>
      <c r="G58" s="415"/>
      <c r="H58" s="415"/>
      <c r="I58" s="415"/>
      <c r="J58" s="415"/>
      <c r="K58" s="415"/>
      <c r="L58" s="415"/>
      <c r="M58" s="416"/>
      <c r="N58" s="142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141"/>
      <c r="D59" s="141"/>
      <c r="E59" s="140"/>
      <c r="F59" s="415"/>
      <c r="G59" s="415"/>
      <c r="H59" s="415"/>
      <c r="I59" s="415"/>
      <c r="J59" s="415"/>
      <c r="K59" s="415"/>
      <c r="L59" s="415"/>
      <c r="M59" s="416"/>
      <c r="N59" s="142"/>
      <c r="O59" s="74"/>
      <c r="P59" s="417"/>
      <c r="Q59" s="418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13"/>
      <c r="B60" s="414"/>
      <c r="C60" s="140"/>
      <c r="D60" s="141"/>
      <c r="E60" s="140"/>
      <c r="F60" s="415"/>
      <c r="G60" s="415"/>
      <c r="H60" s="415"/>
      <c r="I60" s="415"/>
      <c r="J60" s="415"/>
      <c r="K60" s="415"/>
      <c r="L60" s="415"/>
      <c r="M60" s="416"/>
      <c r="N60" s="142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</row>
    <row r="61" spans="1:32" ht="27" customHeight="1">
      <c r="A61" s="420"/>
      <c r="B61" s="419"/>
      <c r="C61" s="141"/>
      <c r="D61" s="141"/>
      <c r="E61" s="141"/>
      <c r="F61" s="415"/>
      <c r="G61" s="415"/>
      <c r="H61" s="415"/>
      <c r="I61" s="415"/>
      <c r="J61" s="415"/>
      <c r="K61" s="415"/>
      <c r="L61" s="415"/>
      <c r="M61" s="416"/>
      <c r="N61" s="142"/>
      <c r="O61" s="74"/>
      <c r="P61" s="419"/>
      <c r="Q61" s="419"/>
      <c r="R61" s="419"/>
      <c r="S61" s="419"/>
      <c r="T61" s="419"/>
      <c r="U61" s="419"/>
      <c r="V61" s="415"/>
      <c r="W61" s="415"/>
      <c r="X61" s="415"/>
      <c r="Y61" s="415"/>
      <c r="Z61" s="415"/>
      <c r="AA61" s="415"/>
      <c r="AB61" s="415"/>
      <c r="AC61" s="415"/>
      <c r="AD61" s="416"/>
      <c r="AF61" s="94">
        <f>8*3000</f>
        <v>24000</v>
      </c>
    </row>
    <row r="62" spans="1:32" ht="27" customHeight="1" thickBot="1">
      <c r="A62" s="421"/>
      <c r="B62" s="422"/>
      <c r="C62" s="144"/>
      <c r="D62" s="144"/>
      <c r="E62" s="144"/>
      <c r="F62" s="423"/>
      <c r="G62" s="423"/>
      <c r="H62" s="423"/>
      <c r="I62" s="423"/>
      <c r="J62" s="423"/>
      <c r="K62" s="423"/>
      <c r="L62" s="423"/>
      <c r="M62" s="424"/>
      <c r="N62" s="143"/>
      <c r="O62" s="121"/>
      <c r="P62" s="422"/>
      <c r="Q62" s="422"/>
      <c r="R62" s="422"/>
      <c r="S62" s="422"/>
      <c r="T62" s="422"/>
      <c r="U62" s="422"/>
      <c r="V62" s="423"/>
      <c r="W62" s="423"/>
      <c r="X62" s="423"/>
      <c r="Y62" s="423"/>
      <c r="Z62" s="423"/>
      <c r="AA62" s="423"/>
      <c r="AB62" s="423"/>
      <c r="AC62" s="423"/>
      <c r="AD62" s="424"/>
      <c r="AF62" s="94">
        <f>16*3000</f>
        <v>48000</v>
      </c>
    </row>
    <row r="63" spans="1:32" ht="27.75" thickBot="1">
      <c r="A63" s="425" t="s">
        <v>275</v>
      </c>
      <c r="B63" s="425"/>
      <c r="C63" s="425"/>
      <c r="D63" s="425"/>
      <c r="E63" s="425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26" t="s">
        <v>118</v>
      </c>
      <c r="B64" s="427"/>
      <c r="C64" s="145" t="s">
        <v>2</v>
      </c>
      <c r="D64" s="145" t="s">
        <v>38</v>
      </c>
      <c r="E64" s="145" t="s">
        <v>3</v>
      </c>
      <c r="F64" s="427" t="s">
        <v>115</v>
      </c>
      <c r="G64" s="427"/>
      <c r="H64" s="427"/>
      <c r="I64" s="427"/>
      <c r="J64" s="427"/>
      <c r="K64" s="427" t="s">
        <v>40</v>
      </c>
      <c r="L64" s="427"/>
      <c r="M64" s="145" t="s">
        <v>41</v>
      </c>
      <c r="N64" s="427" t="s">
        <v>42</v>
      </c>
      <c r="O64" s="427"/>
      <c r="P64" s="428" t="s">
        <v>43</v>
      </c>
      <c r="Q64" s="429"/>
      <c r="R64" s="428" t="s">
        <v>44</v>
      </c>
      <c r="S64" s="430"/>
      <c r="T64" s="430"/>
      <c r="U64" s="430"/>
      <c r="V64" s="430"/>
      <c r="W64" s="430"/>
      <c r="X64" s="430"/>
      <c r="Y64" s="430"/>
      <c r="Z64" s="430"/>
      <c r="AA64" s="429"/>
      <c r="AB64" s="427" t="s">
        <v>45</v>
      </c>
      <c r="AC64" s="427"/>
      <c r="AD64" s="431"/>
      <c r="AF64" s="94">
        <f>SUM(AF61:AF63)</f>
        <v>96000</v>
      </c>
    </row>
    <row r="65" spans="1:32" ht="26.25" customHeight="1">
      <c r="A65" s="432">
        <v>1</v>
      </c>
      <c r="B65" s="433"/>
      <c r="C65" s="123" t="s">
        <v>200</v>
      </c>
      <c r="D65" s="148"/>
      <c r="E65" s="146" t="s">
        <v>276</v>
      </c>
      <c r="F65" s="434" t="s">
        <v>277</v>
      </c>
      <c r="G65" s="434"/>
      <c r="H65" s="434"/>
      <c r="I65" s="434"/>
      <c r="J65" s="434"/>
      <c r="K65" s="435" t="s">
        <v>278</v>
      </c>
      <c r="L65" s="436"/>
      <c r="M65" s="54" t="s">
        <v>230</v>
      </c>
      <c r="N65" s="434">
        <v>14</v>
      </c>
      <c r="O65" s="434"/>
      <c r="P65" s="437">
        <v>100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2</v>
      </c>
      <c r="B66" s="433"/>
      <c r="C66" s="123" t="s">
        <v>140</v>
      </c>
      <c r="D66" s="148"/>
      <c r="E66" s="146" t="s">
        <v>279</v>
      </c>
      <c r="F66" s="434" t="s">
        <v>280</v>
      </c>
      <c r="G66" s="434"/>
      <c r="H66" s="434"/>
      <c r="I66" s="434"/>
      <c r="J66" s="434"/>
      <c r="K66" s="434" t="s">
        <v>281</v>
      </c>
      <c r="L66" s="434"/>
      <c r="M66" s="54" t="s">
        <v>282</v>
      </c>
      <c r="N66" s="434">
        <v>8</v>
      </c>
      <c r="O66" s="434"/>
      <c r="P66" s="437">
        <v>50</v>
      </c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</row>
    <row r="67" spans="1:32" ht="26.25" customHeight="1">
      <c r="A67" s="432">
        <v>3</v>
      </c>
      <c r="B67" s="433"/>
      <c r="C67" s="123"/>
      <c r="D67" s="148"/>
      <c r="E67" s="146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4</v>
      </c>
      <c r="B68" s="433"/>
      <c r="C68" s="123"/>
      <c r="D68" s="148"/>
      <c r="E68" s="146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5</v>
      </c>
      <c r="B69" s="433"/>
      <c r="C69" s="123"/>
      <c r="D69" s="148"/>
      <c r="E69" s="146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6</v>
      </c>
      <c r="B70" s="433"/>
      <c r="C70" s="123"/>
      <c r="D70" s="148"/>
      <c r="E70" s="146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7</v>
      </c>
      <c r="B71" s="433"/>
      <c r="C71" s="123"/>
      <c r="D71" s="148"/>
      <c r="E71" s="146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>
      <c r="A72" s="432">
        <v>8</v>
      </c>
      <c r="B72" s="433"/>
      <c r="C72" s="123"/>
      <c r="D72" s="148"/>
      <c r="E72" s="146"/>
      <c r="F72" s="434"/>
      <c r="G72" s="434"/>
      <c r="H72" s="434"/>
      <c r="I72" s="434"/>
      <c r="J72" s="434"/>
      <c r="K72" s="434"/>
      <c r="L72" s="434"/>
      <c r="M72" s="54"/>
      <c r="N72" s="434"/>
      <c r="O72" s="434"/>
      <c r="P72" s="437"/>
      <c r="Q72" s="437"/>
      <c r="R72" s="415"/>
      <c r="S72" s="415"/>
      <c r="T72" s="415"/>
      <c r="U72" s="415"/>
      <c r="V72" s="415"/>
      <c r="W72" s="415"/>
      <c r="X72" s="415"/>
      <c r="Y72" s="415"/>
      <c r="Z72" s="415"/>
      <c r="AA72" s="415"/>
      <c r="AB72" s="434"/>
      <c r="AC72" s="434"/>
      <c r="AD72" s="438"/>
      <c r="AF72" s="53"/>
    </row>
    <row r="73" spans="1:32" ht="26.25" customHeight="1" thickBot="1">
      <c r="A73" s="439" t="s">
        <v>283</v>
      </c>
      <c r="B73" s="439"/>
      <c r="C73" s="439"/>
      <c r="D73" s="439"/>
      <c r="E73" s="439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40" t="s">
        <v>118</v>
      </c>
      <c r="B74" s="441"/>
      <c r="C74" s="147" t="s">
        <v>2</v>
      </c>
      <c r="D74" s="147" t="s">
        <v>38</v>
      </c>
      <c r="E74" s="147" t="s">
        <v>3</v>
      </c>
      <c r="F74" s="441" t="s">
        <v>39</v>
      </c>
      <c r="G74" s="441"/>
      <c r="H74" s="441"/>
      <c r="I74" s="441"/>
      <c r="J74" s="441"/>
      <c r="K74" s="442" t="s">
        <v>60</v>
      </c>
      <c r="L74" s="443"/>
      <c r="M74" s="443"/>
      <c r="N74" s="443"/>
      <c r="O74" s="443"/>
      <c r="P74" s="443"/>
      <c r="Q74" s="443"/>
      <c r="R74" s="443"/>
      <c r="S74" s="444"/>
      <c r="T74" s="441" t="s">
        <v>50</v>
      </c>
      <c r="U74" s="441"/>
      <c r="V74" s="442" t="s">
        <v>51</v>
      </c>
      <c r="W74" s="444"/>
      <c r="X74" s="443" t="s">
        <v>52</v>
      </c>
      <c r="Y74" s="443"/>
      <c r="Z74" s="443"/>
      <c r="AA74" s="443"/>
      <c r="AB74" s="443"/>
      <c r="AC74" s="443"/>
      <c r="AD74" s="445"/>
      <c r="AF74" s="53"/>
    </row>
    <row r="75" spans="1:32" ht="33.75" customHeight="1">
      <c r="A75" s="454">
        <v>1</v>
      </c>
      <c r="B75" s="455"/>
      <c r="C75" s="149" t="s">
        <v>62</v>
      </c>
      <c r="D75" s="149"/>
      <c r="E75" s="71" t="s">
        <v>58</v>
      </c>
      <c r="F75" s="456" t="s">
        <v>63</v>
      </c>
      <c r="G75" s="457"/>
      <c r="H75" s="457"/>
      <c r="I75" s="457"/>
      <c r="J75" s="458"/>
      <c r="K75" s="459" t="s">
        <v>61</v>
      </c>
      <c r="L75" s="460"/>
      <c r="M75" s="460"/>
      <c r="N75" s="460"/>
      <c r="O75" s="460"/>
      <c r="P75" s="460"/>
      <c r="Q75" s="460"/>
      <c r="R75" s="460"/>
      <c r="S75" s="461"/>
      <c r="T75" s="462">
        <v>41791</v>
      </c>
      <c r="U75" s="463"/>
      <c r="V75" s="464"/>
      <c r="W75" s="464"/>
      <c r="X75" s="465"/>
      <c r="Y75" s="465"/>
      <c r="Z75" s="465"/>
      <c r="AA75" s="465"/>
      <c r="AB75" s="465"/>
      <c r="AC75" s="465"/>
      <c r="AD75" s="466"/>
      <c r="AF75" s="53"/>
    </row>
    <row r="76" spans="1:32" ht="30" customHeight="1">
      <c r="A76" s="446">
        <f>A75+1</f>
        <v>2</v>
      </c>
      <c r="B76" s="447"/>
      <c r="C76" s="148" t="s">
        <v>62</v>
      </c>
      <c r="D76" s="148"/>
      <c r="E76" s="35" t="s">
        <v>123</v>
      </c>
      <c r="F76" s="447" t="s">
        <v>131</v>
      </c>
      <c r="G76" s="447"/>
      <c r="H76" s="447"/>
      <c r="I76" s="447"/>
      <c r="J76" s="447"/>
      <c r="K76" s="448" t="s">
        <v>133</v>
      </c>
      <c r="L76" s="449"/>
      <c r="M76" s="449"/>
      <c r="N76" s="449"/>
      <c r="O76" s="449"/>
      <c r="P76" s="449"/>
      <c r="Q76" s="449"/>
      <c r="R76" s="449"/>
      <c r="S76" s="450"/>
      <c r="T76" s="451">
        <v>42728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ref="A77:A83" si="27">A76+1</f>
        <v>3</v>
      </c>
      <c r="B77" s="447"/>
      <c r="C77" s="148" t="s">
        <v>62</v>
      </c>
      <c r="D77" s="148"/>
      <c r="E77" s="35" t="s">
        <v>121</v>
      </c>
      <c r="F77" s="447" t="s">
        <v>127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27"/>
        <v>4</v>
      </c>
      <c r="B78" s="447"/>
      <c r="C78" s="148" t="s">
        <v>62</v>
      </c>
      <c r="D78" s="148"/>
      <c r="E78" s="35" t="s">
        <v>121</v>
      </c>
      <c r="F78" s="447" t="s">
        <v>126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27"/>
        <v>5</v>
      </c>
      <c r="B79" s="447"/>
      <c r="C79" s="148" t="s">
        <v>62</v>
      </c>
      <c r="D79" s="148"/>
      <c r="E79" s="35" t="s">
        <v>58</v>
      </c>
      <c r="F79" s="447" t="s">
        <v>128</v>
      </c>
      <c r="G79" s="447"/>
      <c r="H79" s="447"/>
      <c r="I79" s="447"/>
      <c r="J79" s="447"/>
      <c r="K79" s="448" t="s">
        <v>61</v>
      </c>
      <c r="L79" s="449"/>
      <c r="M79" s="449"/>
      <c r="N79" s="449"/>
      <c r="O79" s="449"/>
      <c r="P79" s="449"/>
      <c r="Q79" s="449"/>
      <c r="R79" s="449"/>
      <c r="S79" s="450"/>
      <c r="T79" s="451">
        <v>42667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27"/>
        <v>6</v>
      </c>
      <c r="B80" s="447"/>
      <c r="C80" s="148" t="s">
        <v>140</v>
      </c>
      <c r="D80" s="148"/>
      <c r="E80" s="35" t="s">
        <v>160</v>
      </c>
      <c r="F80" s="447" t="s">
        <v>236</v>
      </c>
      <c r="G80" s="447"/>
      <c r="H80" s="447"/>
      <c r="I80" s="447"/>
      <c r="J80" s="447"/>
      <c r="K80" s="448" t="s">
        <v>133</v>
      </c>
      <c r="L80" s="449"/>
      <c r="M80" s="449"/>
      <c r="N80" s="449"/>
      <c r="O80" s="449"/>
      <c r="P80" s="449"/>
      <c r="Q80" s="449"/>
      <c r="R80" s="449"/>
      <c r="S80" s="450"/>
      <c r="T80" s="451">
        <v>42767</v>
      </c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27"/>
        <v>7</v>
      </c>
      <c r="B81" s="447"/>
      <c r="C81" s="148" t="s">
        <v>181</v>
      </c>
      <c r="D81" s="148"/>
      <c r="E81" s="35"/>
      <c r="F81" s="447" t="s">
        <v>182</v>
      </c>
      <c r="G81" s="447"/>
      <c r="H81" s="447"/>
      <c r="I81" s="447"/>
      <c r="J81" s="447"/>
      <c r="K81" s="448" t="s">
        <v>183</v>
      </c>
      <c r="L81" s="449"/>
      <c r="M81" s="449"/>
      <c r="N81" s="449"/>
      <c r="O81" s="449"/>
      <c r="P81" s="449"/>
      <c r="Q81" s="449"/>
      <c r="R81" s="449"/>
      <c r="S81" s="450"/>
      <c r="T81" s="451">
        <v>42759</v>
      </c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27"/>
        <v>8</v>
      </c>
      <c r="B82" s="447"/>
      <c r="C82" s="148"/>
      <c r="D82" s="148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0" customHeight="1">
      <c r="A83" s="446">
        <f t="shared" si="27"/>
        <v>9</v>
      </c>
      <c r="B83" s="447"/>
      <c r="C83" s="148"/>
      <c r="D83" s="148"/>
      <c r="E83" s="35"/>
      <c r="F83" s="447"/>
      <c r="G83" s="447"/>
      <c r="H83" s="447"/>
      <c r="I83" s="447"/>
      <c r="J83" s="447"/>
      <c r="K83" s="448"/>
      <c r="L83" s="449"/>
      <c r="M83" s="449"/>
      <c r="N83" s="449"/>
      <c r="O83" s="449"/>
      <c r="P83" s="449"/>
      <c r="Q83" s="449"/>
      <c r="R83" s="449"/>
      <c r="S83" s="450"/>
      <c r="T83" s="451"/>
      <c r="U83" s="451"/>
      <c r="V83" s="451"/>
      <c r="W83" s="451"/>
      <c r="X83" s="452"/>
      <c r="Y83" s="452"/>
      <c r="Z83" s="452"/>
      <c r="AA83" s="452"/>
      <c r="AB83" s="452"/>
      <c r="AC83" s="452"/>
      <c r="AD83" s="453"/>
      <c r="AF83" s="53"/>
    </row>
    <row r="84" spans="1:32" ht="36" thickBot="1">
      <c r="A84" s="439" t="s">
        <v>284</v>
      </c>
      <c r="B84" s="439"/>
      <c r="C84" s="439"/>
      <c r="D84" s="439"/>
      <c r="E84" s="439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67" t="s">
        <v>37</v>
      </c>
      <c r="B85" s="468"/>
      <c r="C85" s="468" t="s">
        <v>53</v>
      </c>
      <c r="D85" s="468"/>
      <c r="E85" s="468" t="s">
        <v>54</v>
      </c>
      <c r="F85" s="468"/>
      <c r="G85" s="468"/>
      <c r="H85" s="468"/>
      <c r="I85" s="468"/>
      <c r="J85" s="468"/>
      <c r="K85" s="468" t="s">
        <v>55</v>
      </c>
      <c r="L85" s="468"/>
      <c r="M85" s="468"/>
      <c r="N85" s="468"/>
      <c r="O85" s="468"/>
      <c r="P85" s="468"/>
      <c r="Q85" s="468"/>
      <c r="R85" s="468"/>
      <c r="S85" s="468"/>
      <c r="T85" s="468" t="s">
        <v>56</v>
      </c>
      <c r="U85" s="468"/>
      <c r="V85" s="468" t="s">
        <v>57</v>
      </c>
      <c r="W85" s="468"/>
      <c r="X85" s="468"/>
      <c r="Y85" s="468" t="s">
        <v>52</v>
      </c>
      <c r="Z85" s="468"/>
      <c r="AA85" s="468"/>
      <c r="AB85" s="468"/>
      <c r="AC85" s="468"/>
      <c r="AD85" s="469"/>
      <c r="AF85" s="53"/>
    </row>
    <row r="86" spans="1:32" ht="30.75" customHeight="1">
      <c r="A86" s="470">
        <v>1</v>
      </c>
      <c r="B86" s="471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>
      <c r="A87" s="446">
        <v>2</v>
      </c>
      <c r="B87" s="447"/>
      <c r="C87" s="472"/>
      <c r="D87" s="472"/>
      <c r="E87" s="472"/>
      <c r="F87" s="472"/>
      <c r="G87" s="472"/>
      <c r="H87" s="472"/>
      <c r="I87" s="472"/>
      <c r="J87" s="472"/>
      <c r="K87" s="472"/>
      <c r="L87" s="472"/>
      <c r="M87" s="472"/>
      <c r="N87" s="472"/>
      <c r="O87" s="472"/>
      <c r="P87" s="472"/>
      <c r="Q87" s="472"/>
      <c r="R87" s="472"/>
      <c r="S87" s="472"/>
      <c r="T87" s="472"/>
      <c r="U87" s="472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  <row r="88" spans="1:32" ht="30.75" customHeight="1" thickBot="1">
      <c r="A88" s="476">
        <v>3</v>
      </c>
      <c r="B88" s="477"/>
      <c r="C88" s="477"/>
      <c r="D88" s="477"/>
      <c r="E88" s="477"/>
      <c r="F88" s="477"/>
      <c r="G88" s="477"/>
      <c r="H88" s="477"/>
      <c r="I88" s="477"/>
      <c r="J88" s="477"/>
      <c r="K88" s="477"/>
      <c r="L88" s="477"/>
      <c r="M88" s="477"/>
      <c r="N88" s="477"/>
      <c r="O88" s="477"/>
      <c r="P88" s="477"/>
      <c r="Q88" s="477"/>
      <c r="R88" s="477"/>
      <c r="S88" s="477"/>
      <c r="T88" s="477"/>
      <c r="U88" s="477"/>
      <c r="V88" s="477"/>
      <c r="W88" s="477"/>
      <c r="X88" s="477"/>
      <c r="Y88" s="478"/>
      <c r="Z88" s="478"/>
      <c r="AA88" s="478"/>
      <c r="AB88" s="478"/>
      <c r="AC88" s="478"/>
      <c r="AD88" s="479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1" fitToHeight="2" orientation="landscape" r:id="rId1"/>
  <rowBreaks count="1" manualBreakCount="1">
    <brk id="49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view="pageBreakPreview" zoomScale="70" zoomScaleNormal="70" zoomScaleSheetLayoutView="70" workbookViewId="0">
      <selection activeCell="T80" sqref="T80:U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285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150" t="s">
        <v>17</v>
      </c>
      <c r="L5" s="150" t="s">
        <v>18</v>
      </c>
      <c r="M5" s="150" t="s">
        <v>19</v>
      </c>
      <c r="N5" s="15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62</v>
      </c>
      <c r="D6" s="55" t="s">
        <v>163</v>
      </c>
      <c r="E6" s="56" t="s">
        <v>164</v>
      </c>
      <c r="F6" s="12" t="s">
        <v>158</v>
      </c>
      <c r="G6" s="36">
        <v>2</v>
      </c>
      <c r="H6" s="38">
        <v>25</v>
      </c>
      <c r="I6" s="7">
        <v>30000</v>
      </c>
      <c r="J6" s="14">
        <v>18460</v>
      </c>
      <c r="K6" s="15">
        <f>L6+9410+11198+18456</f>
        <v>42148</v>
      </c>
      <c r="L6" s="15">
        <f>1542*2</f>
        <v>3084</v>
      </c>
      <c r="M6" s="16">
        <f t="shared" ref="M6:M21" si="0">L6-N6</f>
        <v>3084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5</v>
      </c>
      <c r="Q6" s="43">
        <f t="shared" ref="Q6:Q21" si="3">SUM(R6:AA6)</f>
        <v>19</v>
      </c>
      <c r="R6" s="7"/>
      <c r="S6" s="6"/>
      <c r="T6" s="17"/>
      <c r="U6" s="17"/>
      <c r="V6" s="18"/>
      <c r="W6" s="19">
        <v>19</v>
      </c>
      <c r="X6" s="17"/>
      <c r="Y6" s="20"/>
      <c r="Z6" s="20"/>
      <c r="AA6" s="21"/>
      <c r="AB6" s="8">
        <f t="shared" ref="AB6:AB21" si="4">IF(J6=0,"0",(L6/J6))</f>
        <v>0.16706392199349945</v>
      </c>
      <c r="AC6" s="9">
        <f t="shared" ref="AC6:AC21" si="5">IF(P6=0,"0",(P6/24))</f>
        <v>0.20833333333333334</v>
      </c>
      <c r="AD6" s="10">
        <f t="shared" ref="AD6:AD21" si="6">AC6*AB6*(1-O6)</f>
        <v>3.4804983748645719E-2</v>
      </c>
      <c r="AE6" s="39">
        <f t="shared" ref="AE6:AE21" si="7">$AD$22</f>
        <v>0.4647324451783168</v>
      </c>
      <c r="AF6" s="94">
        <f t="shared" ref="AF6:AF21" si="8">A6</f>
        <v>1</v>
      </c>
    </row>
    <row r="7" spans="1:32" ht="27" customHeight="1">
      <c r="A7" s="108">
        <v>1</v>
      </c>
      <c r="B7" s="11" t="s">
        <v>59</v>
      </c>
      <c r="C7" s="11" t="s">
        <v>135</v>
      </c>
      <c r="D7" s="55" t="s">
        <v>286</v>
      </c>
      <c r="E7" s="56" t="s">
        <v>287</v>
      </c>
      <c r="F7" s="12" t="s">
        <v>158</v>
      </c>
      <c r="G7" s="36">
        <v>1</v>
      </c>
      <c r="H7" s="38">
        <v>25</v>
      </c>
      <c r="I7" s="7">
        <v>5000</v>
      </c>
      <c r="J7" s="14">
        <v>3550</v>
      </c>
      <c r="K7" s="15">
        <f>L7</f>
        <v>3543</v>
      </c>
      <c r="L7" s="15">
        <f>714+2829</f>
        <v>3543</v>
      </c>
      <c r="M7" s="16">
        <f t="shared" ref="M7" si="9">L7-N7</f>
        <v>3543</v>
      </c>
      <c r="N7" s="16">
        <v>0</v>
      </c>
      <c r="O7" s="62">
        <f t="shared" ref="O7" si="10">IF(L7=0,"0",N7/L7)</f>
        <v>0</v>
      </c>
      <c r="P7" s="42">
        <f t="shared" ref="P7" si="11">IF(L7=0,"0",(24-Q7))</f>
        <v>17</v>
      </c>
      <c r="Q7" s="43">
        <f t="shared" ref="Q7" si="12">SUM(R7:AA7)</f>
        <v>7</v>
      </c>
      <c r="R7" s="7"/>
      <c r="S7" s="6"/>
      <c r="T7" s="17">
        <v>7</v>
      </c>
      <c r="U7" s="17"/>
      <c r="V7" s="18"/>
      <c r="W7" s="19"/>
      <c r="X7" s="17"/>
      <c r="Y7" s="20"/>
      <c r="Z7" s="20"/>
      <c r="AA7" s="21"/>
      <c r="AB7" s="8">
        <f t="shared" ref="AB7" si="13">IF(J7=0,"0",(L7/J7))</f>
        <v>0.99802816901408453</v>
      </c>
      <c r="AC7" s="9">
        <f t="shared" ref="AC7" si="14">IF(P7=0,"0",(P7/24))</f>
        <v>0.70833333333333337</v>
      </c>
      <c r="AD7" s="10">
        <f t="shared" ref="AD7" si="15">AC7*AB7*(1-O7)</f>
        <v>0.7069366197183099</v>
      </c>
      <c r="AE7" s="39">
        <f t="shared" si="7"/>
        <v>0.4647324451783168</v>
      </c>
      <c r="AF7" s="94">
        <f t="shared" ref="AF7" si="16">A7</f>
        <v>1</v>
      </c>
    </row>
    <row r="8" spans="1:32" ht="27" customHeight="1">
      <c r="A8" s="108">
        <v>2</v>
      </c>
      <c r="B8" s="11" t="s">
        <v>59</v>
      </c>
      <c r="C8" s="37" t="s">
        <v>213</v>
      </c>
      <c r="D8" s="55" t="s">
        <v>215</v>
      </c>
      <c r="E8" s="57" t="s">
        <v>216</v>
      </c>
      <c r="F8" s="33" t="s">
        <v>242</v>
      </c>
      <c r="G8" s="36">
        <v>1</v>
      </c>
      <c r="H8" s="38">
        <v>25</v>
      </c>
      <c r="I8" s="7">
        <v>1000</v>
      </c>
      <c r="J8" s="5">
        <v>1030</v>
      </c>
      <c r="K8" s="15">
        <f>L8+1026</f>
        <v>1026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0.4647324451783168</v>
      </c>
      <c r="AF8" s="94">
        <f t="shared" si="8"/>
        <v>2</v>
      </c>
    </row>
    <row r="9" spans="1:32" ht="27" customHeight="1">
      <c r="A9" s="109">
        <v>3</v>
      </c>
      <c r="B9" s="11" t="s">
        <v>59</v>
      </c>
      <c r="C9" s="11" t="s">
        <v>153</v>
      </c>
      <c r="D9" s="55"/>
      <c r="E9" s="57" t="s">
        <v>154</v>
      </c>
      <c r="F9" s="33" t="s">
        <v>143</v>
      </c>
      <c r="G9" s="36">
        <v>16</v>
      </c>
      <c r="H9" s="38">
        <v>25</v>
      </c>
      <c r="I9" s="7">
        <v>500000</v>
      </c>
      <c r="J9" s="14">
        <v>10610</v>
      </c>
      <c r="K9" s="15">
        <f>L9+70768+116768+40064+10608</f>
        <v>238208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0.4647324451783168</v>
      </c>
      <c r="AF9" s="94">
        <f t="shared" si="8"/>
        <v>3</v>
      </c>
    </row>
    <row r="10" spans="1:32" ht="27" customHeight="1">
      <c r="A10" s="110">
        <v>4</v>
      </c>
      <c r="B10" s="11" t="s">
        <v>59</v>
      </c>
      <c r="C10" s="37" t="s">
        <v>135</v>
      </c>
      <c r="D10" s="55" t="s">
        <v>288</v>
      </c>
      <c r="E10" s="57" t="s">
        <v>289</v>
      </c>
      <c r="F10" s="12" t="s">
        <v>290</v>
      </c>
      <c r="G10" s="12">
        <v>1</v>
      </c>
      <c r="H10" s="13">
        <v>25</v>
      </c>
      <c r="I10" s="34">
        <v>5000</v>
      </c>
      <c r="J10" s="5">
        <v>2400</v>
      </c>
      <c r="K10" s="15">
        <f>L10</f>
        <v>2393</v>
      </c>
      <c r="L10" s="15">
        <f>2198+195</f>
        <v>2393</v>
      </c>
      <c r="M10" s="16">
        <f t="shared" si="0"/>
        <v>2393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/>
      <c r="T10" s="17">
        <v>10</v>
      </c>
      <c r="U10" s="17"/>
      <c r="V10" s="18"/>
      <c r="W10" s="19"/>
      <c r="X10" s="17"/>
      <c r="Y10" s="20"/>
      <c r="Z10" s="20"/>
      <c r="AA10" s="21"/>
      <c r="AB10" s="8">
        <f t="shared" si="4"/>
        <v>0.99708333333333332</v>
      </c>
      <c r="AC10" s="9">
        <f t="shared" si="5"/>
        <v>0.58333333333333337</v>
      </c>
      <c r="AD10" s="10">
        <f t="shared" si="6"/>
        <v>0.58163194444444444</v>
      </c>
      <c r="AE10" s="39">
        <f t="shared" si="7"/>
        <v>0.4647324451783168</v>
      </c>
      <c r="AF10" s="94">
        <f t="shared" si="8"/>
        <v>4</v>
      </c>
    </row>
    <row r="11" spans="1:32" ht="27" customHeight="1">
      <c r="A11" s="110">
        <v>5</v>
      </c>
      <c r="B11" s="11" t="s">
        <v>59</v>
      </c>
      <c r="C11" s="37" t="s">
        <v>243</v>
      </c>
      <c r="D11" s="55" t="s">
        <v>167</v>
      </c>
      <c r="E11" s="57" t="s">
        <v>245</v>
      </c>
      <c r="F11" s="12" t="s">
        <v>242</v>
      </c>
      <c r="G11" s="12">
        <v>1</v>
      </c>
      <c r="H11" s="13">
        <v>25</v>
      </c>
      <c r="I11" s="34">
        <v>1000</v>
      </c>
      <c r="J11" s="5">
        <v>760</v>
      </c>
      <c r="K11" s="15">
        <f>L11+758</f>
        <v>758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0.4647324451783168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62</v>
      </c>
      <c r="D12" s="55" t="s">
        <v>121</v>
      </c>
      <c r="E12" s="56" t="s">
        <v>132</v>
      </c>
      <c r="F12" s="12" t="s">
        <v>130</v>
      </c>
      <c r="G12" s="12">
        <v>1</v>
      </c>
      <c r="H12" s="13">
        <v>25</v>
      </c>
      <c r="I12" s="34">
        <v>20000</v>
      </c>
      <c r="J12" s="14">
        <v>5730</v>
      </c>
      <c r="K12" s="15">
        <f>L12+3397+5902+5775</f>
        <v>20797</v>
      </c>
      <c r="L12" s="15">
        <f>2852+2871</f>
        <v>5723</v>
      </c>
      <c r="M12" s="16">
        <f t="shared" si="0"/>
        <v>5723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0.99877835951134375</v>
      </c>
      <c r="AC12" s="9">
        <f t="shared" si="5"/>
        <v>1</v>
      </c>
      <c r="AD12" s="10">
        <f t="shared" si="6"/>
        <v>0.99877835951134375</v>
      </c>
      <c r="AE12" s="39">
        <f t="shared" si="7"/>
        <v>0.4647324451783168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135</v>
      </c>
      <c r="D13" s="55" t="s">
        <v>58</v>
      </c>
      <c r="E13" s="57" t="s">
        <v>147</v>
      </c>
      <c r="F13" s="12" t="s">
        <v>136</v>
      </c>
      <c r="G13" s="12">
        <v>1</v>
      </c>
      <c r="H13" s="13">
        <v>25</v>
      </c>
      <c r="I13" s="34">
        <v>40000</v>
      </c>
      <c r="J13" s="5">
        <v>4440</v>
      </c>
      <c r="K13" s="15">
        <f>L13+3891+5557+5322+934+3571+4181+5403+5481+4296+3837+5512</f>
        <v>52417</v>
      </c>
      <c r="L13" s="15">
        <f>1813+2619</f>
        <v>4432</v>
      </c>
      <c r="M13" s="16">
        <f t="shared" si="0"/>
        <v>4432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0.99819819819819822</v>
      </c>
      <c r="AC13" s="9">
        <f t="shared" si="5"/>
        <v>1</v>
      </c>
      <c r="AD13" s="10">
        <f t="shared" si="6"/>
        <v>0.99819819819819822</v>
      </c>
      <c r="AE13" s="39">
        <f t="shared" si="7"/>
        <v>0.4647324451783168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135</v>
      </c>
      <c r="D14" s="55" t="s">
        <v>167</v>
      </c>
      <c r="E14" s="57" t="s">
        <v>291</v>
      </c>
      <c r="F14" s="12" t="s">
        <v>292</v>
      </c>
      <c r="G14" s="12">
        <v>1</v>
      </c>
      <c r="H14" s="13">
        <v>25</v>
      </c>
      <c r="I14" s="7">
        <v>5000</v>
      </c>
      <c r="J14" s="14">
        <v>4480</v>
      </c>
      <c r="K14" s="15">
        <f>L14</f>
        <v>4480</v>
      </c>
      <c r="L14" s="15">
        <f>3263+1217</f>
        <v>4480</v>
      </c>
      <c r="M14" s="16">
        <f t="shared" si="0"/>
        <v>4480</v>
      </c>
      <c r="N14" s="16">
        <v>0</v>
      </c>
      <c r="O14" s="62">
        <f t="shared" si="1"/>
        <v>0</v>
      </c>
      <c r="P14" s="42">
        <f t="shared" si="2"/>
        <v>20</v>
      </c>
      <c r="Q14" s="43">
        <f t="shared" si="3"/>
        <v>4</v>
      </c>
      <c r="R14" s="7"/>
      <c r="S14" s="6"/>
      <c r="T14" s="17">
        <v>4</v>
      </c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0.83333333333333337</v>
      </c>
      <c r="AD14" s="10">
        <f t="shared" si="6"/>
        <v>0.83333333333333337</v>
      </c>
      <c r="AE14" s="39">
        <f t="shared" si="7"/>
        <v>0.4647324451783168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217</v>
      </c>
      <c r="F15" s="33" t="s">
        <v>137</v>
      </c>
      <c r="G15" s="36">
        <v>1</v>
      </c>
      <c r="H15" s="38">
        <v>50</v>
      </c>
      <c r="I15" s="7">
        <v>100</v>
      </c>
      <c r="J15" s="5">
        <v>430</v>
      </c>
      <c r="K15" s="15">
        <f>L15+423</f>
        <v>423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0.4647324451783168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293</v>
      </c>
      <c r="D16" s="55" t="s">
        <v>294</v>
      </c>
      <c r="E16" s="57"/>
      <c r="F16" s="12" t="s">
        <v>295</v>
      </c>
      <c r="G16" s="12">
        <v>3</v>
      </c>
      <c r="H16" s="13">
        <v>12</v>
      </c>
      <c r="I16" s="34">
        <v>60000</v>
      </c>
      <c r="J16" s="5">
        <v>23500</v>
      </c>
      <c r="K16" s="15">
        <f>L16</f>
        <v>23046</v>
      </c>
      <c r="L16" s="15">
        <f>4537*3+3145*3</f>
        <v>23046</v>
      </c>
      <c r="M16" s="16">
        <f t="shared" si="0"/>
        <v>23046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>
        <v>1</v>
      </c>
      <c r="U16" s="17"/>
      <c r="V16" s="18"/>
      <c r="W16" s="19"/>
      <c r="X16" s="17"/>
      <c r="Y16" s="20"/>
      <c r="Z16" s="20"/>
      <c r="AA16" s="21"/>
      <c r="AB16" s="8">
        <f t="shared" si="4"/>
        <v>0.98068085106382974</v>
      </c>
      <c r="AC16" s="9">
        <f t="shared" si="5"/>
        <v>0.95833333333333337</v>
      </c>
      <c r="AD16" s="10">
        <f t="shared" si="6"/>
        <v>0.93981914893617025</v>
      </c>
      <c r="AE16" s="39">
        <f t="shared" si="7"/>
        <v>0.4647324451783168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62</v>
      </c>
      <c r="D17" s="55" t="s">
        <v>167</v>
      </c>
      <c r="E17" s="56" t="s">
        <v>168</v>
      </c>
      <c r="F17" s="12">
        <v>7301</v>
      </c>
      <c r="G17" s="36">
        <v>1</v>
      </c>
      <c r="H17" s="38">
        <v>25</v>
      </c>
      <c r="I17" s="7">
        <v>25000</v>
      </c>
      <c r="J17" s="14">
        <v>5490</v>
      </c>
      <c r="K17" s="15">
        <f>L17+2789+3754+5488</f>
        <v>17513</v>
      </c>
      <c r="L17" s="15">
        <f>2863+2619</f>
        <v>5482</v>
      </c>
      <c r="M17" s="16">
        <f t="shared" si="0"/>
        <v>5482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0.99854280510018212</v>
      </c>
      <c r="AC17" s="9">
        <f t="shared" si="5"/>
        <v>1</v>
      </c>
      <c r="AD17" s="10">
        <f t="shared" si="6"/>
        <v>0.99854280510018212</v>
      </c>
      <c r="AE17" s="39">
        <f t="shared" si="7"/>
        <v>0.4647324451783168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62</v>
      </c>
      <c r="D18" s="55" t="s">
        <v>189</v>
      </c>
      <c r="E18" s="56" t="s">
        <v>190</v>
      </c>
      <c r="F18" s="12">
        <v>8301</v>
      </c>
      <c r="G18" s="12">
        <v>1</v>
      </c>
      <c r="H18" s="13">
        <v>25</v>
      </c>
      <c r="I18" s="34">
        <v>15000</v>
      </c>
      <c r="J18" s="5">
        <v>2690</v>
      </c>
      <c r="K18" s="15">
        <f>L18+4858+6385</f>
        <v>13733</v>
      </c>
      <c r="L18" s="15">
        <v>2490</v>
      </c>
      <c r="M18" s="16">
        <f t="shared" si="0"/>
        <v>2490</v>
      </c>
      <c r="N18" s="16">
        <v>0</v>
      </c>
      <c r="O18" s="62">
        <f t="shared" si="1"/>
        <v>0</v>
      </c>
      <c r="P18" s="42">
        <f t="shared" si="2"/>
        <v>12</v>
      </c>
      <c r="Q18" s="43">
        <f t="shared" si="3"/>
        <v>12</v>
      </c>
      <c r="R18" s="7"/>
      <c r="S18" s="6"/>
      <c r="T18" s="17"/>
      <c r="U18" s="17"/>
      <c r="V18" s="18"/>
      <c r="W18" s="19">
        <v>12</v>
      </c>
      <c r="X18" s="17"/>
      <c r="Y18" s="20"/>
      <c r="Z18" s="20"/>
      <c r="AA18" s="21"/>
      <c r="AB18" s="8">
        <f t="shared" si="4"/>
        <v>0.92565055762081783</v>
      </c>
      <c r="AC18" s="9">
        <f t="shared" si="5"/>
        <v>0.5</v>
      </c>
      <c r="AD18" s="10">
        <f t="shared" si="6"/>
        <v>0.46282527881040891</v>
      </c>
      <c r="AE18" s="39">
        <f t="shared" si="7"/>
        <v>0.4647324451783168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135</v>
      </c>
      <c r="D19" s="55" t="s">
        <v>121</v>
      </c>
      <c r="E19" s="56" t="s">
        <v>149</v>
      </c>
      <c r="F19" s="33" t="s">
        <v>129</v>
      </c>
      <c r="G19" s="36">
        <v>1</v>
      </c>
      <c r="H19" s="38">
        <v>25</v>
      </c>
      <c r="I19" s="7">
        <v>40000</v>
      </c>
      <c r="J19" s="5">
        <v>2270</v>
      </c>
      <c r="K19" s="15">
        <f>L19+3070+4970+3827+5005+3931+4263+3555+3591+3911+2429+3843</f>
        <v>44662</v>
      </c>
      <c r="L19" s="15">
        <f>1696+571</f>
        <v>2267</v>
      </c>
      <c r="M19" s="16">
        <f t="shared" si="0"/>
        <v>2267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>
        <v>14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0.99867841409691627</v>
      </c>
      <c r="AC19" s="9">
        <f t="shared" si="5"/>
        <v>0.41666666666666669</v>
      </c>
      <c r="AD19" s="10">
        <f t="shared" si="6"/>
        <v>0.41611600587371511</v>
      </c>
      <c r="AE19" s="39">
        <f t="shared" si="7"/>
        <v>0.4647324451783168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135</v>
      </c>
      <c r="D20" s="55" t="s">
        <v>191</v>
      </c>
      <c r="E20" s="57" t="s">
        <v>192</v>
      </c>
      <c r="F20" s="33" t="s">
        <v>129</v>
      </c>
      <c r="G20" s="36">
        <v>1</v>
      </c>
      <c r="H20" s="38">
        <v>25</v>
      </c>
      <c r="I20" s="34">
        <v>3000</v>
      </c>
      <c r="J20" s="5">
        <v>3140</v>
      </c>
      <c r="K20" s="15">
        <f>L20+3131</f>
        <v>3131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0.4647324451783168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144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46440</v>
      </c>
      <c r="K21" s="15">
        <f>L21+46064+56292+46436</f>
        <v>148792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0.4647324451783168</v>
      </c>
      <c r="AF21" s="94">
        <f t="shared" si="8"/>
        <v>15</v>
      </c>
    </row>
    <row r="22" spans="1:32" ht="31.5" customHeight="1" thickBot="1">
      <c r="A22" s="386" t="s">
        <v>34</v>
      </c>
      <c r="B22" s="387"/>
      <c r="C22" s="387"/>
      <c r="D22" s="387"/>
      <c r="E22" s="387"/>
      <c r="F22" s="387"/>
      <c r="G22" s="387"/>
      <c r="H22" s="388"/>
      <c r="I22" s="25">
        <f t="shared" ref="I22:N22" si="17">SUM(I6:I21)</f>
        <v>950100</v>
      </c>
      <c r="J22" s="22">
        <f t="shared" si="17"/>
        <v>135420</v>
      </c>
      <c r="K22" s="23">
        <f t="shared" si="17"/>
        <v>617070</v>
      </c>
      <c r="L22" s="24">
        <f t="shared" si="17"/>
        <v>56940</v>
      </c>
      <c r="M22" s="23">
        <f t="shared" si="17"/>
        <v>56940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173</v>
      </c>
      <c r="Q22" s="46">
        <f t="shared" si="18"/>
        <v>211</v>
      </c>
      <c r="R22" s="26">
        <f t="shared" si="18"/>
        <v>0</v>
      </c>
      <c r="S22" s="27">
        <f t="shared" si="18"/>
        <v>38</v>
      </c>
      <c r="T22" s="27">
        <f t="shared" si="18"/>
        <v>22</v>
      </c>
      <c r="U22" s="27">
        <f t="shared" si="18"/>
        <v>0</v>
      </c>
      <c r="V22" s="28">
        <f t="shared" si="18"/>
        <v>0</v>
      </c>
      <c r="W22" s="29">
        <f t="shared" si="18"/>
        <v>151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0.60418030732881378</v>
      </c>
      <c r="AC22" s="4">
        <f>SUM(AC6:AC21)/15</f>
        <v>0.48055555555555551</v>
      </c>
      <c r="AD22" s="4">
        <f>SUM(AD6:AD21)/15</f>
        <v>0.4647324451783168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9" t="s">
        <v>46</v>
      </c>
      <c r="B49" s="389"/>
      <c r="C49" s="389"/>
      <c r="D49" s="389"/>
      <c r="E49" s="38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90" t="s">
        <v>296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2"/>
      <c r="N50" s="393" t="s">
        <v>305</v>
      </c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/>
      <c r="AC50" s="394"/>
      <c r="AD50" s="395"/>
    </row>
    <row r="51" spans="1:32" ht="27" customHeight="1">
      <c r="A51" s="396" t="s">
        <v>2</v>
      </c>
      <c r="B51" s="397"/>
      <c r="C51" s="151" t="s">
        <v>47</v>
      </c>
      <c r="D51" s="151" t="s">
        <v>48</v>
      </c>
      <c r="E51" s="151" t="s">
        <v>113</v>
      </c>
      <c r="F51" s="397" t="s">
        <v>112</v>
      </c>
      <c r="G51" s="397"/>
      <c r="H51" s="397"/>
      <c r="I51" s="397"/>
      <c r="J51" s="397"/>
      <c r="K51" s="397"/>
      <c r="L51" s="397"/>
      <c r="M51" s="398"/>
      <c r="N51" s="73" t="s">
        <v>117</v>
      </c>
      <c r="O51" s="151" t="s">
        <v>47</v>
      </c>
      <c r="P51" s="399" t="s">
        <v>48</v>
      </c>
      <c r="Q51" s="400"/>
      <c r="R51" s="399" t="s">
        <v>39</v>
      </c>
      <c r="S51" s="401"/>
      <c r="T51" s="401"/>
      <c r="U51" s="400"/>
      <c r="V51" s="399" t="s">
        <v>49</v>
      </c>
      <c r="W51" s="401"/>
      <c r="X51" s="401"/>
      <c r="Y51" s="401"/>
      <c r="Z51" s="401"/>
      <c r="AA51" s="401"/>
      <c r="AB51" s="401"/>
      <c r="AC51" s="401"/>
      <c r="AD51" s="402"/>
    </row>
    <row r="52" spans="1:32" ht="27" customHeight="1">
      <c r="A52" s="413" t="s">
        <v>135</v>
      </c>
      <c r="B52" s="414"/>
      <c r="C52" s="152" t="s">
        <v>139</v>
      </c>
      <c r="D52" s="153" t="s">
        <v>160</v>
      </c>
      <c r="E52" s="152" t="s">
        <v>150</v>
      </c>
      <c r="F52" s="415" t="s">
        <v>252</v>
      </c>
      <c r="G52" s="415"/>
      <c r="H52" s="415"/>
      <c r="I52" s="415"/>
      <c r="J52" s="415"/>
      <c r="K52" s="415"/>
      <c r="L52" s="415"/>
      <c r="M52" s="416"/>
      <c r="N52" s="154" t="s">
        <v>307</v>
      </c>
      <c r="O52" s="74" t="s">
        <v>308</v>
      </c>
      <c r="P52" s="417" t="s">
        <v>309</v>
      </c>
      <c r="Q52" s="418"/>
      <c r="R52" s="419" t="s">
        <v>306</v>
      </c>
      <c r="S52" s="419"/>
      <c r="T52" s="419"/>
      <c r="U52" s="419"/>
      <c r="V52" s="415" t="s">
        <v>269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297</v>
      </c>
      <c r="B53" s="414"/>
      <c r="C53" s="152" t="s">
        <v>266</v>
      </c>
      <c r="D53" s="153" t="s">
        <v>298</v>
      </c>
      <c r="E53" s="152" t="s">
        <v>287</v>
      </c>
      <c r="F53" s="415" t="s">
        <v>257</v>
      </c>
      <c r="G53" s="415"/>
      <c r="H53" s="415"/>
      <c r="I53" s="415"/>
      <c r="J53" s="415"/>
      <c r="K53" s="415"/>
      <c r="L53" s="415"/>
      <c r="M53" s="416"/>
      <c r="N53" s="154" t="s">
        <v>311</v>
      </c>
      <c r="O53" s="74" t="s">
        <v>312</v>
      </c>
      <c r="P53" s="417" t="s">
        <v>313</v>
      </c>
      <c r="Q53" s="418"/>
      <c r="R53" s="419" t="s">
        <v>310</v>
      </c>
      <c r="S53" s="419"/>
      <c r="T53" s="419"/>
      <c r="U53" s="419"/>
      <c r="V53" s="415" t="s">
        <v>170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20" t="s">
        <v>297</v>
      </c>
      <c r="B54" s="419"/>
      <c r="C54" s="153" t="s">
        <v>299</v>
      </c>
      <c r="D54" s="153" t="s">
        <v>288</v>
      </c>
      <c r="E54" s="152" t="s">
        <v>289</v>
      </c>
      <c r="F54" s="415" t="s">
        <v>170</v>
      </c>
      <c r="G54" s="415"/>
      <c r="H54" s="415"/>
      <c r="I54" s="415"/>
      <c r="J54" s="415"/>
      <c r="K54" s="415"/>
      <c r="L54" s="415"/>
      <c r="M54" s="416"/>
      <c r="N54" s="154" t="s">
        <v>315</v>
      </c>
      <c r="O54" s="74" t="s">
        <v>316</v>
      </c>
      <c r="P54" s="419" t="s">
        <v>317</v>
      </c>
      <c r="Q54" s="419"/>
      <c r="R54" s="419" t="s">
        <v>318</v>
      </c>
      <c r="S54" s="419"/>
      <c r="T54" s="419"/>
      <c r="U54" s="419"/>
      <c r="V54" s="415" t="s">
        <v>314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297</v>
      </c>
      <c r="B55" s="414"/>
      <c r="C55" s="152" t="s">
        <v>208</v>
      </c>
      <c r="D55" s="153" t="s">
        <v>300</v>
      </c>
      <c r="E55" s="152" t="s">
        <v>291</v>
      </c>
      <c r="F55" s="415" t="s">
        <v>170</v>
      </c>
      <c r="G55" s="415"/>
      <c r="H55" s="415"/>
      <c r="I55" s="415"/>
      <c r="J55" s="415"/>
      <c r="K55" s="415"/>
      <c r="L55" s="415"/>
      <c r="M55" s="416"/>
      <c r="N55" s="154" t="s">
        <v>62</v>
      </c>
      <c r="O55" s="74" t="s">
        <v>319</v>
      </c>
      <c r="P55" s="417" t="s">
        <v>320</v>
      </c>
      <c r="Q55" s="418"/>
      <c r="R55" s="419" t="s">
        <v>174</v>
      </c>
      <c r="S55" s="419"/>
      <c r="T55" s="419"/>
      <c r="U55" s="419"/>
      <c r="V55" s="415" t="s">
        <v>210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301</v>
      </c>
      <c r="B56" s="414"/>
      <c r="C56" s="152" t="s">
        <v>302</v>
      </c>
      <c r="D56" s="153" t="s">
        <v>303</v>
      </c>
      <c r="E56" s="152"/>
      <c r="F56" s="415" t="s">
        <v>304</v>
      </c>
      <c r="G56" s="415"/>
      <c r="H56" s="415"/>
      <c r="I56" s="415"/>
      <c r="J56" s="415"/>
      <c r="K56" s="415"/>
      <c r="L56" s="415"/>
      <c r="M56" s="416"/>
      <c r="N56" s="154"/>
      <c r="O56" s="74"/>
      <c r="P56" s="417"/>
      <c r="Q56" s="418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13"/>
      <c r="B57" s="414"/>
      <c r="C57" s="152"/>
      <c r="D57" s="153"/>
      <c r="E57" s="152"/>
      <c r="F57" s="415"/>
      <c r="G57" s="415"/>
      <c r="H57" s="415"/>
      <c r="I57" s="415"/>
      <c r="J57" s="415"/>
      <c r="K57" s="415"/>
      <c r="L57" s="415"/>
      <c r="M57" s="416"/>
      <c r="N57" s="154"/>
      <c r="O57" s="74"/>
      <c r="P57" s="419"/>
      <c r="Q57" s="419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20"/>
      <c r="B58" s="419"/>
      <c r="C58" s="153"/>
      <c r="D58" s="153"/>
      <c r="E58" s="152"/>
      <c r="F58" s="415"/>
      <c r="G58" s="415"/>
      <c r="H58" s="415"/>
      <c r="I58" s="415"/>
      <c r="J58" s="415"/>
      <c r="K58" s="415"/>
      <c r="L58" s="415"/>
      <c r="M58" s="416"/>
      <c r="N58" s="154"/>
      <c r="O58" s="74"/>
      <c r="P58" s="417"/>
      <c r="Q58" s="418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13"/>
      <c r="B59" s="414"/>
      <c r="C59" s="152"/>
      <c r="D59" s="153"/>
      <c r="E59" s="152"/>
      <c r="F59" s="415"/>
      <c r="G59" s="415"/>
      <c r="H59" s="415"/>
      <c r="I59" s="415"/>
      <c r="J59" s="415"/>
      <c r="K59" s="415"/>
      <c r="L59" s="415"/>
      <c r="M59" s="416"/>
      <c r="N59" s="154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20"/>
      <c r="B60" s="419"/>
      <c r="C60" s="153"/>
      <c r="D60" s="153"/>
      <c r="E60" s="153"/>
      <c r="F60" s="415"/>
      <c r="G60" s="415"/>
      <c r="H60" s="415"/>
      <c r="I60" s="415"/>
      <c r="J60" s="415"/>
      <c r="K60" s="415"/>
      <c r="L60" s="415"/>
      <c r="M60" s="416"/>
      <c r="N60" s="154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  <c r="AF60" s="94">
        <f>8*3000</f>
        <v>24000</v>
      </c>
    </row>
    <row r="61" spans="1:32" ht="27" customHeight="1" thickBot="1">
      <c r="A61" s="421"/>
      <c r="B61" s="422"/>
      <c r="C61" s="156"/>
      <c r="D61" s="156"/>
      <c r="E61" s="156"/>
      <c r="F61" s="423"/>
      <c r="G61" s="423"/>
      <c r="H61" s="423"/>
      <c r="I61" s="423"/>
      <c r="J61" s="423"/>
      <c r="K61" s="423"/>
      <c r="L61" s="423"/>
      <c r="M61" s="424"/>
      <c r="N61" s="155"/>
      <c r="O61" s="121"/>
      <c r="P61" s="422"/>
      <c r="Q61" s="422"/>
      <c r="R61" s="422"/>
      <c r="S61" s="422"/>
      <c r="T61" s="422"/>
      <c r="U61" s="422"/>
      <c r="V61" s="423"/>
      <c r="W61" s="423"/>
      <c r="X61" s="423"/>
      <c r="Y61" s="423"/>
      <c r="Z61" s="423"/>
      <c r="AA61" s="423"/>
      <c r="AB61" s="423"/>
      <c r="AC61" s="423"/>
      <c r="AD61" s="424"/>
      <c r="AF61" s="94">
        <f>16*3000</f>
        <v>48000</v>
      </c>
    </row>
    <row r="62" spans="1:32" ht="27.75" thickBot="1">
      <c r="A62" s="425" t="s">
        <v>321</v>
      </c>
      <c r="B62" s="425"/>
      <c r="C62" s="425"/>
      <c r="D62" s="425"/>
      <c r="E62" s="425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6" t="s">
        <v>118</v>
      </c>
      <c r="B63" s="427"/>
      <c r="C63" s="157" t="s">
        <v>2</v>
      </c>
      <c r="D63" s="157" t="s">
        <v>38</v>
      </c>
      <c r="E63" s="157" t="s">
        <v>3</v>
      </c>
      <c r="F63" s="427" t="s">
        <v>115</v>
      </c>
      <c r="G63" s="427"/>
      <c r="H63" s="427"/>
      <c r="I63" s="427"/>
      <c r="J63" s="427"/>
      <c r="K63" s="427" t="s">
        <v>40</v>
      </c>
      <c r="L63" s="427"/>
      <c r="M63" s="157" t="s">
        <v>41</v>
      </c>
      <c r="N63" s="427" t="s">
        <v>42</v>
      </c>
      <c r="O63" s="427"/>
      <c r="P63" s="428" t="s">
        <v>43</v>
      </c>
      <c r="Q63" s="429"/>
      <c r="R63" s="428" t="s">
        <v>44</v>
      </c>
      <c r="S63" s="430"/>
      <c r="T63" s="430"/>
      <c r="U63" s="430"/>
      <c r="V63" s="430"/>
      <c r="W63" s="430"/>
      <c r="X63" s="430"/>
      <c r="Y63" s="430"/>
      <c r="Z63" s="430"/>
      <c r="AA63" s="429"/>
      <c r="AB63" s="427" t="s">
        <v>45</v>
      </c>
      <c r="AC63" s="427"/>
      <c r="AD63" s="431"/>
      <c r="AF63" s="94">
        <f>SUM(AF60:AF62)</f>
        <v>96000</v>
      </c>
    </row>
    <row r="64" spans="1:32" ht="26.25" customHeight="1">
      <c r="A64" s="432">
        <v>1</v>
      </c>
      <c r="B64" s="433"/>
      <c r="C64" s="123" t="s">
        <v>135</v>
      </c>
      <c r="D64" s="160"/>
      <c r="E64" s="158" t="s">
        <v>288</v>
      </c>
      <c r="F64" s="434" t="s">
        <v>322</v>
      </c>
      <c r="G64" s="434"/>
      <c r="H64" s="434"/>
      <c r="I64" s="434"/>
      <c r="J64" s="434"/>
      <c r="K64" s="435" t="s">
        <v>290</v>
      </c>
      <c r="L64" s="436"/>
      <c r="M64" s="54" t="s">
        <v>323</v>
      </c>
      <c r="N64" s="434">
        <v>5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2</v>
      </c>
      <c r="B65" s="433"/>
      <c r="C65" s="123"/>
      <c r="D65" s="160"/>
      <c r="E65" s="158"/>
      <c r="F65" s="434"/>
      <c r="G65" s="434"/>
      <c r="H65" s="434"/>
      <c r="I65" s="434"/>
      <c r="J65" s="434"/>
      <c r="K65" s="434"/>
      <c r="L65" s="434"/>
      <c r="M65" s="54"/>
      <c r="N65" s="434"/>
      <c r="O65" s="434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3</v>
      </c>
      <c r="B66" s="433"/>
      <c r="C66" s="123"/>
      <c r="D66" s="160"/>
      <c r="E66" s="158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4</v>
      </c>
      <c r="B67" s="433"/>
      <c r="C67" s="123"/>
      <c r="D67" s="160"/>
      <c r="E67" s="158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5</v>
      </c>
      <c r="B68" s="433"/>
      <c r="C68" s="123"/>
      <c r="D68" s="160"/>
      <c r="E68" s="158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6</v>
      </c>
      <c r="B69" s="433"/>
      <c r="C69" s="123"/>
      <c r="D69" s="160"/>
      <c r="E69" s="158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7</v>
      </c>
      <c r="B70" s="433"/>
      <c r="C70" s="123"/>
      <c r="D70" s="160"/>
      <c r="E70" s="158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8</v>
      </c>
      <c r="B71" s="433"/>
      <c r="C71" s="123"/>
      <c r="D71" s="160"/>
      <c r="E71" s="158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 thickBot="1">
      <c r="A72" s="439" t="s">
        <v>324</v>
      </c>
      <c r="B72" s="439"/>
      <c r="C72" s="439"/>
      <c r="D72" s="439"/>
      <c r="E72" s="439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40" t="s">
        <v>118</v>
      </c>
      <c r="B73" s="441"/>
      <c r="C73" s="159" t="s">
        <v>2</v>
      </c>
      <c r="D73" s="159" t="s">
        <v>38</v>
      </c>
      <c r="E73" s="159" t="s">
        <v>3</v>
      </c>
      <c r="F73" s="441" t="s">
        <v>39</v>
      </c>
      <c r="G73" s="441"/>
      <c r="H73" s="441"/>
      <c r="I73" s="441"/>
      <c r="J73" s="441"/>
      <c r="K73" s="442" t="s">
        <v>60</v>
      </c>
      <c r="L73" s="443"/>
      <c r="M73" s="443"/>
      <c r="N73" s="443"/>
      <c r="O73" s="443"/>
      <c r="P73" s="443"/>
      <c r="Q73" s="443"/>
      <c r="R73" s="443"/>
      <c r="S73" s="444"/>
      <c r="T73" s="441" t="s">
        <v>50</v>
      </c>
      <c r="U73" s="441"/>
      <c r="V73" s="442" t="s">
        <v>51</v>
      </c>
      <c r="W73" s="444"/>
      <c r="X73" s="443" t="s">
        <v>52</v>
      </c>
      <c r="Y73" s="443"/>
      <c r="Z73" s="443"/>
      <c r="AA73" s="443"/>
      <c r="AB73" s="443"/>
      <c r="AC73" s="443"/>
      <c r="AD73" s="445"/>
      <c r="AF73" s="53"/>
    </row>
    <row r="74" spans="1:32" ht="33.75" customHeight="1">
      <c r="A74" s="454">
        <v>1</v>
      </c>
      <c r="B74" s="455"/>
      <c r="C74" s="161" t="s">
        <v>62</v>
      </c>
      <c r="D74" s="161"/>
      <c r="E74" s="71" t="s">
        <v>58</v>
      </c>
      <c r="F74" s="456" t="s">
        <v>63</v>
      </c>
      <c r="G74" s="457"/>
      <c r="H74" s="457"/>
      <c r="I74" s="457"/>
      <c r="J74" s="458"/>
      <c r="K74" s="459" t="s">
        <v>61</v>
      </c>
      <c r="L74" s="460"/>
      <c r="M74" s="460"/>
      <c r="N74" s="460"/>
      <c r="O74" s="460"/>
      <c r="P74" s="460"/>
      <c r="Q74" s="460"/>
      <c r="R74" s="460"/>
      <c r="S74" s="461"/>
      <c r="T74" s="462">
        <v>41791</v>
      </c>
      <c r="U74" s="463"/>
      <c r="V74" s="464"/>
      <c r="W74" s="464"/>
      <c r="X74" s="465"/>
      <c r="Y74" s="465"/>
      <c r="Z74" s="465"/>
      <c r="AA74" s="465"/>
      <c r="AB74" s="465"/>
      <c r="AC74" s="465"/>
      <c r="AD74" s="466"/>
      <c r="AF74" s="53"/>
    </row>
    <row r="75" spans="1:32" ht="30" customHeight="1">
      <c r="A75" s="446">
        <f>A74+1</f>
        <v>2</v>
      </c>
      <c r="B75" s="447"/>
      <c r="C75" s="160" t="s">
        <v>62</v>
      </c>
      <c r="D75" s="160"/>
      <c r="E75" s="35" t="s">
        <v>123</v>
      </c>
      <c r="F75" s="447" t="s">
        <v>131</v>
      </c>
      <c r="G75" s="447"/>
      <c r="H75" s="447"/>
      <c r="I75" s="447"/>
      <c r="J75" s="447"/>
      <c r="K75" s="448" t="s">
        <v>133</v>
      </c>
      <c r="L75" s="449"/>
      <c r="M75" s="449"/>
      <c r="N75" s="449"/>
      <c r="O75" s="449"/>
      <c r="P75" s="449"/>
      <c r="Q75" s="449"/>
      <c r="R75" s="449"/>
      <c r="S75" s="450"/>
      <c r="T75" s="451">
        <v>42728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ref="A76:A82" si="19">A75+1</f>
        <v>3</v>
      </c>
      <c r="B76" s="447"/>
      <c r="C76" s="160" t="s">
        <v>62</v>
      </c>
      <c r="D76" s="160"/>
      <c r="E76" s="35" t="s">
        <v>121</v>
      </c>
      <c r="F76" s="447" t="s">
        <v>127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9"/>
        <v>4</v>
      </c>
      <c r="B77" s="447"/>
      <c r="C77" s="160" t="s">
        <v>62</v>
      </c>
      <c r="D77" s="160"/>
      <c r="E77" s="35" t="s">
        <v>121</v>
      </c>
      <c r="F77" s="447" t="s">
        <v>126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9"/>
        <v>5</v>
      </c>
      <c r="B78" s="447"/>
      <c r="C78" s="160" t="s">
        <v>62</v>
      </c>
      <c r="D78" s="160"/>
      <c r="E78" s="35" t="s">
        <v>58</v>
      </c>
      <c r="F78" s="447" t="s">
        <v>128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9"/>
        <v>6</v>
      </c>
      <c r="B79" s="447"/>
      <c r="C79" s="160" t="s">
        <v>135</v>
      </c>
      <c r="D79" s="160"/>
      <c r="E79" s="35" t="s">
        <v>160</v>
      </c>
      <c r="F79" s="447" t="s">
        <v>236</v>
      </c>
      <c r="G79" s="447"/>
      <c r="H79" s="447"/>
      <c r="I79" s="447"/>
      <c r="J79" s="447"/>
      <c r="K79" s="448" t="s">
        <v>133</v>
      </c>
      <c r="L79" s="449"/>
      <c r="M79" s="449"/>
      <c r="N79" s="449"/>
      <c r="O79" s="449"/>
      <c r="P79" s="449"/>
      <c r="Q79" s="449"/>
      <c r="R79" s="449"/>
      <c r="S79" s="450"/>
      <c r="T79" s="451">
        <v>42770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9"/>
        <v>7</v>
      </c>
      <c r="B80" s="447"/>
      <c r="C80" s="160" t="s">
        <v>181</v>
      </c>
      <c r="D80" s="160"/>
      <c r="E80" s="35"/>
      <c r="F80" s="447" t="s">
        <v>162</v>
      </c>
      <c r="G80" s="447"/>
      <c r="H80" s="447"/>
      <c r="I80" s="447"/>
      <c r="J80" s="447"/>
      <c r="K80" s="448" t="s">
        <v>183</v>
      </c>
      <c r="L80" s="449"/>
      <c r="M80" s="449"/>
      <c r="N80" s="449"/>
      <c r="O80" s="449"/>
      <c r="P80" s="449"/>
      <c r="Q80" s="449"/>
      <c r="R80" s="449"/>
      <c r="S80" s="450"/>
      <c r="T80" s="451">
        <v>42759</v>
      </c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9"/>
        <v>8</v>
      </c>
      <c r="B81" s="447"/>
      <c r="C81" s="160"/>
      <c r="D81" s="160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19"/>
        <v>9</v>
      </c>
      <c r="B82" s="447"/>
      <c r="C82" s="160"/>
      <c r="D82" s="160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6" thickBot="1">
      <c r="A83" s="439" t="s">
        <v>325</v>
      </c>
      <c r="B83" s="439"/>
      <c r="C83" s="439"/>
      <c r="D83" s="439"/>
      <c r="E83" s="439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7" t="s">
        <v>37</v>
      </c>
      <c r="B84" s="468"/>
      <c r="C84" s="468" t="s">
        <v>53</v>
      </c>
      <c r="D84" s="468"/>
      <c r="E84" s="468" t="s">
        <v>54</v>
      </c>
      <c r="F84" s="468"/>
      <c r="G84" s="468"/>
      <c r="H84" s="468"/>
      <c r="I84" s="468"/>
      <c r="J84" s="468"/>
      <c r="K84" s="468" t="s">
        <v>55</v>
      </c>
      <c r="L84" s="468"/>
      <c r="M84" s="468"/>
      <c r="N84" s="468"/>
      <c r="O84" s="468"/>
      <c r="P84" s="468"/>
      <c r="Q84" s="468"/>
      <c r="R84" s="468"/>
      <c r="S84" s="468"/>
      <c r="T84" s="468" t="s">
        <v>56</v>
      </c>
      <c r="U84" s="468"/>
      <c r="V84" s="468" t="s">
        <v>57</v>
      </c>
      <c r="W84" s="468"/>
      <c r="X84" s="468"/>
      <c r="Y84" s="468" t="s">
        <v>52</v>
      </c>
      <c r="Z84" s="468"/>
      <c r="AA84" s="468"/>
      <c r="AB84" s="468"/>
      <c r="AC84" s="468"/>
      <c r="AD84" s="469"/>
      <c r="AF84" s="53"/>
    </row>
    <row r="85" spans="1:32" ht="30.75" customHeight="1">
      <c r="A85" s="470">
        <v>1</v>
      </c>
      <c r="B85" s="471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>
      <c r="A86" s="446">
        <v>2</v>
      </c>
      <c r="B86" s="447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 thickBot="1">
      <c r="A87" s="476">
        <v>3</v>
      </c>
      <c r="B87" s="477"/>
      <c r="C87" s="477"/>
      <c r="D87" s="477"/>
      <c r="E87" s="477"/>
      <c r="F87" s="477"/>
      <c r="G87" s="477"/>
      <c r="H87" s="477"/>
      <c r="I87" s="477"/>
      <c r="J87" s="477"/>
      <c r="K87" s="477"/>
      <c r="L87" s="477"/>
      <c r="M87" s="477"/>
      <c r="N87" s="477"/>
      <c r="O87" s="477"/>
      <c r="P87" s="477"/>
      <c r="Q87" s="477"/>
      <c r="R87" s="477"/>
      <c r="S87" s="477"/>
      <c r="T87" s="477"/>
      <c r="U87" s="477"/>
      <c r="V87" s="477"/>
      <c r="W87" s="477"/>
      <c r="X87" s="477"/>
      <c r="Y87" s="478"/>
      <c r="Z87" s="478"/>
      <c r="AA87" s="478"/>
      <c r="AB87" s="478"/>
      <c r="AC87" s="478"/>
      <c r="AD87" s="479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view="pageBreakPreview" zoomScale="70" zoomScaleNormal="70" zoomScaleSheetLayoutView="70" workbookViewId="0">
      <selection activeCell="A3" sqref="A3:G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380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286</v>
      </c>
      <c r="E6" s="56" t="s">
        <v>287</v>
      </c>
      <c r="F6" s="12" t="s">
        <v>158</v>
      </c>
      <c r="G6" s="36">
        <v>1</v>
      </c>
      <c r="H6" s="38">
        <v>25</v>
      </c>
      <c r="I6" s="7">
        <v>5000</v>
      </c>
      <c r="J6" s="14">
        <v>4340</v>
      </c>
      <c r="K6" s="15">
        <f>L6+3543</f>
        <v>7875</v>
      </c>
      <c r="L6" s="15">
        <f>1809+2523</f>
        <v>4332</v>
      </c>
      <c r="M6" s="16">
        <f t="shared" ref="M6:M20" si="0">L6-N6</f>
        <v>4332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23</v>
      </c>
      <c r="Q6" s="43">
        <f t="shared" ref="Q6:Q20" si="3">SUM(R6:AA6)</f>
        <v>1</v>
      </c>
      <c r="R6" s="7"/>
      <c r="S6" s="6"/>
      <c r="T6" s="17"/>
      <c r="U6" s="17"/>
      <c r="V6" s="18">
        <v>1</v>
      </c>
      <c r="W6" s="19"/>
      <c r="X6" s="17"/>
      <c r="Y6" s="20"/>
      <c r="Z6" s="20"/>
      <c r="AA6" s="21"/>
      <c r="AB6" s="8">
        <f t="shared" ref="AB6:AB20" si="4">IF(J6=0,"0",(L6/J6))</f>
        <v>0.99815668202764973</v>
      </c>
      <c r="AC6" s="9">
        <f t="shared" ref="AC6:AC20" si="5">IF(P6=0,"0",(P6/24))</f>
        <v>0.95833333333333337</v>
      </c>
      <c r="AD6" s="10">
        <f t="shared" ref="AD6:AD20" si="6">AC6*AB6*(1-O6)</f>
        <v>0.95656682027649764</v>
      </c>
      <c r="AE6" s="39">
        <f t="shared" ref="AE6:AE20" si="7">$AD$21</f>
        <v>0.41849796715980697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213</v>
      </c>
      <c r="D7" s="55" t="s">
        <v>215</v>
      </c>
      <c r="E7" s="57" t="s">
        <v>216</v>
      </c>
      <c r="F7" s="33" t="s">
        <v>242</v>
      </c>
      <c r="G7" s="36">
        <v>1</v>
      </c>
      <c r="H7" s="38">
        <v>25</v>
      </c>
      <c r="I7" s="7">
        <v>1000</v>
      </c>
      <c r="J7" s="5">
        <v>1030</v>
      </c>
      <c r="K7" s="15">
        <f>L7+1026</f>
        <v>1026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0.41849796715980697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0.41849796715980697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288</v>
      </c>
      <c r="E9" s="57" t="s">
        <v>289</v>
      </c>
      <c r="F9" s="12" t="s">
        <v>290</v>
      </c>
      <c r="G9" s="12">
        <v>1</v>
      </c>
      <c r="H9" s="13">
        <v>25</v>
      </c>
      <c r="I9" s="34">
        <v>5000</v>
      </c>
      <c r="J9" s="5">
        <v>5101</v>
      </c>
      <c r="K9" s="15">
        <f>L9+2393</f>
        <v>7494</v>
      </c>
      <c r="L9" s="15">
        <f>2081+3020</f>
        <v>5101</v>
      </c>
      <c r="M9" s="16">
        <f t="shared" si="0"/>
        <v>5101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/>
      <c r="U9" s="17"/>
      <c r="V9" s="18">
        <v>1</v>
      </c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9">
        <f t="shared" si="7"/>
        <v>0.41849796715980697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326</v>
      </c>
      <c r="D10" s="55" t="s">
        <v>327</v>
      </c>
      <c r="E10" s="57" t="s">
        <v>328</v>
      </c>
      <c r="F10" s="12" t="s">
        <v>329</v>
      </c>
      <c r="G10" s="12">
        <v>1</v>
      </c>
      <c r="H10" s="13">
        <v>25</v>
      </c>
      <c r="I10" s="34">
        <v>300</v>
      </c>
      <c r="J10" s="5">
        <v>1180</v>
      </c>
      <c r="K10" s="15">
        <f>L10</f>
        <v>1177</v>
      </c>
      <c r="L10" s="15">
        <f>1177</f>
        <v>1177</v>
      </c>
      <c r="M10" s="16">
        <f t="shared" si="0"/>
        <v>1177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/>
      <c r="T10" s="17"/>
      <c r="U10" s="17"/>
      <c r="V10" s="18"/>
      <c r="W10" s="19">
        <v>16</v>
      </c>
      <c r="X10" s="17"/>
      <c r="Y10" s="20"/>
      <c r="Z10" s="20"/>
      <c r="AA10" s="21"/>
      <c r="AB10" s="8">
        <f t="shared" si="4"/>
        <v>0.99745762711864405</v>
      </c>
      <c r="AC10" s="9">
        <f t="shared" si="5"/>
        <v>0.33333333333333331</v>
      </c>
      <c r="AD10" s="10">
        <f t="shared" si="6"/>
        <v>0.33248587570621468</v>
      </c>
      <c r="AE10" s="39">
        <f t="shared" si="7"/>
        <v>0.41849796715980697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6" t="s">
        <v>132</v>
      </c>
      <c r="F11" s="12" t="s">
        <v>130</v>
      </c>
      <c r="G11" s="12">
        <v>1</v>
      </c>
      <c r="H11" s="13">
        <v>25</v>
      </c>
      <c r="I11" s="34">
        <v>20000</v>
      </c>
      <c r="J11" s="14">
        <v>3900</v>
      </c>
      <c r="K11" s="15">
        <f>L11+3397+5902+5775+5723</f>
        <v>24692</v>
      </c>
      <c r="L11" s="15">
        <f>1174+2721</f>
        <v>3895</v>
      </c>
      <c r="M11" s="16">
        <f t="shared" si="0"/>
        <v>3895</v>
      </c>
      <c r="N11" s="16">
        <v>0</v>
      </c>
      <c r="O11" s="62">
        <f t="shared" si="1"/>
        <v>0</v>
      </c>
      <c r="P11" s="42">
        <f t="shared" si="2"/>
        <v>18</v>
      </c>
      <c r="Q11" s="43">
        <f t="shared" si="3"/>
        <v>6</v>
      </c>
      <c r="R11" s="7"/>
      <c r="S11" s="6">
        <v>6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0.99871794871794872</v>
      </c>
      <c r="AC11" s="9">
        <f t="shared" si="5"/>
        <v>0.75</v>
      </c>
      <c r="AD11" s="10">
        <f t="shared" si="6"/>
        <v>0.74903846153846154</v>
      </c>
      <c r="AE11" s="39">
        <f t="shared" si="7"/>
        <v>0.41849796715980697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330</v>
      </c>
      <c r="E12" s="57" t="s">
        <v>331</v>
      </c>
      <c r="F12" s="12">
        <v>7301</v>
      </c>
      <c r="G12" s="12">
        <v>2</v>
      </c>
      <c r="H12" s="13">
        <v>25</v>
      </c>
      <c r="I12" s="34">
        <v>5000</v>
      </c>
      <c r="J12" s="5">
        <v>10000</v>
      </c>
      <c r="K12" s="15">
        <f>L12</f>
        <v>9996</v>
      </c>
      <c r="L12" s="15">
        <f>2078*2+2920*2</f>
        <v>9996</v>
      </c>
      <c r="M12" s="16">
        <f t="shared" si="0"/>
        <v>9996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0.99960000000000004</v>
      </c>
      <c r="AC12" s="9">
        <f t="shared" si="5"/>
        <v>0.95833333333333337</v>
      </c>
      <c r="AD12" s="10">
        <f t="shared" si="6"/>
        <v>0.95795000000000008</v>
      </c>
      <c r="AE12" s="39">
        <f t="shared" si="7"/>
        <v>0.41849796715980697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135</v>
      </c>
      <c r="D13" s="55" t="s">
        <v>167</v>
      </c>
      <c r="E13" s="57" t="s">
        <v>291</v>
      </c>
      <c r="F13" s="12" t="s">
        <v>292</v>
      </c>
      <c r="G13" s="12">
        <v>1</v>
      </c>
      <c r="H13" s="13">
        <v>25</v>
      </c>
      <c r="I13" s="7">
        <v>5000</v>
      </c>
      <c r="J13" s="14">
        <v>1550</v>
      </c>
      <c r="K13" s="15">
        <f>L13+4480</f>
        <v>6021</v>
      </c>
      <c r="L13" s="15">
        <f>1065+476</f>
        <v>1541</v>
      </c>
      <c r="M13" s="16">
        <f t="shared" si="0"/>
        <v>1541</v>
      </c>
      <c r="N13" s="16">
        <v>0</v>
      </c>
      <c r="O13" s="62">
        <f t="shared" si="1"/>
        <v>0</v>
      </c>
      <c r="P13" s="42">
        <f t="shared" si="2"/>
        <v>9</v>
      </c>
      <c r="Q13" s="43">
        <f t="shared" si="3"/>
        <v>15</v>
      </c>
      <c r="R13" s="7"/>
      <c r="S13" s="6">
        <v>15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0.99419354838709673</v>
      </c>
      <c r="AC13" s="9">
        <f t="shared" si="5"/>
        <v>0.375</v>
      </c>
      <c r="AD13" s="10">
        <f t="shared" si="6"/>
        <v>0.37282258064516127</v>
      </c>
      <c r="AE13" s="39">
        <f t="shared" si="7"/>
        <v>0.41849796715980697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332</v>
      </c>
      <c r="F14" s="33" t="s">
        <v>137</v>
      </c>
      <c r="G14" s="36">
        <v>1</v>
      </c>
      <c r="H14" s="38">
        <v>50</v>
      </c>
      <c r="I14" s="7">
        <v>100</v>
      </c>
      <c r="J14" s="5">
        <v>260</v>
      </c>
      <c r="K14" s="15">
        <f>L14</f>
        <v>258</v>
      </c>
      <c r="L14" s="15">
        <f>258</f>
        <v>258</v>
      </c>
      <c r="M14" s="16">
        <f t="shared" si="0"/>
        <v>258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0.99230769230769234</v>
      </c>
      <c r="AC14" s="9">
        <f t="shared" si="5"/>
        <v>0.20833333333333334</v>
      </c>
      <c r="AD14" s="10">
        <f t="shared" si="6"/>
        <v>0.20673076923076925</v>
      </c>
      <c r="AE14" s="39">
        <f t="shared" si="7"/>
        <v>0.41849796715980697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22200</v>
      </c>
      <c r="K15" s="15">
        <f>L15+23046</f>
        <v>45246</v>
      </c>
      <c r="L15" s="15">
        <f>3075*3+4325*3</f>
        <v>22200</v>
      </c>
      <c r="M15" s="16">
        <f t="shared" si="0"/>
        <v>22200</v>
      </c>
      <c r="N15" s="16">
        <v>0</v>
      </c>
      <c r="O15" s="62">
        <f t="shared" si="1"/>
        <v>0</v>
      </c>
      <c r="P15" s="42">
        <f t="shared" si="2"/>
        <v>23</v>
      </c>
      <c r="Q15" s="43">
        <f t="shared" si="3"/>
        <v>1</v>
      </c>
      <c r="R15" s="7"/>
      <c r="S15" s="6"/>
      <c r="T15" s="17"/>
      <c r="U15" s="17"/>
      <c r="V15" s="18">
        <v>1</v>
      </c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0.95833333333333337</v>
      </c>
      <c r="AD15" s="10">
        <f t="shared" si="6"/>
        <v>0.95833333333333337</v>
      </c>
      <c r="AE15" s="39">
        <f t="shared" si="7"/>
        <v>0.41849796715980697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62</v>
      </c>
      <c r="D16" s="55" t="s">
        <v>167</v>
      </c>
      <c r="E16" s="56" t="s">
        <v>168</v>
      </c>
      <c r="F16" s="12">
        <v>7301</v>
      </c>
      <c r="G16" s="36">
        <v>1</v>
      </c>
      <c r="H16" s="38">
        <v>25</v>
      </c>
      <c r="I16" s="7">
        <v>25000</v>
      </c>
      <c r="J16" s="14">
        <v>3800</v>
      </c>
      <c r="K16" s="15">
        <f>L16+2789+3754+5488+5482</f>
        <v>21282</v>
      </c>
      <c r="L16" s="15">
        <f>1027+2742</f>
        <v>3769</v>
      </c>
      <c r="M16" s="16">
        <f t="shared" si="0"/>
        <v>3769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0.99184210526315786</v>
      </c>
      <c r="AC16" s="9">
        <f t="shared" si="5"/>
        <v>0.79166666666666663</v>
      </c>
      <c r="AD16" s="10">
        <f t="shared" si="6"/>
        <v>0.78520833333333329</v>
      </c>
      <c r="AE16" s="39">
        <f t="shared" si="7"/>
        <v>0.41849796715980697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62</v>
      </c>
      <c r="D17" s="55" t="s">
        <v>189</v>
      </c>
      <c r="E17" s="56" t="s">
        <v>190</v>
      </c>
      <c r="F17" s="12">
        <v>8301</v>
      </c>
      <c r="G17" s="12">
        <v>1</v>
      </c>
      <c r="H17" s="13">
        <v>25</v>
      </c>
      <c r="I17" s="34">
        <v>15000</v>
      </c>
      <c r="J17" s="5">
        <v>2690</v>
      </c>
      <c r="K17" s="15">
        <f>L17+4858+6385+2490</f>
        <v>13733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0.41849796715980697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135</v>
      </c>
      <c r="D18" s="55" t="s">
        <v>121</v>
      </c>
      <c r="E18" s="56" t="s">
        <v>149</v>
      </c>
      <c r="F18" s="33" t="s">
        <v>129</v>
      </c>
      <c r="G18" s="36">
        <v>1</v>
      </c>
      <c r="H18" s="38">
        <v>25</v>
      </c>
      <c r="I18" s="7">
        <v>40000</v>
      </c>
      <c r="J18" s="5">
        <v>2270</v>
      </c>
      <c r="K18" s="15">
        <f>L18+3070+4970+3827+5005+3931+4263+3555+3591+3911+2429+3843+2267</f>
        <v>44662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0.41849796715980697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191</v>
      </c>
      <c r="E19" s="57" t="s">
        <v>192</v>
      </c>
      <c r="F19" s="33" t="s">
        <v>129</v>
      </c>
      <c r="G19" s="36">
        <v>1</v>
      </c>
      <c r="H19" s="38">
        <v>25</v>
      </c>
      <c r="I19" s="34">
        <v>3000</v>
      </c>
      <c r="J19" s="5">
        <v>3140</v>
      </c>
      <c r="K19" s="15">
        <f>L19+3131</f>
        <v>3131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0.41849796715980697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144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46440</v>
      </c>
      <c r="K20" s="15">
        <f>L20+46064+56292+46436</f>
        <v>148792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0.41849796715980697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884400</v>
      </c>
      <c r="J21" s="22">
        <f t="shared" si="9"/>
        <v>118511</v>
      </c>
      <c r="K21" s="23">
        <f t="shared" si="9"/>
        <v>573593</v>
      </c>
      <c r="L21" s="24">
        <f t="shared" si="9"/>
        <v>52269</v>
      </c>
      <c r="M21" s="23">
        <f t="shared" si="9"/>
        <v>52269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151</v>
      </c>
      <c r="Q21" s="46">
        <f t="shared" si="10"/>
        <v>209</v>
      </c>
      <c r="R21" s="26">
        <f t="shared" si="10"/>
        <v>0</v>
      </c>
      <c r="S21" s="27">
        <f t="shared" si="10"/>
        <v>74</v>
      </c>
      <c r="T21" s="27">
        <f t="shared" si="10"/>
        <v>1</v>
      </c>
      <c r="U21" s="27">
        <f t="shared" si="10"/>
        <v>0</v>
      </c>
      <c r="V21" s="28">
        <f t="shared" si="10"/>
        <v>3</v>
      </c>
      <c r="W21" s="29">
        <f t="shared" si="10"/>
        <v>131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0.59815170692147934</v>
      </c>
      <c r="AC21" s="4">
        <f>SUM(AC6:AC20)/15</f>
        <v>0.41944444444444445</v>
      </c>
      <c r="AD21" s="4">
        <f>SUM(AD6:AD20)/15</f>
        <v>0.41849796715980697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333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355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172" t="s">
        <v>47</v>
      </c>
      <c r="D50" s="172" t="s">
        <v>48</v>
      </c>
      <c r="E50" s="172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172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135</v>
      </c>
      <c r="B51" s="414"/>
      <c r="C51" s="171" t="s">
        <v>334</v>
      </c>
      <c r="D51" s="168" t="s">
        <v>335</v>
      </c>
      <c r="E51" s="171" t="s">
        <v>331</v>
      </c>
      <c r="F51" s="415" t="s">
        <v>336</v>
      </c>
      <c r="G51" s="415"/>
      <c r="H51" s="415"/>
      <c r="I51" s="415"/>
      <c r="J51" s="415"/>
      <c r="K51" s="415"/>
      <c r="L51" s="415"/>
      <c r="M51" s="416"/>
      <c r="N51" s="167" t="s">
        <v>356</v>
      </c>
      <c r="O51" s="74" t="s">
        <v>357</v>
      </c>
      <c r="P51" s="417" t="s">
        <v>352</v>
      </c>
      <c r="Q51" s="418"/>
      <c r="R51" s="419" t="s">
        <v>358</v>
      </c>
      <c r="S51" s="419"/>
      <c r="T51" s="419"/>
      <c r="U51" s="419"/>
      <c r="V51" s="415" t="s">
        <v>359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297</v>
      </c>
      <c r="B52" s="414"/>
      <c r="C52" s="171" t="s">
        <v>208</v>
      </c>
      <c r="D52" s="168" t="s">
        <v>300</v>
      </c>
      <c r="E52" s="171" t="s">
        <v>291</v>
      </c>
      <c r="F52" s="415" t="s">
        <v>337</v>
      </c>
      <c r="G52" s="415"/>
      <c r="H52" s="415"/>
      <c r="I52" s="415"/>
      <c r="J52" s="415"/>
      <c r="K52" s="415"/>
      <c r="L52" s="415"/>
      <c r="M52" s="416"/>
      <c r="N52" s="167" t="s">
        <v>326</v>
      </c>
      <c r="O52" s="74" t="s">
        <v>360</v>
      </c>
      <c r="P52" s="417" t="s">
        <v>361</v>
      </c>
      <c r="Q52" s="418"/>
      <c r="R52" s="419" t="s">
        <v>362</v>
      </c>
      <c r="S52" s="419"/>
      <c r="T52" s="419"/>
      <c r="U52" s="419"/>
      <c r="V52" s="415" t="s">
        <v>363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20" t="s">
        <v>326</v>
      </c>
      <c r="B53" s="419"/>
      <c r="C53" s="168" t="s">
        <v>338</v>
      </c>
      <c r="D53" s="168" t="s">
        <v>339</v>
      </c>
      <c r="E53" s="171" t="s">
        <v>328</v>
      </c>
      <c r="F53" s="415" t="s">
        <v>340</v>
      </c>
      <c r="G53" s="415"/>
      <c r="H53" s="415"/>
      <c r="I53" s="415"/>
      <c r="J53" s="415"/>
      <c r="K53" s="415"/>
      <c r="L53" s="415"/>
      <c r="M53" s="416"/>
      <c r="N53" s="167"/>
      <c r="O53" s="74"/>
      <c r="P53" s="419"/>
      <c r="Q53" s="419"/>
      <c r="R53" s="419"/>
      <c r="S53" s="419"/>
      <c r="T53" s="419"/>
      <c r="U53" s="419"/>
      <c r="V53" s="415"/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341</v>
      </c>
      <c r="B54" s="414"/>
      <c r="C54" s="171" t="s">
        <v>342</v>
      </c>
      <c r="D54" s="168" t="s">
        <v>343</v>
      </c>
      <c r="E54" s="171" t="s">
        <v>344</v>
      </c>
      <c r="F54" s="415" t="s">
        <v>340</v>
      </c>
      <c r="G54" s="415"/>
      <c r="H54" s="415"/>
      <c r="I54" s="415"/>
      <c r="J54" s="415"/>
      <c r="K54" s="415"/>
      <c r="L54" s="415"/>
      <c r="M54" s="416"/>
      <c r="N54" s="167"/>
      <c r="O54" s="74"/>
      <c r="P54" s="417"/>
      <c r="Q54" s="418"/>
      <c r="R54" s="419"/>
      <c r="S54" s="419"/>
      <c r="T54" s="419"/>
      <c r="U54" s="419"/>
      <c r="V54" s="415"/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346</v>
      </c>
      <c r="B55" s="414"/>
      <c r="C55" s="171" t="s">
        <v>347</v>
      </c>
      <c r="D55" s="168" t="s">
        <v>348</v>
      </c>
      <c r="E55" s="171" t="s">
        <v>345</v>
      </c>
      <c r="F55" s="415" t="s">
        <v>349</v>
      </c>
      <c r="G55" s="415"/>
      <c r="H55" s="415"/>
      <c r="I55" s="415"/>
      <c r="J55" s="415"/>
      <c r="K55" s="415"/>
      <c r="L55" s="415"/>
      <c r="M55" s="416"/>
      <c r="N55" s="167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350</v>
      </c>
      <c r="B56" s="414"/>
      <c r="C56" s="171" t="s">
        <v>351</v>
      </c>
      <c r="D56" s="168" t="s">
        <v>352</v>
      </c>
      <c r="E56" s="171" t="s">
        <v>353</v>
      </c>
      <c r="F56" s="415" t="s">
        <v>354</v>
      </c>
      <c r="G56" s="415"/>
      <c r="H56" s="415"/>
      <c r="I56" s="415"/>
      <c r="J56" s="415"/>
      <c r="K56" s="415"/>
      <c r="L56" s="415"/>
      <c r="M56" s="416"/>
      <c r="N56" s="167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/>
      <c r="B57" s="419"/>
      <c r="C57" s="168"/>
      <c r="D57" s="168"/>
      <c r="E57" s="171"/>
      <c r="F57" s="415"/>
      <c r="G57" s="415"/>
      <c r="H57" s="415"/>
      <c r="I57" s="415"/>
      <c r="J57" s="415"/>
      <c r="K57" s="415"/>
      <c r="L57" s="415"/>
      <c r="M57" s="416"/>
      <c r="N57" s="167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171"/>
      <c r="D58" s="168"/>
      <c r="E58" s="171"/>
      <c r="F58" s="415"/>
      <c r="G58" s="415"/>
      <c r="H58" s="415"/>
      <c r="I58" s="415"/>
      <c r="J58" s="415"/>
      <c r="K58" s="415"/>
      <c r="L58" s="415"/>
      <c r="M58" s="416"/>
      <c r="N58" s="167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168"/>
      <c r="D59" s="168"/>
      <c r="E59" s="168"/>
      <c r="F59" s="415"/>
      <c r="G59" s="415"/>
      <c r="H59" s="415"/>
      <c r="I59" s="415"/>
      <c r="J59" s="415"/>
      <c r="K59" s="415"/>
      <c r="L59" s="415"/>
      <c r="M59" s="416"/>
      <c r="N59" s="167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170"/>
      <c r="D60" s="170"/>
      <c r="E60" s="170"/>
      <c r="F60" s="423"/>
      <c r="G60" s="423"/>
      <c r="H60" s="423"/>
      <c r="I60" s="423"/>
      <c r="J60" s="423"/>
      <c r="K60" s="423"/>
      <c r="L60" s="423"/>
      <c r="M60" s="424"/>
      <c r="N60" s="169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364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166" t="s">
        <v>2</v>
      </c>
      <c r="D62" s="166" t="s">
        <v>38</v>
      </c>
      <c r="E62" s="166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166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326</v>
      </c>
      <c r="D63" s="162"/>
      <c r="E63" s="164" t="s">
        <v>365</v>
      </c>
      <c r="F63" s="434" t="s">
        <v>366</v>
      </c>
      <c r="G63" s="434"/>
      <c r="H63" s="434"/>
      <c r="I63" s="434"/>
      <c r="J63" s="434"/>
      <c r="K63" s="435" t="s">
        <v>367</v>
      </c>
      <c r="L63" s="436"/>
      <c r="M63" s="54" t="s">
        <v>323</v>
      </c>
      <c r="N63" s="434">
        <v>12</v>
      </c>
      <c r="O63" s="434"/>
      <c r="P63" s="437">
        <v>20</v>
      </c>
      <c r="Q63" s="437"/>
      <c r="R63" s="415" t="s">
        <v>368</v>
      </c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326</v>
      </c>
      <c r="D64" s="162"/>
      <c r="E64" s="164" t="s">
        <v>339</v>
      </c>
      <c r="F64" s="434" t="s">
        <v>369</v>
      </c>
      <c r="G64" s="434"/>
      <c r="H64" s="434"/>
      <c r="I64" s="434"/>
      <c r="J64" s="434"/>
      <c r="K64" s="434" t="s">
        <v>370</v>
      </c>
      <c r="L64" s="434"/>
      <c r="M64" s="54" t="s">
        <v>371</v>
      </c>
      <c r="N64" s="434">
        <v>2</v>
      </c>
      <c r="O64" s="434"/>
      <c r="P64" s="437">
        <v>300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 t="s">
        <v>326</v>
      </c>
      <c r="D65" s="162"/>
      <c r="E65" s="164" t="s">
        <v>372</v>
      </c>
      <c r="F65" s="434" t="s">
        <v>373</v>
      </c>
      <c r="G65" s="434"/>
      <c r="H65" s="434"/>
      <c r="I65" s="434"/>
      <c r="J65" s="434"/>
      <c r="K65" s="434" t="s">
        <v>370</v>
      </c>
      <c r="L65" s="434"/>
      <c r="M65" s="54" t="s">
        <v>374</v>
      </c>
      <c r="N65" s="434">
        <v>13</v>
      </c>
      <c r="O65" s="434"/>
      <c r="P65" s="437">
        <v>150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/>
      <c r="D66" s="162"/>
      <c r="E66" s="164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162"/>
      <c r="E67" s="164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162"/>
      <c r="E68" s="164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162"/>
      <c r="E69" s="164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162"/>
      <c r="E70" s="164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375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165" t="s">
        <v>2</v>
      </c>
      <c r="D72" s="165" t="s">
        <v>38</v>
      </c>
      <c r="E72" s="165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163" t="s">
        <v>62</v>
      </c>
      <c r="D73" s="163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162" t="s">
        <v>135</v>
      </c>
      <c r="D74" s="162"/>
      <c r="E74" s="35" t="s">
        <v>123</v>
      </c>
      <c r="F74" s="447" t="s">
        <v>376</v>
      </c>
      <c r="G74" s="447"/>
      <c r="H74" s="447"/>
      <c r="I74" s="447"/>
      <c r="J74" s="447"/>
      <c r="K74" s="448" t="s">
        <v>377</v>
      </c>
      <c r="L74" s="449"/>
      <c r="M74" s="449"/>
      <c r="N74" s="449"/>
      <c r="O74" s="449"/>
      <c r="P74" s="449"/>
      <c r="Q74" s="449"/>
      <c r="R74" s="449"/>
      <c r="S74" s="450"/>
      <c r="T74" s="451">
        <v>42772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162" t="s">
        <v>62</v>
      </c>
      <c r="D75" s="162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162" t="s">
        <v>62</v>
      </c>
      <c r="D76" s="162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162" t="s">
        <v>62</v>
      </c>
      <c r="D77" s="162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162" t="s">
        <v>135</v>
      </c>
      <c r="D78" s="162"/>
      <c r="E78" s="35" t="s">
        <v>160</v>
      </c>
      <c r="F78" s="447" t="s">
        <v>236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162" t="s">
        <v>181</v>
      </c>
      <c r="D79" s="162"/>
      <c r="E79" s="35"/>
      <c r="F79" s="447" t="s">
        <v>162</v>
      </c>
      <c r="G79" s="447"/>
      <c r="H79" s="447"/>
      <c r="I79" s="447"/>
      <c r="J79" s="447"/>
      <c r="K79" s="448" t="s">
        <v>183</v>
      </c>
      <c r="L79" s="449"/>
      <c r="M79" s="449"/>
      <c r="N79" s="449"/>
      <c r="O79" s="449"/>
      <c r="P79" s="449"/>
      <c r="Q79" s="449"/>
      <c r="R79" s="449"/>
      <c r="S79" s="450"/>
      <c r="T79" s="451">
        <v>42759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162"/>
      <c r="D80" s="162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162"/>
      <c r="D81" s="162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378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view="pageBreakPreview" topLeftCell="A40" zoomScale="70" zoomScaleNormal="70" zoomScaleSheetLayoutView="70" workbookViewId="0">
      <selection activeCell="C66" sqref="C66:O6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379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286</v>
      </c>
      <c r="E6" s="56" t="s">
        <v>287</v>
      </c>
      <c r="F6" s="12" t="s">
        <v>158</v>
      </c>
      <c r="G6" s="36">
        <v>1</v>
      </c>
      <c r="H6" s="38">
        <v>25</v>
      </c>
      <c r="I6" s="7">
        <v>5000</v>
      </c>
      <c r="J6" s="14">
        <v>4830</v>
      </c>
      <c r="K6" s="15">
        <f>L6+3543+4332</f>
        <v>12696</v>
      </c>
      <c r="L6" s="15">
        <f>2523+2298</f>
        <v>4821</v>
      </c>
      <c r="M6" s="16">
        <f t="shared" ref="M6:M21" si="0">L6-N6</f>
        <v>4821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0.99813664596273288</v>
      </c>
      <c r="AC6" s="9">
        <f t="shared" ref="AC6:AC21" si="5">IF(P6=0,"0",(P6/24))</f>
        <v>1</v>
      </c>
      <c r="AD6" s="10">
        <f t="shared" ref="AD6:AD21" si="6">AC6*AB6*(1-O6)</f>
        <v>0.99813664596273288</v>
      </c>
      <c r="AE6" s="39">
        <f t="shared" ref="AE6:AE21" si="7">$AD$22</f>
        <v>0.5105223198666905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37" t="s">
        <v>381</v>
      </c>
      <c r="D7" s="55" t="s">
        <v>382</v>
      </c>
      <c r="E7" s="57" t="s">
        <v>383</v>
      </c>
      <c r="F7" s="33" t="s">
        <v>384</v>
      </c>
      <c r="G7" s="36">
        <v>1</v>
      </c>
      <c r="H7" s="38">
        <v>25</v>
      </c>
      <c r="I7" s="7">
        <v>500</v>
      </c>
      <c r="J7" s="5">
        <v>510</v>
      </c>
      <c r="K7" s="15">
        <f>L7</f>
        <v>509</v>
      </c>
      <c r="L7" s="15">
        <v>509</v>
      </c>
      <c r="M7" s="16">
        <f t="shared" si="0"/>
        <v>509</v>
      </c>
      <c r="N7" s="16">
        <v>0</v>
      </c>
      <c r="O7" s="62">
        <f t="shared" si="1"/>
        <v>0</v>
      </c>
      <c r="P7" s="42">
        <f t="shared" si="2"/>
        <v>5</v>
      </c>
      <c r="Q7" s="43">
        <f t="shared" si="3"/>
        <v>19</v>
      </c>
      <c r="R7" s="7"/>
      <c r="S7" s="6"/>
      <c r="T7" s="17"/>
      <c r="U7" s="17"/>
      <c r="V7" s="18"/>
      <c r="W7" s="19">
        <v>19</v>
      </c>
      <c r="X7" s="17"/>
      <c r="Y7" s="20"/>
      <c r="Z7" s="20"/>
      <c r="AA7" s="21"/>
      <c r="AB7" s="8">
        <f t="shared" si="4"/>
        <v>0.99803921568627452</v>
      </c>
      <c r="AC7" s="9">
        <f t="shared" si="5"/>
        <v>0.20833333333333334</v>
      </c>
      <c r="AD7" s="10">
        <f t="shared" si="6"/>
        <v>0.2079248366013072</v>
      </c>
      <c r="AE7" s="39">
        <f t="shared" si="7"/>
        <v>0.5105223198666905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0.5105223198666905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288</v>
      </c>
      <c r="E9" s="57" t="s">
        <v>289</v>
      </c>
      <c r="F9" s="12" t="s">
        <v>290</v>
      </c>
      <c r="G9" s="12">
        <v>1</v>
      </c>
      <c r="H9" s="13">
        <v>25</v>
      </c>
      <c r="I9" s="34">
        <v>5000</v>
      </c>
      <c r="J9" s="5">
        <v>5680</v>
      </c>
      <c r="K9" s="15">
        <f>L9+2393+5101</f>
        <v>13172</v>
      </c>
      <c r="L9" s="15">
        <f>2960+2718</f>
        <v>5678</v>
      </c>
      <c r="M9" s="16">
        <f t="shared" si="0"/>
        <v>5678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0.99964788732394361</v>
      </c>
      <c r="AC9" s="9">
        <f t="shared" si="5"/>
        <v>1</v>
      </c>
      <c r="AD9" s="10">
        <f t="shared" si="6"/>
        <v>0.99964788732394361</v>
      </c>
      <c r="AE9" s="39">
        <f t="shared" si="7"/>
        <v>0.5105223198666905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200</v>
      </c>
      <c r="D10" s="55" t="s">
        <v>327</v>
      </c>
      <c r="E10" s="57" t="s">
        <v>328</v>
      </c>
      <c r="F10" s="12" t="s">
        <v>329</v>
      </c>
      <c r="G10" s="12">
        <v>1</v>
      </c>
      <c r="H10" s="13">
        <v>25</v>
      </c>
      <c r="I10" s="34">
        <v>300</v>
      </c>
      <c r="J10" s="5">
        <v>1180</v>
      </c>
      <c r="K10" s="15">
        <f>L10+1177</f>
        <v>1177</v>
      </c>
      <c r="L10" s="15">
        <v>0</v>
      </c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0.5105223198666905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6" t="s">
        <v>132</v>
      </c>
      <c r="F11" s="12" t="s">
        <v>130</v>
      </c>
      <c r="G11" s="12">
        <v>1</v>
      </c>
      <c r="H11" s="13">
        <v>25</v>
      </c>
      <c r="I11" s="34">
        <v>20000</v>
      </c>
      <c r="J11" s="14">
        <v>1100</v>
      </c>
      <c r="K11" s="15">
        <f>L11+3397+5902+5775+5723+3895</f>
        <v>25792</v>
      </c>
      <c r="L11" s="15">
        <v>1100</v>
      </c>
      <c r="M11" s="16">
        <f t="shared" si="0"/>
        <v>1100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9">
        <f t="shared" si="7"/>
        <v>0.5105223198666905</v>
      </c>
      <c r="AF11" s="94">
        <f t="shared" si="8"/>
        <v>6</v>
      </c>
    </row>
    <row r="12" spans="1:32" ht="27" customHeight="1">
      <c r="A12" s="110">
        <v>6</v>
      </c>
      <c r="B12" s="11" t="s">
        <v>59</v>
      </c>
      <c r="C12" s="11" t="s">
        <v>381</v>
      </c>
      <c r="D12" s="55" t="s">
        <v>385</v>
      </c>
      <c r="E12" s="56" t="s">
        <v>386</v>
      </c>
      <c r="F12" s="12" t="s">
        <v>387</v>
      </c>
      <c r="G12" s="12">
        <v>1</v>
      </c>
      <c r="H12" s="13">
        <v>25</v>
      </c>
      <c r="I12" s="34">
        <v>5000</v>
      </c>
      <c r="J12" s="14">
        <v>4070</v>
      </c>
      <c r="K12" s="15">
        <f>L12</f>
        <v>4062</v>
      </c>
      <c r="L12" s="15">
        <f>1389+2673</f>
        <v>4062</v>
      </c>
      <c r="M12" s="16">
        <f t="shared" ref="M12" si="9">L12-N12</f>
        <v>4062</v>
      </c>
      <c r="N12" s="16">
        <v>0</v>
      </c>
      <c r="O12" s="62">
        <f t="shared" ref="O12" si="10">IF(L12=0,"0",N12/L12)</f>
        <v>0</v>
      </c>
      <c r="P12" s="42">
        <f t="shared" ref="P12" si="11">IF(L12=0,"0",(24-Q12))</f>
        <v>17</v>
      </c>
      <c r="Q12" s="43">
        <f t="shared" ref="Q12" si="12">SUM(R12:AA12)</f>
        <v>7</v>
      </c>
      <c r="R12" s="7"/>
      <c r="S12" s="6"/>
      <c r="T12" s="17">
        <v>7</v>
      </c>
      <c r="U12" s="17"/>
      <c r="V12" s="18"/>
      <c r="W12" s="19"/>
      <c r="X12" s="17"/>
      <c r="Y12" s="20"/>
      <c r="Z12" s="20"/>
      <c r="AA12" s="21"/>
      <c r="AB12" s="8">
        <f t="shared" ref="AB12" si="13">IF(J12=0,"0",(L12/J12))</f>
        <v>0.99803439803439808</v>
      </c>
      <c r="AC12" s="9">
        <f t="shared" ref="AC12" si="14">IF(P12=0,"0",(P12/24))</f>
        <v>0.70833333333333337</v>
      </c>
      <c r="AD12" s="10">
        <f t="shared" ref="AD12" si="15">AC12*AB12*(1-O12)</f>
        <v>0.70694103194103197</v>
      </c>
      <c r="AE12" s="39">
        <f t="shared" si="7"/>
        <v>0.5105223198666905</v>
      </c>
      <c r="AF12" s="94">
        <f t="shared" ref="AF12" si="16">A12</f>
        <v>6</v>
      </c>
    </row>
    <row r="13" spans="1:32" ht="27" customHeight="1">
      <c r="A13" s="110">
        <v>7</v>
      </c>
      <c r="B13" s="11" t="s">
        <v>59</v>
      </c>
      <c r="C13" s="37" t="s">
        <v>135</v>
      </c>
      <c r="D13" s="55" t="s">
        <v>330</v>
      </c>
      <c r="E13" s="57" t="s">
        <v>331</v>
      </c>
      <c r="F13" s="12">
        <v>7301</v>
      </c>
      <c r="G13" s="12">
        <v>2</v>
      </c>
      <c r="H13" s="13">
        <v>25</v>
      </c>
      <c r="I13" s="34">
        <v>5000</v>
      </c>
      <c r="J13" s="5">
        <v>9160</v>
      </c>
      <c r="K13" s="15">
        <f>L13+9996</f>
        <v>19150</v>
      </c>
      <c r="L13" s="15">
        <f>3056*2+1521*2</f>
        <v>9154</v>
      </c>
      <c r="M13" s="16">
        <f t="shared" si="0"/>
        <v>9154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>
        <v>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0.99934497816593881</v>
      </c>
      <c r="AC13" s="9">
        <f t="shared" si="5"/>
        <v>0.79166666666666663</v>
      </c>
      <c r="AD13" s="10">
        <f t="shared" si="6"/>
        <v>0.79114810771470157</v>
      </c>
      <c r="AE13" s="39">
        <f t="shared" si="7"/>
        <v>0.5105223198666905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135</v>
      </c>
      <c r="D14" s="55" t="s">
        <v>167</v>
      </c>
      <c r="E14" s="57" t="s">
        <v>291</v>
      </c>
      <c r="F14" s="12" t="s">
        <v>292</v>
      </c>
      <c r="G14" s="12">
        <v>1</v>
      </c>
      <c r="H14" s="13">
        <v>25</v>
      </c>
      <c r="I14" s="7">
        <v>5000</v>
      </c>
      <c r="J14" s="14">
        <v>4160</v>
      </c>
      <c r="K14" s="15">
        <f>L14+4480+1541</f>
        <v>10173</v>
      </c>
      <c r="L14" s="15">
        <f>3178+974</f>
        <v>4152</v>
      </c>
      <c r="M14" s="16">
        <f t="shared" si="0"/>
        <v>4152</v>
      </c>
      <c r="N14" s="16">
        <v>0</v>
      </c>
      <c r="O14" s="62">
        <f t="shared" si="1"/>
        <v>0</v>
      </c>
      <c r="P14" s="42">
        <f t="shared" si="2"/>
        <v>18</v>
      </c>
      <c r="Q14" s="43">
        <f t="shared" si="3"/>
        <v>6</v>
      </c>
      <c r="R14" s="7"/>
      <c r="S14" s="6">
        <v>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0.99807692307692308</v>
      </c>
      <c r="AC14" s="9">
        <f t="shared" si="5"/>
        <v>0.75</v>
      </c>
      <c r="AD14" s="10">
        <f t="shared" si="6"/>
        <v>0.74855769230769231</v>
      </c>
      <c r="AE14" s="39">
        <f t="shared" si="7"/>
        <v>0.5105223198666905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188</v>
      </c>
      <c r="F15" s="33" t="s">
        <v>137</v>
      </c>
      <c r="G15" s="36">
        <v>1</v>
      </c>
      <c r="H15" s="38">
        <v>50</v>
      </c>
      <c r="I15" s="7">
        <v>100</v>
      </c>
      <c r="J15" s="5">
        <v>260</v>
      </c>
      <c r="K15" s="15">
        <f>L15+258</f>
        <v>258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0.5105223198666905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293</v>
      </c>
      <c r="D16" s="55" t="s">
        <v>294</v>
      </c>
      <c r="E16" s="57"/>
      <c r="F16" s="12" t="s">
        <v>295</v>
      </c>
      <c r="G16" s="12">
        <v>3</v>
      </c>
      <c r="H16" s="13">
        <v>12</v>
      </c>
      <c r="I16" s="34">
        <v>60000</v>
      </c>
      <c r="J16" s="5">
        <v>25070</v>
      </c>
      <c r="K16" s="15">
        <f>L16+23046+22200</f>
        <v>70314</v>
      </c>
      <c r="L16" s="15">
        <f>4347*3+4009*3</f>
        <v>25068</v>
      </c>
      <c r="M16" s="16">
        <f t="shared" si="0"/>
        <v>25068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0.99992022337455122</v>
      </c>
      <c r="AC16" s="9">
        <f t="shared" si="5"/>
        <v>1</v>
      </c>
      <c r="AD16" s="10">
        <f t="shared" si="6"/>
        <v>0.99992022337455122</v>
      </c>
      <c r="AE16" s="39">
        <f t="shared" si="7"/>
        <v>0.5105223198666905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62</v>
      </c>
      <c r="D17" s="55" t="s">
        <v>167</v>
      </c>
      <c r="E17" s="56" t="s">
        <v>168</v>
      </c>
      <c r="F17" s="12">
        <v>7301</v>
      </c>
      <c r="G17" s="36">
        <v>1</v>
      </c>
      <c r="H17" s="38">
        <v>25</v>
      </c>
      <c r="I17" s="7">
        <v>25000</v>
      </c>
      <c r="J17" s="14">
        <v>3480</v>
      </c>
      <c r="K17" s="15">
        <f>L17+2789+3754+5488+5482+3769</f>
        <v>24758</v>
      </c>
      <c r="L17" s="15">
        <f>836+2640</f>
        <v>3476</v>
      </c>
      <c r="M17" s="16">
        <f t="shared" si="0"/>
        <v>3476</v>
      </c>
      <c r="N17" s="16">
        <v>0</v>
      </c>
      <c r="O17" s="62">
        <f t="shared" si="1"/>
        <v>0</v>
      </c>
      <c r="P17" s="42">
        <f t="shared" si="2"/>
        <v>17</v>
      </c>
      <c r="Q17" s="43">
        <f t="shared" si="3"/>
        <v>7</v>
      </c>
      <c r="R17" s="7"/>
      <c r="S17" s="6"/>
      <c r="T17" s="17"/>
      <c r="U17" s="17"/>
      <c r="V17" s="18"/>
      <c r="W17" s="19">
        <v>7</v>
      </c>
      <c r="X17" s="17"/>
      <c r="Y17" s="20"/>
      <c r="Z17" s="20"/>
      <c r="AA17" s="21"/>
      <c r="AB17" s="8">
        <f t="shared" si="4"/>
        <v>0.99885057471264371</v>
      </c>
      <c r="AC17" s="9">
        <f t="shared" si="5"/>
        <v>0.70833333333333337</v>
      </c>
      <c r="AD17" s="10">
        <f t="shared" si="6"/>
        <v>0.70751915708812263</v>
      </c>
      <c r="AE17" s="39">
        <f t="shared" si="7"/>
        <v>0.5105223198666905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62</v>
      </c>
      <c r="D18" s="55" t="s">
        <v>189</v>
      </c>
      <c r="E18" s="56" t="s">
        <v>190</v>
      </c>
      <c r="F18" s="12">
        <v>8301</v>
      </c>
      <c r="G18" s="12">
        <v>1</v>
      </c>
      <c r="H18" s="13">
        <v>25</v>
      </c>
      <c r="I18" s="34">
        <v>15000</v>
      </c>
      <c r="J18" s="5">
        <v>2690</v>
      </c>
      <c r="K18" s="15">
        <f>L18+4858+6385+2490</f>
        <v>13733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0.5105223198666905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135</v>
      </c>
      <c r="D19" s="55" t="s">
        <v>388</v>
      </c>
      <c r="E19" s="56" t="s">
        <v>389</v>
      </c>
      <c r="F19" s="33" t="s">
        <v>390</v>
      </c>
      <c r="G19" s="36">
        <v>1</v>
      </c>
      <c r="H19" s="38">
        <v>25</v>
      </c>
      <c r="I19" s="7">
        <v>8000</v>
      </c>
      <c r="J19" s="5">
        <v>2460</v>
      </c>
      <c r="K19" s="15">
        <f>L19</f>
        <v>2460</v>
      </c>
      <c r="L19" s="15">
        <f>2460</f>
        <v>2460</v>
      </c>
      <c r="M19" s="16">
        <f t="shared" si="0"/>
        <v>2460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9">
        <f t="shared" si="7"/>
        <v>0.5105223198666905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135</v>
      </c>
      <c r="D20" s="55" t="s">
        <v>391</v>
      </c>
      <c r="E20" s="57" t="s">
        <v>392</v>
      </c>
      <c r="F20" s="33" t="s">
        <v>390</v>
      </c>
      <c r="G20" s="36">
        <v>1</v>
      </c>
      <c r="H20" s="38">
        <v>25</v>
      </c>
      <c r="I20" s="34">
        <v>10000</v>
      </c>
      <c r="J20" s="5">
        <v>3060</v>
      </c>
      <c r="K20" s="15">
        <f>L20</f>
        <v>3051</v>
      </c>
      <c r="L20" s="15">
        <v>3051</v>
      </c>
      <c r="M20" s="16">
        <f t="shared" si="0"/>
        <v>3051</v>
      </c>
      <c r="N20" s="16">
        <v>0</v>
      </c>
      <c r="O20" s="62">
        <f t="shared" si="1"/>
        <v>0</v>
      </c>
      <c r="P20" s="42">
        <f t="shared" si="2"/>
        <v>16</v>
      </c>
      <c r="Q20" s="43">
        <f t="shared" si="3"/>
        <v>8</v>
      </c>
      <c r="R20" s="7"/>
      <c r="S20" s="6"/>
      <c r="T20" s="17">
        <v>8</v>
      </c>
      <c r="U20" s="17"/>
      <c r="V20" s="18"/>
      <c r="W20" s="19"/>
      <c r="X20" s="17"/>
      <c r="Y20" s="20"/>
      <c r="Z20" s="20"/>
      <c r="AA20" s="21"/>
      <c r="AB20" s="8">
        <f t="shared" si="4"/>
        <v>0.99705882352941178</v>
      </c>
      <c r="AC20" s="9">
        <f t="shared" si="5"/>
        <v>0.66666666666666663</v>
      </c>
      <c r="AD20" s="10">
        <f t="shared" si="6"/>
        <v>0.66470588235294115</v>
      </c>
      <c r="AE20" s="39">
        <f t="shared" si="7"/>
        <v>0.5105223198666905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144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46440</v>
      </c>
      <c r="K21" s="15">
        <f>L21+46064+56292+46436</f>
        <v>148792</v>
      </c>
      <c r="L21" s="15">
        <v>0</v>
      </c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0.5105223198666905</v>
      </c>
      <c r="AF21" s="94">
        <f t="shared" si="8"/>
        <v>15</v>
      </c>
    </row>
    <row r="22" spans="1:32" ht="31.5" customHeight="1" thickBot="1">
      <c r="A22" s="386" t="s">
        <v>34</v>
      </c>
      <c r="B22" s="387"/>
      <c r="C22" s="387"/>
      <c r="D22" s="387"/>
      <c r="E22" s="387"/>
      <c r="F22" s="387"/>
      <c r="G22" s="387"/>
      <c r="H22" s="388"/>
      <c r="I22" s="25">
        <f t="shared" ref="I22:N22" si="17">SUM(I6:I21)</f>
        <v>863900</v>
      </c>
      <c r="J22" s="22">
        <f t="shared" si="17"/>
        <v>124760</v>
      </c>
      <c r="K22" s="23">
        <f t="shared" si="17"/>
        <v>588305</v>
      </c>
      <c r="L22" s="24">
        <f t="shared" si="17"/>
        <v>63531</v>
      </c>
      <c r="M22" s="23">
        <f t="shared" si="17"/>
        <v>63531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184</v>
      </c>
      <c r="Q22" s="46">
        <f t="shared" si="18"/>
        <v>200</v>
      </c>
      <c r="R22" s="26">
        <f t="shared" si="18"/>
        <v>0</v>
      </c>
      <c r="S22" s="27">
        <f t="shared" si="18"/>
        <v>45</v>
      </c>
      <c r="T22" s="27">
        <f t="shared" si="18"/>
        <v>15</v>
      </c>
      <c r="U22" s="27">
        <f t="shared" si="18"/>
        <v>0</v>
      </c>
      <c r="V22" s="28">
        <f t="shared" si="18"/>
        <v>0</v>
      </c>
      <c r="W22" s="29">
        <f t="shared" si="18"/>
        <v>140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0.73247397799112124</v>
      </c>
      <c r="AC22" s="4">
        <f>SUM(AC6:AC21)/15</f>
        <v>0.51111111111111107</v>
      </c>
      <c r="AD22" s="4">
        <f>SUM(AD6:AD21)/15</f>
        <v>0.5105223198666905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9" t="s">
        <v>46</v>
      </c>
      <c r="B49" s="389"/>
      <c r="C49" s="389"/>
      <c r="D49" s="389"/>
      <c r="E49" s="38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90" t="s">
        <v>393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2"/>
      <c r="N50" s="393" t="s">
        <v>411</v>
      </c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/>
      <c r="AC50" s="394"/>
      <c r="AD50" s="395"/>
    </row>
    <row r="51" spans="1:32" ht="27" customHeight="1">
      <c r="A51" s="396" t="s">
        <v>2</v>
      </c>
      <c r="B51" s="397"/>
      <c r="C51" s="175" t="s">
        <v>47</v>
      </c>
      <c r="D51" s="175" t="s">
        <v>48</v>
      </c>
      <c r="E51" s="175" t="s">
        <v>113</v>
      </c>
      <c r="F51" s="397" t="s">
        <v>112</v>
      </c>
      <c r="G51" s="397"/>
      <c r="H51" s="397"/>
      <c r="I51" s="397"/>
      <c r="J51" s="397"/>
      <c r="K51" s="397"/>
      <c r="L51" s="397"/>
      <c r="M51" s="398"/>
      <c r="N51" s="73" t="s">
        <v>117</v>
      </c>
      <c r="O51" s="175" t="s">
        <v>47</v>
      </c>
      <c r="P51" s="399" t="s">
        <v>48</v>
      </c>
      <c r="Q51" s="400"/>
      <c r="R51" s="399" t="s">
        <v>39</v>
      </c>
      <c r="S51" s="401"/>
      <c r="T51" s="401"/>
      <c r="U51" s="400"/>
      <c r="V51" s="399" t="s">
        <v>49</v>
      </c>
      <c r="W51" s="401"/>
      <c r="X51" s="401"/>
      <c r="Y51" s="401"/>
      <c r="Z51" s="401"/>
      <c r="AA51" s="401"/>
      <c r="AB51" s="401"/>
      <c r="AC51" s="401"/>
      <c r="AD51" s="402"/>
    </row>
    <row r="52" spans="1:32" ht="27" customHeight="1">
      <c r="A52" s="413" t="s">
        <v>135</v>
      </c>
      <c r="B52" s="414"/>
      <c r="C52" s="176" t="s">
        <v>334</v>
      </c>
      <c r="D52" s="177" t="s">
        <v>330</v>
      </c>
      <c r="E52" s="176" t="s">
        <v>331</v>
      </c>
      <c r="F52" s="415" t="s">
        <v>394</v>
      </c>
      <c r="G52" s="415"/>
      <c r="H52" s="415"/>
      <c r="I52" s="415"/>
      <c r="J52" s="415"/>
      <c r="K52" s="415"/>
      <c r="L52" s="415"/>
      <c r="M52" s="416"/>
      <c r="N52" s="178" t="s">
        <v>213</v>
      </c>
      <c r="O52" s="74" t="s">
        <v>412</v>
      </c>
      <c r="P52" s="417" t="s">
        <v>413</v>
      </c>
      <c r="Q52" s="418"/>
      <c r="R52" s="419" t="s">
        <v>414</v>
      </c>
      <c r="S52" s="419"/>
      <c r="T52" s="419"/>
      <c r="U52" s="419"/>
      <c r="V52" s="415" t="s">
        <v>415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297</v>
      </c>
      <c r="B53" s="414"/>
      <c r="C53" s="176" t="s">
        <v>208</v>
      </c>
      <c r="D53" s="177" t="s">
        <v>300</v>
      </c>
      <c r="E53" s="176" t="s">
        <v>291</v>
      </c>
      <c r="F53" s="415" t="s">
        <v>395</v>
      </c>
      <c r="G53" s="415"/>
      <c r="H53" s="415"/>
      <c r="I53" s="415"/>
      <c r="J53" s="415"/>
      <c r="K53" s="415"/>
      <c r="L53" s="415"/>
      <c r="M53" s="416"/>
      <c r="N53" s="178"/>
      <c r="O53" s="74"/>
      <c r="P53" s="417"/>
      <c r="Q53" s="418"/>
      <c r="R53" s="419"/>
      <c r="S53" s="419"/>
      <c r="T53" s="419"/>
      <c r="U53" s="419"/>
      <c r="V53" s="415"/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20" t="s">
        <v>200</v>
      </c>
      <c r="B54" s="419"/>
      <c r="C54" s="177" t="s">
        <v>396</v>
      </c>
      <c r="D54" s="177" t="s">
        <v>397</v>
      </c>
      <c r="E54" s="176" t="s">
        <v>398</v>
      </c>
      <c r="F54" s="415" t="s">
        <v>170</v>
      </c>
      <c r="G54" s="415"/>
      <c r="H54" s="415"/>
      <c r="I54" s="415"/>
      <c r="J54" s="415"/>
      <c r="K54" s="415"/>
      <c r="L54" s="415"/>
      <c r="M54" s="416"/>
      <c r="N54" s="178"/>
      <c r="O54" s="74"/>
      <c r="P54" s="419"/>
      <c r="Q54" s="419"/>
      <c r="R54" s="419"/>
      <c r="S54" s="419"/>
      <c r="T54" s="419"/>
      <c r="U54" s="419"/>
      <c r="V54" s="415"/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399</v>
      </c>
      <c r="B55" s="414"/>
      <c r="C55" s="176" t="s">
        <v>400</v>
      </c>
      <c r="D55" s="177" t="s">
        <v>401</v>
      </c>
      <c r="E55" s="176" t="s">
        <v>402</v>
      </c>
      <c r="F55" s="415" t="s">
        <v>170</v>
      </c>
      <c r="G55" s="415"/>
      <c r="H55" s="415"/>
      <c r="I55" s="415"/>
      <c r="J55" s="415"/>
      <c r="K55" s="415"/>
      <c r="L55" s="415"/>
      <c r="M55" s="416"/>
      <c r="N55" s="178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403</v>
      </c>
      <c r="B56" s="414"/>
      <c r="C56" s="176" t="s">
        <v>404</v>
      </c>
      <c r="D56" s="177" t="s">
        <v>388</v>
      </c>
      <c r="E56" s="176" t="s">
        <v>405</v>
      </c>
      <c r="F56" s="415" t="s">
        <v>406</v>
      </c>
      <c r="G56" s="415"/>
      <c r="H56" s="415"/>
      <c r="I56" s="415"/>
      <c r="J56" s="415"/>
      <c r="K56" s="415"/>
      <c r="L56" s="415"/>
      <c r="M56" s="416"/>
      <c r="N56" s="178"/>
      <c r="O56" s="74"/>
      <c r="P56" s="417"/>
      <c r="Q56" s="418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13" t="s">
        <v>407</v>
      </c>
      <c r="B57" s="414"/>
      <c r="C57" s="176" t="s">
        <v>408</v>
      </c>
      <c r="D57" s="177" t="s">
        <v>409</v>
      </c>
      <c r="E57" s="176" t="s">
        <v>410</v>
      </c>
      <c r="F57" s="415" t="s">
        <v>170</v>
      </c>
      <c r="G57" s="415"/>
      <c r="H57" s="415"/>
      <c r="I57" s="415"/>
      <c r="J57" s="415"/>
      <c r="K57" s="415"/>
      <c r="L57" s="415"/>
      <c r="M57" s="416"/>
      <c r="N57" s="178"/>
      <c r="O57" s="74"/>
      <c r="P57" s="419"/>
      <c r="Q57" s="419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20"/>
      <c r="B58" s="419"/>
      <c r="C58" s="177"/>
      <c r="D58" s="177"/>
      <c r="E58" s="176"/>
      <c r="F58" s="415"/>
      <c r="G58" s="415"/>
      <c r="H58" s="415"/>
      <c r="I58" s="415"/>
      <c r="J58" s="415"/>
      <c r="K58" s="415"/>
      <c r="L58" s="415"/>
      <c r="M58" s="416"/>
      <c r="N58" s="178"/>
      <c r="O58" s="74"/>
      <c r="P58" s="417"/>
      <c r="Q58" s="418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13"/>
      <c r="B59" s="414"/>
      <c r="C59" s="176"/>
      <c r="D59" s="177"/>
      <c r="E59" s="176"/>
      <c r="F59" s="415"/>
      <c r="G59" s="415"/>
      <c r="H59" s="415"/>
      <c r="I59" s="415"/>
      <c r="J59" s="415"/>
      <c r="K59" s="415"/>
      <c r="L59" s="415"/>
      <c r="M59" s="416"/>
      <c r="N59" s="178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20"/>
      <c r="B60" s="419"/>
      <c r="C60" s="177"/>
      <c r="D60" s="177"/>
      <c r="E60" s="177"/>
      <c r="F60" s="415"/>
      <c r="G60" s="415"/>
      <c r="H60" s="415"/>
      <c r="I60" s="415"/>
      <c r="J60" s="415"/>
      <c r="K60" s="415"/>
      <c r="L60" s="415"/>
      <c r="M60" s="416"/>
      <c r="N60" s="178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  <c r="AF60" s="94">
        <f>8*3000</f>
        <v>24000</v>
      </c>
    </row>
    <row r="61" spans="1:32" ht="27" customHeight="1" thickBot="1">
      <c r="A61" s="421"/>
      <c r="B61" s="422"/>
      <c r="C61" s="180"/>
      <c r="D61" s="180"/>
      <c r="E61" s="180"/>
      <c r="F61" s="423"/>
      <c r="G61" s="423"/>
      <c r="H61" s="423"/>
      <c r="I61" s="423"/>
      <c r="J61" s="423"/>
      <c r="K61" s="423"/>
      <c r="L61" s="423"/>
      <c r="M61" s="424"/>
      <c r="N61" s="179"/>
      <c r="O61" s="121"/>
      <c r="P61" s="422"/>
      <c r="Q61" s="422"/>
      <c r="R61" s="422"/>
      <c r="S61" s="422"/>
      <c r="T61" s="422"/>
      <c r="U61" s="422"/>
      <c r="V61" s="423"/>
      <c r="W61" s="423"/>
      <c r="X61" s="423"/>
      <c r="Y61" s="423"/>
      <c r="Z61" s="423"/>
      <c r="AA61" s="423"/>
      <c r="AB61" s="423"/>
      <c r="AC61" s="423"/>
      <c r="AD61" s="424"/>
      <c r="AF61" s="94">
        <f>16*3000</f>
        <v>48000</v>
      </c>
    </row>
    <row r="62" spans="1:32" ht="27.75" thickBot="1">
      <c r="A62" s="425" t="s">
        <v>416</v>
      </c>
      <c r="B62" s="425"/>
      <c r="C62" s="425"/>
      <c r="D62" s="425"/>
      <c r="E62" s="425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6" t="s">
        <v>118</v>
      </c>
      <c r="B63" s="427"/>
      <c r="C63" s="181" t="s">
        <v>2</v>
      </c>
      <c r="D63" s="181" t="s">
        <v>38</v>
      </c>
      <c r="E63" s="181" t="s">
        <v>3</v>
      </c>
      <c r="F63" s="427" t="s">
        <v>115</v>
      </c>
      <c r="G63" s="427"/>
      <c r="H63" s="427"/>
      <c r="I63" s="427"/>
      <c r="J63" s="427"/>
      <c r="K63" s="427" t="s">
        <v>40</v>
      </c>
      <c r="L63" s="427"/>
      <c r="M63" s="181" t="s">
        <v>41</v>
      </c>
      <c r="N63" s="427" t="s">
        <v>42</v>
      </c>
      <c r="O63" s="427"/>
      <c r="P63" s="428" t="s">
        <v>43</v>
      </c>
      <c r="Q63" s="429"/>
      <c r="R63" s="428" t="s">
        <v>44</v>
      </c>
      <c r="S63" s="430"/>
      <c r="T63" s="430"/>
      <c r="U63" s="430"/>
      <c r="V63" s="430"/>
      <c r="W63" s="430"/>
      <c r="X63" s="430"/>
      <c r="Y63" s="430"/>
      <c r="Z63" s="430"/>
      <c r="AA63" s="429"/>
      <c r="AB63" s="427" t="s">
        <v>45</v>
      </c>
      <c r="AC63" s="427"/>
      <c r="AD63" s="431"/>
      <c r="AF63" s="94">
        <f>SUM(AF60:AF62)</f>
        <v>96000</v>
      </c>
    </row>
    <row r="64" spans="1:32" ht="26.25" customHeight="1">
      <c r="A64" s="432">
        <v>1</v>
      </c>
      <c r="B64" s="433"/>
      <c r="C64" s="123" t="s">
        <v>200</v>
      </c>
      <c r="D64" s="184"/>
      <c r="E64" s="182" t="s">
        <v>397</v>
      </c>
      <c r="F64" s="434" t="s">
        <v>417</v>
      </c>
      <c r="G64" s="434"/>
      <c r="H64" s="434"/>
      <c r="I64" s="434"/>
      <c r="J64" s="434"/>
      <c r="K64" s="435">
        <v>7301</v>
      </c>
      <c r="L64" s="436"/>
      <c r="M64" s="54" t="s">
        <v>323</v>
      </c>
      <c r="N64" s="434">
        <v>2</v>
      </c>
      <c r="O64" s="434"/>
      <c r="P64" s="437">
        <v>10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2</v>
      </c>
      <c r="B65" s="433"/>
      <c r="C65" s="123" t="s">
        <v>407</v>
      </c>
      <c r="D65" s="184"/>
      <c r="E65" s="182" t="s">
        <v>418</v>
      </c>
      <c r="F65" s="434" t="s">
        <v>419</v>
      </c>
      <c r="G65" s="434"/>
      <c r="H65" s="434"/>
      <c r="I65" s="434"/>
      <c r="J65" s="434"/>
      <c r="K65" s="434" t="s">
        <v>420</v>
      </c>
      <c r="L65" s="434"/>
      <c r="M65" s="54" t="s">
        <v>421</v>
      </c>
      <c r="N65" s="434">
        <v>5</v>
      </c>
      <c r="O65" s="434"/>
      <c r="P65" s="437">
        <v>100</v>
      </c>
      <c r="Q65" s="437"/>
      <c r="R65" s="415" t="s">
        <v>422</v>
      </c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3</v>
      </c>
      <c r="B66" s="433"/>
      <c r="C66" s="123" t="s">
        <v>423</v>
      </c>
      <c r="D66" s="184"/>
      <c r="E66" s="182" t="s">
        <v>424</v>
      </c>
      <c r="F66" s="434" t="s">
        <v>425</v>
      </c>
      <c r="G66" s="434"/>
      <c r="H66" s="434"/>
      <c r="I66" s="434"/>
      <c r="J66" s="434"/>
      <c r="K66" s="434" t="s">
        <v>426</v>
      </c>
      <c r="L66" s="434"/>
      <c r="M66" s="54" t="s">
        <v>427</v>
      </c>
      <c r="N66" s="434">
        <v>3</v>
      </c>
      <c r="O66" s="434"/>
      <c r="P66" s="437">
        <v>20</v>
      </c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4</v>
      </c>
      <c r="B67" s="433"/>
      <c r="C67" s="123"/>
      <c r="D67" s="184"/>
      <c r="E67" s="182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5</v>
      </c>
      <c r="B68" s="433"/>
      <c r="C68" s="123"/>
      <c r="D68" s="184"/>
      <c r="E68" s="182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6</v>
      </c>
      <c r="B69" s="433"/>
      <c r="C69" s="123"/>
      <c r="D69" s="184"/>
      <c r="E69" s="182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7</v>
      </c>
      <c r="B70" s="433"/>
      <c r="C70" s="123"/>
      <c r="D70" s="184"/>
      <c r="E70" s="182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8</v>
      </c>
      <c r="B71" s="433"/>
      <c r="C71" s="123"/>
      <c r="D71" s="184"/>
      <c r="E71" s="182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 thickBot="1">
      <c r="A72" s="439" t="s">
        <v>428</v>
      </c>
      <c r="B72" s="439"/>
      <c r="C72" s="439"/>
      <c r="D72" s="439"/>
      <c r="E72" s="439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40" t="s">
        <v>118</v>
      </c>
      <c r="B73" s="441"/>
      <c r="C73" s="183" t="s">
        <v>2</v>
      </c>
      <c r="D73" s="183" t="s">
        <v>38</v>
      </c>
      <c r="E73" s="183" t="s">
        <v>3</v>
      </c>
      <c r="F73" s="441" t="s">
        <v>39</v>
      </c>
      <c r="G73" s="441"/>
      <c r="H73" s="441"/>
      <c r="I73" s="441"/>
      <c r="J73" s="441"/>
      <c r="K73" s="442" t="s">
        <v>60</v>
      </c>
      <c r="L73" s="443"/>
      <c r="M73" s="443"/>
      <c r="N73" s="443"/>
      <c r="O73" s="443"/>
      <c r="P73" s="443"/>
      <c r="Q73" s="443"/>
      <c r="R73" s="443"/>
      <c r="S73" s="444"/>
      <c r="T73" s="441" t="s">
        <v>50</v>
      </c>
      <c r="U73" s="441"/>
      <c r="V73" s="442" t="s">
        <v>51</v>
      </c>
      <c r="W73" s="444"/>
      <c r="X73" s="443" t="s">
        <v>52</v>
      </c>
      <c r="Y73" s="443"/>
      <c r="Z73" s="443"/>
      <c r="AA73" s="443"/>
      <c r="AB73" s="443"/>
      <c r="AC73" s="443"/>
      <c r="AD73" s="445"/>
      <c r="AF73" s="53"/>
    </row>
    <row r="74" spans="1:32" ht="33.75" customHeight="1">
      <c r="A74" s="454">
        <v>1</v>
      </c>
      <c r="B74" s="455"/>
      <c r="C74" s="185" t="s">
        <v>62</v>
      </c>
      <c r="D74" s="185"/>
      <c r="E74" s="71" t="s">
        <v>58</v>
      </c>
      <c r="F74" s="456" t="s">
        <v>63</v>
      </c>
      <c r="G74" s="457"/>
      <c r="H74" s="457"/>
      <c r="I74" s="457"/>
      <c r="J74" s="458"/>
      <c r="K74" s="459" t="s">
        <v>61</v>
      </c>
      <c r="L74" s="460"/>
      <c r="M74" s="460"/>
      <c r="N74" s="460"/>
      <c r="O74" s="460"/>
      <c r="P74" s="460"/>
      <c r="Q74" s="460"/>
      <c r="R74" s="460"/>
      <c r="S74" s="461"/>
      <c r="T74" s="462">
        <v>41791</v>
      </c>
      <c r="U74" s="463"/>
      <c r="V74" s="464"/>
      <c r="W74" s="464"/>
      <c r="X74" s="465"/>
      <c r="Y74" s="465"/>
      <c r="Z74" s="465"/>
      <c r="AA74" s="465"/>
      <c r="AB74" s="465"/>
      <c r="AC74" s="465"/>
      <c r="AD74" s="466"/>
      <c r="AF74" s="53"/>
    </row>
    <row r="75" spans="1:32" ht="30" customHeight="1">
      <c r="A75" s="446">
        <f>A74+1</f>
        <v>2</v>
      </c>
      <c r="B75" s="447"/>
      <c r="C75" s="184" t="s">
        <v>135</v>
      </c>
      <c r="D75" s="184"/>
      <c r="E75" s="35" t="s">
        <v>123</v>
      </c>
      <c r="F75" s="447" t="s">
        <v>376</v>
      </c>
      <c r="G75" s="447"/>
      <c r="H75" s="447"/>
      <c r="I75" s="447"/>
      <c r="J75" s="447"/>
      <c r="K75" s="448" t="s">
        <v>377</v>
      </c>
      <c r="L75" s="449"/>
      <c r="M75" s="449"/>
      <c r="N75" s="449"/>
      <c r="O75" s="449"/>
      <c r="P75" s="449"/>
      <c r="Q75" s="449"/>
      <c r="R75" s="449"/>
      <c r="S75" s="450"/>
      <c r="T75" s="451">
        <v>42772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ref="A76:A82" si="19">A75+1</f>
        <v>3</v>
      </c>
      <c r="B76" s="447"/>
      <c r="C76" s="184" t="s">
        <v>62</v>
      </c>
      <c r="D76" s="184"/>
      <c r="E76" s="35" t="s">
        <v>121</v>
      </c>
      <c r="F76" s="447" t="s">
        <v>127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9"/>
        <v>4</v>
      </c>
      <c r="B77" s="447"/>
      <c r="C77" s="184" t="s">
        <v>62</v>
      </c>
      <c r="D77" s="184"/>
      <c r="E77" s="35" t="s">
        <v>121</v>
      </c>
      <c r="F77" s="447" t="s">
        <v>126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9"/>
        <v>5</v>
      </c>
      <c r="B78" s="447"/>
      <c r="C78" s="184" t="s">
        <v>62</v>
      </c>
      <c r="D78" s="184"/>
      <c r="E78" s="35" t="s">
        <v>58</v>
      </c>
      <c r="F78" s="447" t="s">
        <v>128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9"/>
        <v>6</v>
      </c>
      <c r="B79" s="447"/>
      <c r="C79" s="184" t="s">
        <v>135</v>
      </c>
      <c r="D79" s="184"/>
      <c r="E79" s="35" t="s">
        <v>160</v>
      </c>
      <c r="F79" s="447" t="s">
        <v>236</v>
      </c>
      <c r="G79" s="447"/>
      <c r="H79" s="447"/>
      <c r="I79" s="447"/>
      <c r="J79" s="447"/>
      <c r="K79" s="448" t="s">
        <v>133</v>
      </c>
      <c r="L79" s="449"/>
      <c r="M79" s="449"/>
      <c r="N79" s="449"/>
      <c r="O79" s="449"/>
      <c r="P79" s="449"/>
      <c r="Q79" s="449"/>
      <c r="R79" s="449"/>
      <c r="S79" s="450"/>
      <c r="T79" s="451">
        <v>42770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9"/>
        <v>7</v>
      </c>
      <c r="B80" s="447"/>
      <c r="C80" s="184" t="s">
        <v>181</v>
      </c>
      <c r="D80" s="184"/>
      <c r="E80" s="35"/>
      <c r="F80" s="447" t="s">
        <v>162</v>
      </c>
      <c r="G80" s="447"/>
      <c r="H80" s="447"/>
      <c r="I80" s="447"/>
      <c r="J80" s="447"/>
      <c r="K80" s="448" t="s">
        <v>183</v>
      </c>
      <c r="L80" s="449"/>
      <c r="M80" s="449"/>
      <c r="N80" s="449"/>
      <c r="O80" s="449"/>
      <c r="P80" s="449"/>
      <c r="Q80" s="449"/>
      <c r="R80" s="449"/>
      <c r="S80" s="450"/>
      <c r="T80" s="451">
        <v>42759</v>
      </c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9"/>
        <v>8</v>
      </c>
      <c r="B81" s="447"/>
      <c r="C81" s="184"/>
      <c r="D81" s="184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19"/>
        <v>9</v>
      </c>
      <c r="B82" s="447"/>
      <c r="C82" s="184"/>
      <c r="D82" s="184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6" thickBot="1">
      <c r="A83" s="439" t="s">
        <v>429</v>
      </c>
      <c r="B83" s="439"/>
      <c r="C83" s="439"/>
      <c r="D83" s="439"/>
      <c r="E83" s="439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7" t="s">
        <v>37</v>
      </c>
      <c r="B84" s="468"/>
      <c r="C84" s="468" t="s">
        <v>53</v>
      </c>
      <c r="D84" s="468"/>
      <c r="E84" s="468" t="s">
        <v>54</v>
      </c>
      <c r="F84" s="468"/>
      <c r="G84" s="468"/>
      <c r="H84" s="468"/>
      <c r="I84" s="468"/>
      <c r="J84" s="468"/>
      <c r="K84" s="468" t="s">
        <v>55</v>
      </c>
      <c r="L84" s="468"/>
      <c r="M84" s="468"/>
      <c r="N84" s="468"/>
      <c r="O84" s="468"/>
      <c r="P84" s="468"/>
      <c r="Q84" s="468"/>
      <c r="R84" s="468"/>
      <c r="S84" s="468"/>
      <c r="T84" s="468" t="s">
        <v>56</v>
      </c>
      <c r="U84" s="468"/>
      <c r="V84" s="468" t="s">
        <v>57</v>
      </c>
      <c r="W84" s="468"/>
      <c r="X84" s="468"/>
      <c r="Y84" s="468" t="s">
        <v>52</v>
      </c>
      <c r="Z84" s="468"/>
      <c r="AA84" s="468"/>
      <c r="AB84" s="468"/>
      <c r="AC84" s="468"/>
      <c r="AD84" s="469"/>
      <c r="AF84" s="53"/>
    </row>
    <row r="85" spans="1:32" ht="30.75" customHeight="1">
      <c r="A85" s="470">
        <v>1</v>
      </c>
      <c r="B85" s="471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>
      <c r="A86" s="446">
        <v>2</v>
      </c>
      <c r="B86" s="447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 thickBot="1">
      <c r="A87" s="476">
        <v>3</v>
      </c>
      <c r="B87" s="477"/>
      <c r="C87" s="477"/>
      <c r="D87" s="477"/>
      <c r="E87" s="477"/>
      <c r="F87" s="477"/>
      <c r="G87" s="477"/>
      <c r="H87" s="477"/>
      <c r="I87" s="477"/>
      <c r="J87" s="477"/>
      <c r="K87" s="477"/>
      <c r="L87" s="477"/>
      <c r="M87" s="477"/>
      <c r="N87" s="477"/>
      <c r="O87" s="477"/>
      <c r="P87" s="477"/>
      <c r="Q87" s="477"/>
      <c r="R87" s="477"/>
      <c r="S87" s="477"/>
      <c r="T87" s="477"/>
      <c r="U87" s="477"/>
      <c r="V87" s="477"/>
      <c r="W87" s="477"/>
      <c r="X87" s="477"/>
      <c r="Y87" s="478"/>
      <c r="Z87" s="478"/>
      <c r="AA87" s="478"/>
      <c r="AB87" s="478"/>
      <c r="AC87" s="478"/>
      <c r="AD87" s="479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view="pageBreakPreview" topLeftCell="A37" zoomScale="70" zoomScaleNormal="70" zoomScaleSheetLayoutView="70" workbookViewId="0">
      <selection activeCell="K68" sqref="K68:L6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430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286</v>
      </c>
      <c r="E6" s="56" t="s">
        <v>287</v>
      </c>
      <c r="F6" s="12" t="s">
        <v>158</v>
      </c>
      <c r="G6" s="36">
        <v>1</v>
      </c>
      <c r="H6" s="38">
        <v>25</v>
      </c>
      <c r="I6" s="7">
        <v>5000</v>
      </c>
      <c r="J6" s="14">
        <v>4820</v>
      </c>
      <c r="K6" s="15">
        <f>L6+3543+4332+4821</f>
        <v>17514</v>
      </c>
      <c r="L6" s="15">
        <f>2321+2497</f>
        <v>4818</v>
      </c>
      <c r="M6" s="16">
        <f t="shared" ref="M6:M21" si="0">L6-N6</f>
        <v>4818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0.9995850622406639</v>
      </c>
      <c r="AC6" s="9">
        <f t="shared" ref="AC6:AC21" si="5">IF(P6=0,"0",(P6/24))</f>
        <v>1</v>
      </c>
      <c r="AD6" s="10">
        <f t="shared" ref="AD6:AD21" si="6">AC6*AB6*(1-O6)</f>
        <v>0.9995850622406639</v>
      </c>
      <c r="AE6" s="39">
        <f t="shared" ref="AE6:AE21" si="7">$AD$22</f>
        <v>0.5607773389109314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37" t="s">
        <v>381</v>
      </c>
      <c r="D7" s="55" t="s">
        <v>382</v>
      </c>
      <c r="E7" s="57" t="s">
        <v>383</v>
      </c>
      <c r="F7" s="33" t="s">
        <v>159</v>
      </c>
      <c r="G7" s="36">
        <v>1</v>
      </c>
      <c r="H7" s="38">
        <v>25</v>
      </c>
      <c r="I7" s="7">
        <v>500</v>
      </c>
      <c r="J7" s="5">
        <v>550</v>
      </c>
      <c r="K7" s="15">
        <f>L7+509</f>
        <v>1054</v>
      </c>
      <c r="L7" s="15">
        <f>545</f>
        <v>545</v>
      </c>
      <c r="M7" s="16">
        <f t="shared" si="0"/>
        <v>545</v>
      </c>
      <c r="N7" s="16">
        <v>0</v>
      </c>
      <c r="O7" s="62">
        <f t="shared" si="1"/>
        <v>0</v>
      </c>
      <c r="P7" s="42">
        <f t="shared" si="2"/>
        <v>5</v>
      </c>
      <c r="Q7" s="43">
        <f t="shared" si="3"/>
        <v>19</v>
      </c>
      <c r="R7" s="7"/>
      <c r="S7" s="6"/>
      <c r="T7" s="17"/>
      <c r="U7" s="17"/>
      <c r="V7" s="18"/>
      <c r="W7" s="19">
        <v>19</v>
      </c>
      <c r="X7" s="17"/>
      <c r="Y7" s="20"/>
      <c r="Z7" s="20"/>
      <c r="AA7" s="21"/>
      <c r="AB7" s="8">
        <f t="shared" si="4"/>
        <v>0.99090909090909096</v>
      </c>
      <c r="AC7" s="9">
        <f t="shared" si="5"/>
        <v>0.20833333333333334</v>
      </c>
      <c r="AD7" s="10">
        <f t="shared" si="6"/>
        <v>0.20643939393939395</v>
      </c>
      <c r="AE7" s="39">
        <f t="shared" si="7"/>
        <v>0.5607773389109314</v>
      </c>
      <c r="AF7" s="94">
        <f t="shared" si="8"/>
        <v>2</v>
      </c>
    </row>
    <row r="8" spans="1:32" ht="27" customHeight="1">
      <c r="A8" s="108">
        <v>2</v>
      </c>
      <c r="B8" s="11" t="s">
        <v>59</v>
      </c>
      <c r="C8" s="37" t="s">
        <v>431</v>
      </c>
      <c r="D8" s="55" t="s">
        <v>432</v>
      </c>
      <c r="E8" s="57" t="s">
        <v>433</v>
      </c>
      <c r="F8" s="33" t="s">
        <v>434</v>
      </c>
      <c r="G8" s="36">
        <v>4</v>
      </c>
      <c r="H8" s="38">
        <v>20</v>
      </c>
      <c r="I8" s="7">
        <v>70000</v>
      </c>
      <c r="J8" s="5">
        <v>10010</v>
      </c>
      <c r="K8" s="15">
        <f>L8</f>
        <v>10008</v>
      </c>
      <c r="L8" s="15">
        <f>2502*4</f>
        <v>10008</v>
      </c>
      <c r="M8" s="16">
        <f t="shared" ref="M8" si="9">L8-N8</f>
        <v>10008</v>
      </c>
      <c r="N8" s="16">
        <v>0</v>
      </c>
      <c r="O8" s="62">
        <f t="shared" ref="O8" si="10">IF(L8=0,"0",N8/L8)</f>
        <v>0</v>
      </c>
      <c r="P8" s="42">
        <f t="shared" ref="P8" si="11">IF(L8=0,"0",(24-Q8))</f>
        <v>13</v>
      </c>
      <c r="Q8" s="43">
        <f t="shared" ref="Q8" si="12">SUM(R8:AA8)</f>
        <v>11</v>
      </c>
      <c r="R8" s="7"/>
      <c r="S8" s="6"/>
      <c r="T8" s="17">
        <v>11</v>
      </c>
      <c r="U8" s="17"/>
      <c r="V8" s="18"/>
      <c r="W8" s="19"/>
      <c r="X8" s="17"/>
      <c r="Y8" s="20"/>
      <c r="Z8" s="20"/>
      <c r="AA8" s="21"/>
      <c r="AB8" s="8">
        <f t="shared" ref="AB8" si="13">IF(J8=0,"0",(L8/J8))</f>
        <v>0.99980019980019985</v>
      </c>
      <c r="AC8" s="9">
        <f t="shared" ref="AC8" si="14">IF(P8=0,"0",(P8/24))</f>
        <v>0.54166666666666663</v>
      </c>
      <c r="AD8" s="10">
        <f t="shared" ref="AD8" si="15">AC8*AB8*(1-O8)</f>
        <v>0.54155844155844157</v>
      </c>
      <c r="AE8" s="39">
        <f t="shared" si="7"/>
        <v>0.5607773389109314</v>
      </c>
      <c r="AF8" s="94">
        <f t="shared" ref="AF8" si="16">A8</f>
        <v>2</v>
      </c>
    </row>
    <row r="9" spans="1:32" ht="27" customHeight="1">
      <c r="A9" s="109">
        <v>3</v>
      </c>
      <c r="B9" s="11" t="s">
        <v>59</v>
      </c>
      <c r="C9" s="11" t="s">
        <v>153</v>
      </c>
      <c r="D9" s="55"/>
      <c r="E9" s="57" t="s">
        <v>154</v>
      </c>
      <c r="F9" s="33" t="s">
        <v>143</v>
      </c>
      <c r="G9" s="36">
        <v>16</v>
      </c>
      <c r="H9" s="38">
        <v>25</v>
      </c>
      <c r="I9" s="7">
        <v>500000</v>
      </c>
      <c r="J9" s="14">
        <v>10610</v>
      </c>
      <c r="K9" s="15">
        <f>L9+70768+116768+40064+10608</f>
        <v>238208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0.5607773389109314</v>
      </c>
      <c r="AF9" s="94">
        <f t="shared" si="8"/>
        <v>3</v>
      </c>
    </row>
    <row r="10" spans="1:32" ht="27" customHeight="1">
      <c r="A10" s="110">
        <v>4</v>
      </c>
      <c r="B10" s="11" t="s">
        <v>59</v>
      </c>
      <c r="C10" s="37" t="s">
        <v>135</v>
      </c>
      <c r="D10" s="55" t="s">
        <v>121</v>
      </c>
      <c r="E10" s="57" t="s">
        <v>274</v>
      </c>
      <c r="F10" s="12" t="s">
        <v>290</v>
      </c>
      <c r="G10" s="12">
        <v>1</v>
      </c>
      <c r="H10" s="13">
        <v>25</v>
      </c>
      <c r="I10" s="34">
        <v>20000</v>
      </c>
      <c r="J10" s="5">
        <v>4140</v>
      </c>
      <c r="K10" s="15">
        <f>L10</f>
        <v>4139</v>
      </c>
      <c r="L10" s="15">
        <f>1973+2166</f>
        <v>4139</v>
      </c>
      <c r="M10" s="16">
        <f t="shared" si="0"/>
        <v>4139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0.99975845410628017</v>
      </c>
      <c r="AC10" s="9">
        <f t="shared" si="5"/>
        <v>0.83333333333333337</v>
      </c>
      <c r="AD10" s="10">
        <f t="shared" si="6"/>
        <v>0.83313204508856686</v>
      </c>
      <c r="AE10" s="39">
        <f t="shared" si="7"/>
        <v>0.5607773389109314</v>
      </c>
      <c r="AF10" s="94">
        <f t="shared" si="8"/>
        <v>4</v>
      </c>
    </row>
    <row r="11" spans="1:32" ht="27" customHeight="1">
      <c r="A11" s="110">
        <v>5</v>
      </c>
      <c r="B11" s="11" t="s">
        <v>59</v>
      </c>
      <c r="C11" s="37" t="s">
        <v>200</v>
      </c>
      <c r="D11" s="55" t="s">
        <v>309</v>
      </c>
      <c r="E11" s="57" t="s">
        <v>328</v>
      </c>
      <c r="F11" s="12" t="s">
        <v>329</v>
      </c>
      <c r="G11" s="12">
        <v>1</v>
      </c>
      <c r="H11" s="13">
        <v>25</v>
      </c>
      <c r="I11" s="34">
        <v>300</v>
      </c>
      <c r="J11" s="5">
        <v>1180</v>
      </c>
      <c r="K11" s="15">
        <f>L11+1177</f>
        <v>1177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0.5607773389109314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381</v>
      </c>
      <c r="D12" s="55" t="s">
        <v>361</v>
      </c>
      <c r="E12" s="56" t="s">
        <v>386</v>
      </c>
      <c r="F12" s="12" t="s">
        <v>367</v>
      </c>
      <c r="G12" s="12">
        <v>1</v>
      </c>
      <c r="H12" s="13">
        <v>25</v>
      </c>
      <c r="I12" s="34">
        <v>5000</v>
      </c>
      <c r="J12" s="14">
        <v>5380</v>
      </c>
      <c r="K12" s="15">
        <f>L12+4062</f>
        <v>9442</v>
      </c>
      <c r="L12" s="15">
        <f>2545+2835</f>
        <v>5380</v>
      </c>
      <c r="M12" s="16">
        <f t="shared" si="0"/>
        <v>5380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0.5607773389109314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135</v>
      </c>
      <c r="D13" s="55" t="s">
        <v>330</v>
      </c>
      <c r="E13" s="57" t="s">
        <v>331</v>
      </c>
      <c r="F13" s="12">
        <v>7301</v>
      </c>
      <c r="G13" s="12">
        <v>2</v>
      </c>
      <c r="H13" s="13">
        <v>25</v>
      </c>
      <c r="I13" s="34">
        <v>30000</v>
      </c>
      <c r="J13" s="5">
        <v>11170</v>
      </c>
      <c r="K13" s="15">
        <f>L13+9996+9154</f>
        <v>30318</v>
      </c>
      <c r="L13" s="15">
        <f>2853*2+2731*2</f>
        <v>11168</v>
      </c>
      <c r="M13" s="16">
        <f t="shared" si="0"/>
        <v>11168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0.99982094897045659</v>
      </c>
      <c r="AC13" s="9">
        <f t="shared" si="5"/>
        <v>1</v>
      </c>
      <c r="AD13" s="10">
        <f t="shared" si="6"/>
        <v>0.99982094897045659</v>
      </c>
      <c r="AE13" s="39">
        <f t="shared" si="7"/>
        <v>0.5607773389109314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135</v>
      </c>
      <c r="D14" s="55" t="s">
        <v>123</v>
      </c>
      <c r="E14" s="57" t="s">
        <v>291</v>
      </c>
      <c r="F14" s="12" t="s">
        <v>229</v>
      </c>
      <c r="G14" s="12">
        <v>1</v>
      </c>
      <c r="H14" s="13">
        <v>25</v>
      </c>
      <c r="I14" s="7">
        <v>5000</v>
      </c>
      <c r="J14" s="14">
        <v>6010</v>
      </c>
      <c r="K14" s="15">
        <f>L14+4480+1541+4152</f>
        <v>16177</v>
      </c>
      <c r="L14" s="15">
        <f>2921+3083</f>
        <v>6004</v>
      </c>
      <c r="M14" s="16">
        <f t="shared" si="0"/>
        <v>6004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0.99900166389351086</v>
      </c>
      <c r="AC14" s="9">
        <f t="shared" si="5"/>
        <v>1</v>
      </c>
      <c r="AD14" s="10">
        <f t="shared" si="6"/>
        <v>0.99900166389351086</v>
      </c>
      <c r="AE14" s="39">
        <f t="shared" si="7"/>
        <v>0.5607773389109314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188</v>
      </c>
      <c r="F15" s="33" t="s">
        <v>137</v>
      </c>
      <c r="G15" s="36">
        <v>1</v>
      </c>
      <c r="H15" s="38">
        <v>50</v>
      </c>
      <c r="I15" s="7">
        <v>100</v>
      </c>
      <c r="J15" s="5">
        <v>260</v>
      </c>
      <c r="K15" s="15">
        <f>L15+258</f>
        <v>258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0.5607773389109314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293</v>
      </c>
      <c r="D16" s="55" t="s">
        <v>294</v>
      </c>
      <c r="E16" s="57"/>
      <c r="F16" s="12" t="s">
        <v>295</v>
      </c>
      <c r="G16" s="12">
        <v>3</v>
      </c>
      <c r="H16" s="13">
        <v>12</v>
      </c>
      <c r="I16" s="34">
        <v>60000</v>
      </c>
      <c r="J16" s="5">
        <v>25070</v>
      </c>
      <c r="K16" s="15">
        <f>L16+23046+22200+25068</f>
        <v>70314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0.5607773389109314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435</v>
      </c>
      <c r="D17" s="55" t="s">
        <v>436</v>
      </c>
      <c r="E17" s="56" t="s">
        <v>437</v>
      </c>
      <c r="F17" s="12">
        <v>7301</v>
      </c>
      <c r="G17" s="36">
        <v>1</v>
      </c>
      <c r="H17" s="38">
        <v>25</v>
      </c>
      <c r="I17" s="7">
        <v>3000</v>
      </c>
      <c r="J17" s="14">
        <v>5520</v>
      </c>
      <c r="K17" s="15">
        <f>L17</f>
        <v>5518</v>
      </c>
      <c r="L17" s="15">
        <f>2288+3230</f>
        <v>5518</v>
      </c>
      <c r="M17" s="16">
        <f t="shared" si="0"/>
        <v>5518</v>
      </c>
      <c r="N17" s="16">
        <v>0</v>
      </c>
      <c r="O17" s="62">
        <f t="shared" si="1"/>
        <v>0</v>
      </c>
      <c r="P17" s="42">
        <f t="shared" si="2"/>
        <v>23</v>
      </c>
      <c r="Q17" s="43">
        <f t="shared" si="3"/>
        <v>1</v>
      </c>
      <c r="R17" s="7"/>
      <c r="S17" s="6"/>
      <c r="T17" s="17">
        <v>1</v>
      </c>
      <c r="U17" s="17"/>
      <c r="V17" s="18"/>
      <c r="W17" s="19"/>
      <c r="X17" s="17"/>
      <c r="Y17" s="20"/>
      <c r="Z17" s="20"/>
      <c r="AA17" s="21"/>
      <c r="AB17" s="8">
        <f t="shared" si="4"/>
        <v>0.99963768115942031</v>
      </c>
      <c r="AC17" s="9">
        <f t="shared" si="5"/>
        <v>0.95833333333333337</v>
      </c>
      <c r="AD17" s="10">
        <f t="shared" si="6"/>
        <v>0.9579861111111112</v>
      </c>
      <c r="AE17" s="39">
        <f t="shared" si="7"/>
        <v>0.5607773389109314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62</v>
      </c>
      <c r="D18" s="55" t="s">
        <v>189</v>
      </c>
      <c r="E18" s="56" t="s">
        <v>190</v>
      </c>
      <c r="F18" s="12">
        <v>8301</v>
      </c>
      <c r="G18" s="12">
        <v>1</v>
      </c>
      <c r="H18" s="13">
        <v>25</v>
      </c>
      <c r="I18" s="34">
        <v>15000</v>
      </c>
      <c r="J18" s="5">
        <v>2690</v>
      </c>
      <c r="K18" s="15">
        <f>L18+4858+6385+2490</f>
        <v>13733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0.5607773389109314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135</v>
      </c>
      <c r="D19" s="55" t="s">
        <v>388</v>
      </c>
      <c r="E19" s="56" t="s">
        <v>148</v>
      </c>
      <c r="F19" s="33" t="s">
        <v>136</v>
      </c>
      <c r="G19" s="36">
        <v>1</v>
      </c>
      <c r="H19" s="38">
        <v>25</v>
      </c>
      <c r="I19" s="7">
        <v>8000</v>
      </c>
      <c r="J19" s="5">
        <v>4900</v>
      </c>
      <c r="K19" s="15">
        <f>L19+2460</f>
        <v>7357</v>
      </c>
      <c r="L19" s="15">
        <f>2022+2875</f>
        <v>4897</v>
      </c>
      <c r="M19" s="16">
        <f t="shared" si="0"/>
        <v>4897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0.99938775510204081</v>
      </c>
      <c r="AC19" s="9">
        <f t="shared" si="5"/>
        <v>0.875</v>
      </c>
      <c r="AD19" s="10">
        <f t="shared" si="6"/>
        <v>0.87446428571428569</v>
      </c>
      <c r="AE19" s="39">
        <f t="shared" si="7"/>
        <v>0.5607773389109314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135</v>
      </c>
      <c r="D20" s="55" t="s">
        <v>391</v>
      </c>
      <c r="E20" s="57" t="s">
        <v>392</v>
      </c>
      <c r="F20" s="33" t="s">
        <v>136</v>
      </c>
      <c r="G20" s="36">
        <v>1</v>
      </c>
      <c r="H20" s="38">
        <v>25</v>
      </c>
      <c r="I20" s="34">
        <v>10000</v>
      </c>
      <c r="J20" s="5">
        <v>6100</v>
      </c>
      <c r="K20" s="15">
        <f>L20+3051</f>
        <v>9149</v>
      </c>
      <c r="L20" s="15">
        <f>2941+3157</f>
        <v>6098</v>
      </c>
      <c r="M20" s="16">
        <f t="shared" si="0"/>
        <v>6098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0.99967213114754094</v>
      </c>
      <c r="AC20" s="9">
        <f t="shared" si="5"/>
        <v>1</v>
      </c>
      <c r="AD20" s="10">
        <f t="shared" si="6"/>
        <v>0.99967213114754094</v>
      </c>
      <c r="AE20" s="39">
        <f t="shared" si="7"/>
        <v>0.5607773389109314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144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46440</v>
      </c>
      <c r="K21" s="15">
        <f>L21+46064+56292+46436</f>
        <v>148792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0.5607773389109314</v>
      </c>
      <c r="AF21" s="94">
        <f t="shared" si="8"/>
        <v>15</v>
      </c>
    </row>
    <row r="22" spans="1:32" ht="31.5" customHeight="1" thickBot="1">
      <c r="A22" s="386" t="s">
        <v>34</v>
      </c>
      <c r="B22" s="387"/>
      <c r="C22" s="387"/>
      <c r="D22" s="387"/>
      <c r="E22" s="387"/>
      <c r="F22" s="387"/>
      <c r="G22" s="387"/>
      <c r="H22" s="388"/>
      <c r="I22" s="25">
        <f t="shared" ref="I22:N22" si="17">SUM(I6:I21)</f>
        <v>931900</v>
      </c>
      <c r="J22" s="22">
        <f t="shared" si="17"/>
        <v>144850</v>
      </c>
      <c r="K22" s="23">
        <f t="shared" si="17"/>
        <v>583158</v>
      </c>
      <c r="L22" s="24">
        <f t="shared" si="17"/>
        <v>58575</v>
      </c>
      <c r="M22" s="23">
        <f t="shared" si="17"/>
        <v>58575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202</v>
      </c>
      <c r="Q22" s="46">
        <f t="shared" si="18"/>
        <v>182</v>
      </c>
      <c r="R22" s="26">
        <f t="shared" si="18"/>
        <v>0</v>
      </c>
      <c r="S22" s="27">
        <f t="shared" si="18"/>
        <v>31</v>
      </c>
      <c r="T22" s="27">
        <f t="shared" si="18"/>
        <v>12</v>
      </c>
      <c r="U22" s="27">
        <f t="shared" si="18"/>
        <v>0</v>
      </c>
      <c r="V22" s="28">
        <f t="shared" si="18"/>
        <v>0</v>
      </c>
      <c r="W22" s="29">
        <f t="shared" si="18"/>
        <v>139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0.6658381991552802</v>
      </c>
      <c r="AC22" s="4">
        <f>SUM(AC6:AC21)/15</f>
        <v>0.56111111111111123</v>
      </c>
      <c r="AD22" s="4">
        <f>SUM(AD6:AD21)/15</f>
        <v>0.5607773389109314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9" t="s">
        <v>46</v>
      </c>
      <c r="B49" s="389"/>
      <c r="C49" s="389"/>
      <c r="D49" s="389"/>
      <c r="E49" s="38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90" t="s">
        <v>438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2"/>
      <c r="N50" s="393" t="s">
        <v>447</v>
      </c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/>
      <c r="AC50" s="394"/>
      <c r="AD50" s="395"/>
    </row>
    <row r="51" spans="1:32" ht="27" customHeight="1">
      <c r="A51" s="396" t="s">
        <v>2</v>
      </c>
      <c r="B51" s="397"/>
      <c r="C51" s="196" t="s">
        <v>47</v>
      </c>
      <c r="D51" s="196" t="s">
        <v>48</v>
      </c>
      <c r="E51" s="196" t="s">
        <v>113</v>
      </c>
      <c r="F51" s="397" t="s">
        <v>112</v>
      </c>
      <c r="G51" s="397"/>
      <c r="H51" s="397"/>
      <c r="I51" s="397"/>
      <c r="J51" s="397"/>
      <c r="K51" s="397"/>
      <c r="L51" s="397"/>
      <c r="M51" s="398"/>
      <c r="N51" s="73" t="s">
        <v>117</v>
      </c>
      <c r="O51" s="196" t="s">
        <v>47</v>
      </c>
      <c r="P51" s="399" t="s">
        <v>48</v>
      </c>
      <c r="Q51" s="400"/>
      <c r="R51" s="399" t="s">
        <v>39</v>
      </c>
      <c r="S51" s="401"/>
      <c r="T51" s="401"/>
      <c r="U51" s="400"/>
      <c r="V51" s="399" t="s">
        <v>49</v>
      </c>
      <c r="W51" s="401"/>
      <c r="X51" s="401"/>
      <c r="Y51" s="401"/>
      <c r="Z51" s="401"/>
      <c r="AA51" s="401"/>
      <c r="AB51" s="401"/>
      <c r="AC51" s="401"/>
      <c r="AD51" s="402"/>
    </row>
    <row r="52" spans="1:32" ht="27" customHeight="1">
      <c r="A52" s="413" t="s">
        <v>213</v>
      </c>
      <c r="B52" s="414"/>
      <c r="C52" s="195" t="s">
        <v>319</v>
      </c>
      <c r="D52" s="192" t="s">
        <v>439</v>
      </c>
      <c r="E52" s="195" t="s">
        <v>437</v>
      </c>
      <c r="F52" s="415" t="s">
        <v>440</v>
      </c>
      <c r="G52" s="415"/>
      <c r="H52" s="415"/>
      <c r="I52" s="415"/>
      <c r="J52" s="415"/>
      <c r="K52" s="415"/>
      <c r="L52" s="415"/>
      <c r="M52" s="416"/>
      <c r="N52" s="191" t="s">
        <v>213</v>
      </c>
      <c r="O52" s="74" t="s">
        <v>138</v>
      </c>
      <c r="P52" s="417" t="s">
        <v>448</v>
      </c>
      <c r="Q52" s="418"/>
      <c r="R52" s="419" t="s">
        <v>449</v>
      </c>
      <c r="S52" s="419"/>
      <c r="T52" s="419"/>
      <c r="U52" s="419"/>
      <c r="V52" s="415" t="s">
        <v>175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297</v>
      </c>
      <c r="B53" s="414"/>
      <c r="C53" s="195" t="s">
        <v>139</v>
      </c>
      <c r="D53" s="192" t="s">
        <v>300</v>
      </c>
      <c r="E53" s="195" t="s">
        <v>441</v>
      </c>
      <c r="F53" s="415" t="s">
        <v>395</v>
      </c>
      <c r="G53" s="415"/>
      <c r="H53" s="415"/>
      <c r="I53" s="415"/>
      <c r="J53" s="415"/>
      <c r="K53" s="415"/>
      <c r="L53" s="415"/>
      <c r="M53" s="416"/>
      <c r="N53" s="191" t="s">
        <v>450</v>
      </c>
      <c r="O53" s="74" t="s">
        <v>451</v>
      </c>
      <c r="P53" s="417" t="s">
        <v>58</v>
      </c>
      <c r="Q53" s="418"/>
      <c r="R53" s="419" t="s">
        <v>452</v>
      </c>
      <c r="S53" s="419"/>
      <c r="T53" s="419"/>
      <c r="U53" s="419"/>
      <c r="V53" s="415" t="s">
        <v>175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20" t="s">
        <v>200</v>
      </c>
      <c r="B54" s="419"/>
      <c r="C54" s="192" t="s">
        <v>396</v>
      </c>
      <c r="D54" s="192" t="s">
        <v>382</v>
      </c>
      <c r="E54" s="195" t="s">
        <v>383</v>
      </c>
      <c r="F54" s="415" t="s">
        <v>170</v>
      </c>
      <c r="G54" s="415"/>
      <c r="H54" s="415"/>
      <c r="I54" s="415"/>
      <c r="J54" s="415"/>
      <c r="K54" s="415"/>
      <c r="L54" s="415"/>
      <c r="M54" s="416"/>
      <c r="N54" s="191"/>
      <c r="O54" s="74"/>
      <c r="P54" s="419"/>
      <c r="Q54" s="419"/>
      <c r="R54" s="419"/>
      <c r="S54" s="419"/>
      <c r="T54" s="419"/>
      <c r="U54" s="419"/>
      <c r="V54" s="415"/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431</v>
      </c>
      <c r="B55" s="414"/>
      <c r="C55" s="195" t="s">
        <v>396</v>
      </c>
      <c r="D55" s="192" t="s">
        <v>442</v>
      </c>
      <c r="E55" s="195" t="s">
        <v>433</v>
      </c>
      <c r="F55" s="415" t="s">
        <v>175</v>
      </c>
      <c r="G55" s="415"/>
      <c r="H55" s="415"/>
      <c r="I55" s="415"/>
      <c r="J55" s="415"/>
      <c r="K55" s="415"/>
      <c r="L55" s="415"/>
      <c r="M55" s="416"/>
      <c r="N55" s="191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135</v>
      </c>
      <c r="B56" s="414"/>
      <c r="C56" s="195" t="s">
        <v>443</v>
      </c>
      <c r="D56" s="192" t="s">
        <v>444</v>
      </c>
      <c r="E56" s="195" t="s">
        <v>445</v>
      </c>
      <c r="F56" s="415" t="s">
        <v>446</v>
      </c>
      <c r="G56" s="415"/>
      <c r="H56" s="415"/>
      <c r="I56" s="415"/>
      <c r="J56" s="415"/>
      <c r="K56" s="415"/>
      <c r="L56" s="415"/>
      <c r="M56" s="416"/>
      <c r="N56" s="191"/>
      <c r="O56" s="74"/>
      <c r="P56" s="417"/>
      <c r="Q56" s="418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13"/>
      <c r="B57" s="414"/>
      <c r="C57" s="195"/>
      <c r="D57" s="192"/>
      <c r="E57" s="195"/>
      <c r="F57" s="415"/>
      <c r="G57" s="415"/>
      <c r="H57" s="415"/>
      <c r="I57" s="415"/>
      <c r="J57" s="415"/>
      <c r="K57" s="415"/>
      <c r="L57" s="415"/>
      <c r="M57" s="416"/>
      <c r="N57" s="191"/>
      <c r="O57" s="74"/>
      <c r="P57" s="419"/>
      <c r="Q57" s="419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20"/>
      <c r="B58" s="419"/>
      <c r="C58" s="192"/>
      <c r="D58" s="192"/>
      <c r="E58" s="195"/>
      <c r="F58" s="415"/>
      <c r="G58" s="415"/>
      <c r="H58" s="415"/>
      <c r="I58" s="415"/>
      <c r="J58" s="415"/>
      <c r="K58" s="415"/>
      <c r="L58" s="415"/>
      <c r="M58" s="416"/>
      <c r="N58" s="191"/>
      <c r="O58" s="74"/>
      <c r="P58" s="417"/>
      <c r="Q58" s="418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13"/>
      <c r="B59" s="414"/>
      <c r="C59" s="195"/>
      <c r="D59" s="192"/>
      <c r="E59" s="195"/>
      <c r="F59" s="415"/>
      <c r="G59" s="415"/>
      <c r="H59" s="415"/>
      <c r="I59" s="415"/>
      <c r="J59" s="415"/>
      <c r="K59" s="415"/>
      <c r="L59" s="415"/>
      <c r="M59" s="416"/>
      <c r="N59" s="191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20"/>
      <c r="B60" s="419"/>
      <c r="C60" s="192"/>
      <c r="D60" s="192"/>
      <c r="E60" s="192"/>
      <c r="F60" s="415"/>
      <c r="G60" s="415"/>
      <c r="H60" s="415"/>
      <c r="I60" s="415"/>
      <c r="J60" s="415"/>
      <c r="K60" s="415"/>
      <c r="L60" s="415"/>
      <c r="M60" s="416"/>
      <c r="N60" s="191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  <c r="AF60" s="94">
        <f>8*3000</f>
        <v>24000</v>
      </c>
    </row>
    <row r="61" spans="1:32" ht="27" customHeight="1" thickBot="1">
      <c r="A61" s="421"/>
      <c r="B61" s="422"/>
      <c r="C61" s="194"/>
      <c r="D61" s="194"/>
      <c r="E61" s="194"/>
      <c r="F61" s="423"/>
      <c r="G61" s="423"/>
      <c r="H61" s="423"/>
      <c r="I61" s="423"/>
      <c r="J61" s="423"/>
      <c r="K61" s="423"/>
      <c r="L61" s="423"/>
      <c r="M61" s="424"/>
      <c r="N61" s="193"/>
      <c r="O61" s="121"/>
      <c r="P61" s="422"/>
      <c r="Q61" s="422"/>
      <c r="R61" s="422"/>
      <c r="S61" s="422"/>
      <c r="T61" s="422"/>
      <c r="U61" s="422"/>
      <c r="V61" s="423"/>
      <c r="W61" s="423"/>
      <c r="X61" s="423"/>
      <c r="Y61" s="423"/>
      <c r="Z61" s="423"/>
      <c r="AA61" s="423"/>
      <c r="AB61" s="423"/>
      <c r="AC61" s="423"/>
      <c r="AD61" s="424"/>
      <c r="AF61" s="94">
        <f>16*3000</f>
        <v>48000</v>
      </c>
    </row>
    <row r="62" spans="1:32" ht="27.75" thickBot="1">
      <c r="A62" s="425" t="s">
        <v>453</v>
      </c>
      <c r="B62" s="425"/>
      <c r="C62" s="425"/>
      <c r="D62" s="425"/>
      <c r="E62" s="425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6" t="s">
        <v>118</v>
      </c>
      <c r="B63" s="427"/>
      <c r="C63" s="190" t="s">
        <v>2</v>
      </c>
      <c r="D63" s="190" t="s">
        <v>38</v>
      </c>
      <c r="E63" s="190" t="s">
        <v>3</v>
      </c>
      <c r="F63" s="427" t="s">
        <v>115</v>
      </c>
      <c r="G63" s="427"/>
      <c r="H63" s="427"/>
      <c r="I63" s="427"/>
      <c r="J63" s="427"/>
      <c r="K63" s="427" t="s">
        <v>40</v>
      </c>
      <c r="L63" s="427"/>
      <c r="M63" s="190" t="s">
        <v>41</v>
      </c>
      <c r="N63" s="427" t="s">
        <v>42</v>
      </c>
      <c r="O63" s="427"/>
      <c r="P63" s="428" t="s">
        <v>43</v>
      </c>
      <c r="Q63" s="429"/>
      <c r="R63" s="428" t="s">
        <v>44</v>
      </c>
      <c r="S63" s="430"/>
      <c r="T63" s="430"/>
      <c r="U63" s="430"/>
      <c r="V63" s="430"/>
      <c r="W63" s="430"/>
      <c r="X63" s="430"/>
      <c r="Y63" s="430"/>
      <c r="Z63" s="430"/>
      <c r="AA63" s="429"/>
      <c r="AB63" s="427" t="s">
        <v>45</v>
      </c>
      <c r="AC63" s="427"/>
      <c r="AD63" s="431"/>
      <c r="AF63" s="94">
        <f>SUM(AF60:AF62)</f>
        <v>96000</v>
      </c>
    </row>
    <row r="64" spans="1:32" ht="26.25" customHeight="1">
      <c r="A64" s="432">
        <v>1</v>
      </c>
      <c r="B64" s="433"/>
      <c r="C64" s="123" t="s">
        <v>200</v>
      </c>
      <c r="D64" s="186"/>
      <c r="E64" s="188" t="s">
        <v>454</v>
      </c>
      <c r="F64" s="434" t="s">
        <v>455</v>
      </c>
      <c r="G64" s="434"/>
      <c r="H64" s="434"/>
      <c r="I64" s="434"/>
      <c r="J64" s="434"/>
      <c r="K64" s="435" t="s">
        <v>456</v>
      </c>
      <c r="L64" s="436"/>
      <c r="M64" s="54" t="s">
        <v>457</v>
      </c>
      <c r="N64" s="434">
        <v>12</v>
      </c>
      <c r="O64" s="434"/>
      <c r="P64" s="437">
        <v>150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2</v>
      </c>
      <c r="B65" s="433"/>
      <c r="C65" s="123"/>
      <c r="D65" s="186"/>
      <c r="E65" s="188"/>
      <c r="F65" s="434"/>
      <c r="G65" s="434"/>
      <c r="H65" s="434"/>
      <c r="I65" s="434"/>
      <c r="J65" s="434"/>
      <c r="K65" s="434"/>
      <c r="L65" s="434"/>
      <c r="M65" s="54"/>
      <c r="N65" s="434"/>
      <c r="O65" s="434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3</v>
      </c>
      <c r="B66" s="433"/>
      <c r="C66" s="123"/>
      <c r="D66" s="186"/>
      <c r="E66" s="188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4</v>
      </c>
      <c r="B67" s="433"/>
      <c r="C67" s="123"/>
      <c r="D67" s="186"/>
      <c r="E67" s="188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5</v>
      </c>
      <c r="B68" s="433"/>
      <c r="C68" s="123"/>
      <c r="D68" s="186"/>
      <c r="E68" s="188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6</v>
      </c>
      <c r="B69" s="433"/>
      <c r="C69" s="123"/>
      <c r="D69" s="186"/>
      <c r="E69" s="188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7</v>
      </c>
      <c r="B70" s="433"/>
      <c r="C70" s="123"/>
      <c r="D70" s="186"/>
      <c r="E70" s="188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8</v>
      </c>
      <c r="B71" s="433"/>
      <c r="C71" s="123"/>
      <c r="D71" s="186"/>
      <c r="E71" s="188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 thickBot="1">
      <c r="A72" s="439" t="s">
        <v>458</v>
      </c>
      <c r="B72" s="439"/>
      <c r="C72" s="439"/>
      <c r="D72" s="439"/>
      <c r="E72" s="439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40" t="s">
        <v>118</v>
      </c>
      <c r="B73" s="441"/>
      <c r="C73" s="189" t="s">
        <v>2</v>
      </c>
      <c r="D73" s="189" t="s">
        <v>38</v>
      </c>
      <c r="E73" s="189" t="s">
        <v>3</v>
      </c>
      <c r="F73" s="441" t="s">
        <v>39</v>
      </c>
      <c r="G73" s="441"/>
      <c r="H73" s="441"/>
      <c r="I73" s="441"/>
      <c r="J73" s="441"/>
      <c r="K73" s="442" t="s">
        <v>60</v>
      </c>
      <c r="L73" s="443"/>
      <c r="M73" s="443"/>
      <c r="N73" s="443"/>
      <c r="O73" s="443"/>
      <c r="P73" s="443"/>
      <c r="Q73" s="443"/>
      <c r="R73" s="443"/>
      <c r="S73" s="444"/>
      <c r="T73" s="441" t="s">
        <v>50</v>
      </c>
      <c r="U73" s="441"/>
      <c r="V73" s="442" t="s">
        <v>51</v>
      </c>
      <c r="W73" s="444"/>
      <c r="X73" s="443" t="s">
        <v>52</v>
      </c>
      <c r="Y73" s="443"/>
      <c r="Z73" s="443"/>
      <c r="AA73" s="443"/>
      <c r="AB73" s="443"/>
      <c r="AC73" s="443"/>
      <c r="AD73" s="445"/>
      <c r="AF73" s="53"/>
    </row>
    <row r="74" spans="1:32" ht="33.75" customHeight="1">
      <c r="A74" s="454">
        <v>1</v>
      </c>
      <c r="B74" s="455"/>
      <c r="C74" s="187" t="s">
        <v>62</v>
      </c>
      <c r="D74" s="187"/>
      <c r="E74" s="71" t="s">
        <v>58</v>
      </c>
      <c r="F74" s="456" t="s">
        <v>63</v>
      </c>
      <c r="G74" s="457"/>
      <c r="H74" s="457"/>
      <c r="I74" s="457"/>
      <c r="J74" s="458"/>
      <c r="K74" s="459" t="s">
        <v>61</v>
      </c>
      <c r="L74" s="460"/>
      <c r="M74" s="460"/>
      <c r="N74" s="460"/>
      <c r="O74" s="460"/>
      <c r="P74" s="460"/>
      <c r="Q74" s="460"/>
      <c r="R74" s="460"/>
      <c r="S74" s="461"/>
      <c r="T74" s="462">
        <v>41791</v>
      </c>
      <c r="U74" s="463"/>
      <c r="V74" s="464"/>
      <c r="W74" s="464"/>
      <c r="X74" s="465"/>
      <c r="Y74" s="465"/>
      <c r="Z74" s="465"/>
      <c r="AA74" s="465"/>
      <c r="AB74" s="465"/>
      <c r="AC74" s="465"/>
      <c r="AD74" s="466"/>
      <c r="AF74" s="53"/>
    </row>
    <row r="75" spans="1:32" ht="30" customHeight="1">
      <c r="A75" s="446">
        <f>A74+1</f>
        <v>2</v>
      </c>
      <c r="B75" s="447"/>
      <c r="C75" s="186" t="s">
        <v>135</v>
      </c>
      <c r="D75" s="186"/>
      <c r="E75" s="35" t="s">
        <v>123</v>
      </c>
      <c r="F75" s="447" t="s">
        <v>291</v>
      </c>
      <c r="G75" s="447"/>
      <c r="H75" s="447"/>
      <c r="I75" s="447"/>
      <c r="J75" s="447"/>
      <c r="K75" s="448" t="s">
        <v>377</v>
      </c>
      <c r="L75" s="449"/>
      <c r="M75" s="449"/>
      <c r="N75" s="449"/>
      <c r="O75" s="449"/>
      <c r="P75" s="449"/>
      <c r="Q75" s="449"/>
      <c r="R75" s="449"/>
      <c r="S75" s="450"/>
      <c r="T75" s="451">
        <v>42772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ref="A76:A82" si="19">A75+1</f>
        <v>3</v>
      </c>
      <c r="B76" s="447"/>
      <c r="C76" s="186" t="s">
        <v>62</v>
      </c>
      <c r="D76" s="186"/>
      <c r="E76" s="35" t="s">
        <v>121</v>
      </c>
      <c r="F76" s="447" t="s">
        <v>127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9"/>
        <v>4</v>
      </c>
      <c r="B77" s="447"/>
      <c r="C77" s="186" t="s">
        <v>62</v>
      </c>
      <c r="D77" s="186"/>
      <c r="E77" s="35" t="s">
        <v>121</v>
      </c>
      <c r="F77" s="447" t="s">
        <v>126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9"/>
        <v>5</v>
      </c>
      <c r="B78" s="447"/>
      <c r="C78" s="186" t="s">
        <v>62</v>
      </c>
      <c r="D78" s="186"/>
      <c r="E78" s="35" t="s">
        <v>58</v>
      </c>
      <c r="F78" s="447" t="s">
        <v>128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9"/>
        <v>6</v>
      </c>
      <c r="B79" s="447"/>
      <c r="C79" s="186" t="s">
        <v>135</v>
      </c>
      <c r="D79" s="186"/>
      <c r="E79" s="35" t="s">
        <v>160</v>
      </c>
      <c r="F79" s="447" t="s">
        <v>150</v>
      </c>
      <c r="G79" s="447"/>
      <c r="H79" s="447"/>
      <c r="I79" s="447"/>
      <c r="J79" s="447"/>
      <c r="K79" s="448" t="s">
        <v>133</v>
      </c>
      <c r="L79" s="449"/>
      <c r="M79" s="449"/>
      <c r="N79" s="449"/>
      <c r="O79" s="449"/>
      <c r="P79" s="449"/>
      <c r="Q79" s="449"/>
      <c r="R79" s="449"/>
      <c r="S79" s="450"/>
      <c r="T79" s="451">
        <v>42770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9"/>
        <v>7</v>
      </c>
      <c r="B80" s="447"/>
      <c r="C80" s="186" t="s">
        <v>181</v>
      </c>
      <c r="D80" s="186"/>
      <c r="E80" s="35"/>
      <c r="F80" s="447" t="s">
        <v>162</v>
      </c>
      <c r="G80" s="447"/>
      <c r="H80" s="447"/>
      <c r="I80" s="447"/>
      <c r="J80" s="447"/>
      <c r="K80" s="448" t="s">
        <v>183</v>
      </c>
      <c r="L80" s="449"/>
      <c r="M80" s="449"/>
      <c r="N80" s="449"/>
      <c r="O80" s="449"/>
      <c r="P80" s="449"/>
      <c r="Q80" s="449"/>
      <c r="R80" s="449"/>
      <c r="S80" s="450"/>
      <c r="T80" s="451">
        <v>42759</v>
      </c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9"/>
        <v>8</v>
      </c>
      <c r="B81" s="447"/>
      <c r="C81" s="186"/>
      <c r="D81" s="186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19"/>
        <v>9</v>
      </c>
      <c r="B82" s="447"/>
      <c r="C82" s="186"/>
      <c r="D82" s="186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6" thickBot="1">
      <c r="A83" s="439" t="s">
        <v>459</v>
      </c>
      <c r="B83" s="439"/>
      <c r="C83" s="439"/>
      <c r="D83" s="439"/>
      <c r="E83" s="439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7" t="s">
        <v>37</v>
      </c>
      <c r="B84" s="468"/>
      <c r="C84" s="468" t="s">
        <v>53</v>
      </c>
      <c r="D84" s="468"/>
      <c r="E84" s="468" t="s">
        <v>54</v>
      </c>
      <c r="F84" s="468"/>
      <c r="G84" s="468"/>
      <c r="H84" s="468"/>
      <c r="I84" s="468"/>
      <c r="J84" s="468"/>
      <c r="K84" s="468" t="s">
        <v>55</v>
      </c>
      <c r="L84" s="468"/>
      <c r="M84" s="468"/>
      <c r="N84" s="468"/>
      <c r="O84" s="468"/>
      <c r="P84" s="468"/>
      <c r="Q84" s="468"/>
      <c r="R84" s="468"/>
      <c r="S84" s="468"/>
      <c r="T84" s="468" t="s">
        <v>56</v>
      </c>
      <c r="U84" s="468"/>
      <c r="V84" s="468" t="s">
        <v>57</v>
      </c>
      <c r="W84" s="468"/>
      <c r="X84" s="468"/>
      <c r="Y84" s="468" t="s">
        <v>52</v>
      </c>
      <c r="Z84" s="468"/>
      <c r="AA84" s="468"/>
      <c r="AB84" s="468"/>
      <c r="AC84" s="468"/>
      <c r="AD84" s="469"/>
      <c r="AF84" s="53"/>
    </row>
    <row r="85" spans="1:32" ht="30.75" customHeight="1">
      <c r="A85" s="470">
        <v>1</v>
      </c>
      <c r="B85" s="471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>
      <c r="A86" s="446">
        <v>2</v>
      </c>
      <c r="B86" s="447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 thickBot="1">
      <c r="A87" s="476">
        <v>3</v>
      </c>
      <c r="B87" s="477"/>
      <c r="C87" s="477"/>
      <c r="D87" s="477"/>
      <c r="E87" s="477"/>
      <c r="F87" s="477"/>
      <c r="G87" s="477"/>
      <c r="H87" s="477"/>
      <c r="I87" s="477"/>
      <c r="J87" s="477"/>
      <c r="K87" s="477"/>
      <c r="L87" s="477"/>
      <c r="M87" s="477"/>
      <c r="N87" s="477"/>
      <c r="O87" s="477"/>
      <c r="P87" s="477"/>
      <c r="Q87" s="477"/>
      <c r="R87" s="477"/>
      <c r="S87" s="477"/>
      <c r="T87" s="477"/>
      <c r="U87" s="477"/>
      <c r="V87" s="477"/>
      <c r="W87" s="477"/>
      <c r="X87" s="477"/>
      <c r="Y87" s="478"/>
      <c r="Z87" s="478"/>
      <c r="AA87" s="478"/>
      <c r="AB87" s="478"/>
      <c r="AC87" s="478"/>
      <c r="AD87" s="479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view="pageBreakPreview" zoomScale="70" zoomScaleNormal="70" zoomScaleSheetLayoutView="70" workbookViewId="0">
      <selection activeCell="T10" sqref="T1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460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286</v>
      </c>
      <c r="E6" s="56" t="s">
        <v>287</v>
      </c>
      <c r="F6" s="12" t="s">
        <v>158</v>
      </c>
      <c r="G6" s="36">
        <v>1</v>
      </c>
      <c r="H6" s="38">
        <v>25</v>
      </c>
      <c r="I6" s="7">
        <v>5000</v>
      </c>
      <c r="J6" s="14">
        <v>4220</v>
      </c>
      <c r="K6" s="15">
        <f>L6+3543+4332+4821+4818</f>
        <v>21731</v>
      </c>
      <c r="L6" s="15">
        <f>1910+2307</f>
        <v>4217</v>
      </c>
      <c r="M6" s="16">
        <f t="shared" ref="M6:M21" si="0">L6-N6</f>
        <v>4217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0.99928909952606637</v>
      </c>
      <c r="AC6" s="9">
        <f t="shared" ref="AC6:AC21" si="5">IF(P6=0,"0",(P6/24))</f>
        <v>1</v>
      </c>
      <c r="AD6" s="10">
        <f t="shared" ref="AD6:AD21" si="6">AC6*AB6*(1-O6)</f>
        <v>0.99928909952606637</v>
      </c>
      <c r="AE6" s="39">
        <f t="shared" ref="AE6:AE21" si="7">$AD$22</f>
        <v>0.64098020710511372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37" t="s">
        <v>431</v>
      </c>
      <c r="D7" s="55" t="s">
        <v>432</v>
      </c>
      <c r="E7" s="57" t="s">
        <v>433</v>
      </c>
      <c r="F7" s="33" t="s">
        <v>434</v>
      </c>
      <c r="G7" s="36">
        <v>4</v>
      </c>
      <c r="H7" s="38">
        <v>20</v>
      </c>
      <c r="I7" s="7">
        <v>100000</v>
      </c>
      <c r="J7" s="5">
        <v>20940</v>
      </c>
      <c r="K7" s="15">
        <f>L7+10008</f>
        <v>30944</v>
      </c>
      <c r="L7" s="15">
        <f>2717*4+2517*4</f>
        <v>20936</v>
      </c>
      <c r="M7" s="16">
        <f t="shared" si="0"/>
        <v>20936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0.99980897803247371</v>
      </c>
      <c r="AC7" s="9">
        <f t="shared" si="5"/>
        <v>1</v>
      </c>
      <c r="AD7" s="10">
        <f t="shared" si="6"/>
        <v>0.99980897803247371</v>
      </c>
      <c r="AE7" s="39">
        <f t="shared" si="7"/>
        <v>0.64098020710511372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0.64098020710511372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121</v>
      </c>
      <c r="E9" s="57" t="s">
        <v>274</v>
      </c>
      <c r="F9" s="12" t="s">
        <v>290</v>
      </c>
      <c r="G9" s="12">
        <v>1</v>
      </c>
      <c r="H9" s="13">
        <v>25</v>
      </c>
      <c r="I9" s="34">
        <v>20000</v>
      </c>
      <c r="J9" s="5">
        <v>5400</v>
      </c>
      <c r="K9" s="15">
        <f>L9+4139</f>
        <v>9535</v>
      </c>
      <c r="L9" s="15">
        <f>2949+2447</f>
        <v>5396</v>
      </c>
      <c r="M9" s="16">
        <f t="shared" si="0"/>
        <v>5396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0.99925925925925929</v>
      </c>
      <c r="AC9" s="9">
        <f t="shared" si="5"/>
        <v>1</v>
      </c>
      <c r="AD9" s="10">
        <f t="shared" si="6"/>
        <v>0.99925925925925929</v>
      </c>
      <c r="AE9" s="39">
        <f t="shared" si="7"/>
        <v>0.64098020710511372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180</v>
      </c>
      <c r="D10" s="55" t="s">
        <v>470</v>
      </c>
      <c r="E10" s="57" t="s">
        <v>485</v>
      </c>
      <c r="F10" s="12" t="s">
        <v>471</v>
      </c>
      <c r="G10" s="12">
        <v>1</v>
      </c>
      <c r="H10" s="13">
        <v>25</v>
      </c>
      <c r="I10" s="34">
        <v>300</v>
      </c>
      <c r="J10" s="5">
        <v>300</v>
      </c>
      <c r="K10" s="15">
        <f>L10</f>
        <v>300</v>
      </c>
      <c r="L10" s="15">
        <v>300</v>
      </c>
      <c r="M10" s="16">
        <f t="shared" si="0"/>
        <v>300</v>
      </c>
      <c r="N10" s="16">
        <v>0</v>
      </c>
      <c r="O10" s="62">
        <f t="shared" si="1"/>
        <v>0</v>
      </c>
      <c r="P10" s="42">
        <f t="shared" si="2"/>
        <v>3</v>
      </c>
      <c r="Q10" s="43">
        <f t="shared" si="3"/>
        <v>21</v>
      </c>
      <c r="R10" s="7"/>
      <c r="S10" s="6"/>
      <c r="T10" s="17"/>
      <c r="U10" s="17"/>
      <c r="V10" s="18"/>
      <c r="W10" s="19">
        <v>21</v>
      </c>
      <c r="X10" s="17"/>
      <c r="Y10" s="20"/>
      <c r="Z10" s="20"/>
      <c r="AA10" s="21"/>
      <c r="AB10" s="8">
        <f t="shared" si="4"/>
        <v>1</v>
      </c>
      <c r="AC10" s="9">
        <f t="shared" si="5"/>
        <v>0.125</v>
      </c>
      <c r="AD10" s="10">
        <f t="shared" si="6"/>
        <v>0.125</v>
      </c>
      <c r="AE10" s="39">
        <f t="shared" si="7"/>
        <v>0.64098020710511372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361</v>
      </c>
      <c r="E11" s="56" t="s">
        <v>386</v>
      </c>
      <c r="F11" s="12" t="s">
        <v>367</v>
      </c>
      <c r="G11" s="12">
        <v>1</v>
      </c>
      <c r="H11" s="13">
        <v>25</v>
      </c>
      <c r="I11" s="34">
        <v>5000</v>
      </c>
      <c r="J11" s="14">
        <v>4840</v>
      </c>
      <c r="K11" s="15">
        <f>L11+4062+5380</f>
        <v>14281</v>
      </c>
      <c r="L11" s="15">
        <f>2271+2568</f>
        <v>4839</v>
      </c>
      <c r="M11" s="16">
        <f t="shared" si="0"/>
        <v>4839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0.99979338842975207</v>
      </c>
      <c r="AC11" s="9">
        <f t="shared" si="5"/>
        <v>1</v>
      </c>
      <c r="AD11" s="10">
        <f t="shared" si="6"/>
        <v>0.99979338842975207</v>
      </c>
      <c r="AE11" s="39">
        <f t="shared" si="7"/>
        <v>0.64098020710511372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463</v>
      </c>
      <c r="E12" s="57" t="s">
        <v>461</v>
      </c>
      <c r="F12" s="12" t="s">
        <v>462</v>
      </c>
      <c r="G12" s="12">
        <v>1</v>
      </c>
      <c r="H12" s="13">
        <v>25</v>
      </c>
      <c r="I12" s="34">
        <v>22000</v>
      </c>
      <c r="J12" s="5">
        <v>4220</v>
      </c>
      <c r="K12" s="15">
        <f>L12</f>
        <v>4213</v>
      </c>
      <c r="L12" s="15">
        <f>2399+1814</f>
        <v>4213</v>
      </c>
      <c r="M12" s="16">
        <f t="shared" si="0"/>
        <v>4213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0.99834123222748816</v>
      </c>
      <c r="AC12" s="9">
        <f t="shared" si="5"/>
        <v>1</v>
      </c>
      <c r="AD12" s="10">
        <f t="shared" si="6"/>
        <v>0.99834123222748816</v>
      </c>
      <c r="AE12" s="39">
        <f t="shared" si="7"/>
        <v>0.64098020710511372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213</v>
      </c>
      <c r="D13" s="55" t="s">
        <v>463</v>
      </c>
      <c r="E13" s="57" t="s">
        <v>477</v>
      </c>
      <c r="F13" s="12" t="s">
        <v>465</v>
      </c>
      <c r="G13" s="12">
        <v>1</v>
      </c>
      <c r="H13" s="13">
        <v>25</v>
      </c>
      <c r="I13" s="7">
        <v>500</v>
      </c>
      <c r="J13" s="14">
        <v>870</v>
      </c>
      <c r="K13" s="15">
        <f>L13</f>
        <v>863</v>
      </c>
      <c r="L13" s="15">
        <f>863</f>
        <v>863</v>
      </c>
      <c r="M13" s="16">
        <f t="shared" ref="M13" si="9">L13-N13</f>
        <v>863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10</v>
      </c>
      <c r="Q13" s="43">
        <f t="shared" ref="Q13" si="12">SUM(R13:AA13)</f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ref="AB13" si="13">IF(J13=0,"0",(L13/J13))</f>
        <v>0.99195402298850577</v>
      </c>
      <c r="AC13" s="9">
        <f t="shared" ref="AC13" si="14">IF(P13=0,"0",(P13/24))</f>
        <v>0.41666666666666669</v>
      </c>
      <c r="AD13" s="10">
        <f t="shared" ref="AD13" si="15">AC13*AB13*(1-O13)</f>
        <v>0.41331417624521077</v>
      </c>
      <c r="AE13" s="39">
        <f t="shared" si="7"/>
        <v>0.64098020710511372</v>
      </c>
      <c r="AF13" s="94">
        <f t="shared" ref="AF13" si="16">A13</f>
        <v>8</v>
      </c>
    </row>
    <row r="14" spans="1:32" ht="27" customHeight="1">
      <c r="A14" s="110">
        <v>8</v>
      </c>
      <c r="B14" s="11" t="s">
        <v>59</v>
      </c>
      <c r="C14" s="11" t="s">
        <v>135</v>
      </c>
      <c r="D14" s="55" t="s">
        <v>123</v>
      </c>
      <c r="E14" s="57" t="s">
        <v>291</v>
      </c>
      <c r="F14" s="12" t="s">
        <v>229</v>
      </c>
      <c r="G14" s="12">
        <v>1</v>
      </c>
      <c r="H14" s="13">
        <v>25</v>
      </c>
      <c r="I14" s="7">
        <v>5000</v>
      </c>
      <c r="J14" s="14">
        <v>3070</v>
      </c>
      <c r="K14" s="15">
        <f>L14+4480+1541+4152+6004</f>
        <v>19239</v>
      </c>
      <c r="L14" s="15">
        <v>3062</v>
      </c>
      <c r="M14" s="16">
        <f t="shared" si="0"/>
        <v>3062</v>
      </c>
      <c r="N14" s="16">
        <v>0</v>
      </c>
      <c r="O14" s="62">
        <f t="shared" si="1"/>
        <v>0</v>
      </c>
      <c r="P14" s="42">
        <f t="shared" si="2"/>
        <v>13</v>
      </c>
      <c r="Q14" s="43">
        <f t="shared" si="3"/>
        <v>11</v>
      </c>
      <c r="R14" s="7"/>
      <c r="S14" s="6"/>
      <c r="T14" s="17">
        <v>11</v>
      </c>
      <c r="U14" s="17"/>
      <c r="V14" s="18"/>
      <c r="W14" s="19"/>
      <c r="X14" s="17"/>
      <c r="Y14" s="20"/>
      <c r="Z14" s="20"/>
      <c r="AA14" s="21"/>
      <c r="AB14" s="8">
        <f t="shared" si="4"/>
        <v>0.99739413680781763</v>
      </c>
      <c r="AC14" s="9">
        <f t="shared" si="5"/>
        <v>0.54166666666666663</v>
      </c>
      <c r="AD14" s="10">
        <f t="shared" si="6"/>
        <v>0.5402551574375678</v>
      </c>
      <c r="AE14" s="39">
        <f t="shared" si="7"/>
        <v>0.64098020710511372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188</v>
      </c>
      <c r="F15" s="33" t="s">
        <v>137</v>
      </c>
      <c r="G15" s="36">
        <v>1</v>
      </c>
      <c r="H15" s="38">
        <v>50</v>
      </c>
      <c r="I15" s="7">
        <v>100</v>
      </c>
      <c r="J15" s="5">
        <v>260</v>
      </c>
      <c r="K15" s="15">
        <f>L15+258</f>
        <v>258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0.64098020710511372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293</v>
      </c>
      <c r="D16" s="55" t="s">
        <v>294</v>
      </c>
      <c r="E16" s="57"/>
      <c r="F16" s="12" t="s">
        <v>295</v>
      </c>
      <c r="G16" s="12">
        <v>3</v>
      </c>
      <c r="H16" s="13">
        <v>12</v>
      </c>
      <c r="I16" s="34">
        <v>60000</v>
      </c>
      <c r="J16" s="5">
        <v>25070</v>
      </c>
      <c r="K16" s="15">
        <f>L16+23046+22200+25068</f>
        <v>70314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0.64098020710511372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435</v>
      </c>
      <c r="D17" s="55" t="s">
        <v>436</v>
      </c>
      <c r="E17" s="56" t="s">
        <v>437</v>
      </c>
      <c r="F17" s="12">
        <v>7301</v>
      </c>
      <c r="G17" s="36">
        <v>1</v>
      </c>
      <c r="H17" s="38">
        <v>25</v>
      </c>
      <c r="I17" s="7">
        <v>3000</v>
      </c>
      <c r="J17" s="14">
        <v>5910</v>
      </c>
      <c r="K17" s="15">
        <f>L17+5518</f>
        <v>11426</v>
      </c>
      <c r="L17" s="15">
        <f>2953+2955</f>
        <v>5908</v>
      </c>
      <c r="M17" s="16">
        <f t="shared" si="0"/>
        <v>5908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0.99966159052453474</v>
      </c>
      <c r="AC17" s="9">
        <f t="shared" si="5"/>
        <v>1</v>
      </c>
      <c r="AD17" s="10">
        <f t="shared" si="6"/>
        <v>0.99966159052453474</v>
      </c>
      <c r="AE17" s="39">
        <f t="shared" si="7"/>
        <v>0.64098020710511372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466</v>
      </c>
      <c r="D18" s="55" t="s">
        <v>467</v>
      </c>
      <c r="E18" s="56" t="s">
        <v>468</v>
      </c>
      <c r="F18" s="12">
        <v>8301</v>
      </c>
      <c r="G18" s="12">
        <v>1</v>
      </c>
      <c r="H18" s="13">
        <v>25</v>
      </c>
      <c r="I18" s="34">
        <v>2500</v>
      </c>
      <c r="J18" s="5">
        <v>2930</v>
      </c>
      <c r="K18" s="15">
        <f>L18</f>
        <v>2929</v>
      </c>
      <c r="L18" s="15">
        <f>2873+56</f>
        <v>2929</v>
      </c>
      <c r="M18" s="16">
        <f t="shared" si="0"/>
        <v>2929</v>
      </c>
      <c r="N18" s="16">
        <v>0</v>
      </c>
      <c r="O18" s="62">
        <f t="shared" si="1"/>
        <v>0</v>
      </c>
      <c r="P18" s="42">
        <f t="shared" si="2"/>
        <v>13</v>
      </c>
      <c r="Q18" s="43">
        <f t="shared" si="3"/>
        <v>11</v>
      </c>
      <c r="R18" s="7"/>
      <c r="S18" s="6"/>
      <c r="T18" s="17">
        <v>11</v>
      </c>
      <c r="U18" s="17"/>
      <c r="V18" s="18"/>
      <c r="W18" s="19"/>
      <c r="X18" s="17"/>
      <c r="Y18" s="20"/>
      <c r="Z18" s="20"/>
      <c r="AA18" s="21"/>
      <c r="AB18" s="8">
        <f t="shared" si="4"/>
        <v>0.99965870307167237</v>
      </c>
      <c r="AC18" s="9">
        <f t="shared" si="5"/>
        <v>0.54166666666666663</v>
      </c>
      <c r="AD18" s="10">
        <f t="shared" si="6"/>
        <v>0.54148179749715586</v>
      </c>
      <c r="AE18" s="39">
        <f t="shared" si="7"/>
        <v>0.64098020710511372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135</v>
      </c>
      <c r="D19" s="55" t="s">
        <v>244</v>
      </c>
      <c r="E19" s="56" t="s">
        <v>148</v>
      </c>
      <c r="F19" s="33" t="s">
        <v>136</v>
      </c>
      <c r="G19" s="36">
        <v>1</v>
      </c>
      <c r="H19" s="38">
        <v>25</v>
      </c>
      <c r="I19" s="7">
        <v>8000</v>
      </c>
      <c r="J19" s="5">
        <v>5590</v>
      </c>
      <c r="K19" s="15">
        <f>L19+2460+4897</f>
        <v>12945</v>
      </c>
      <c r="L19" s="15">
        <f>2904+2684</f>
        <v>5588</v>
      </c>
      <c r="M19" s="16">
        <f t="shared" si="0"/>
        <v>5588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0.99964221824686939</v>
      </c>
      <c r="AC19" s="9">
        <f t="shared" si="5"/>
        <v>1</v>
      </c>
      <c r="AD19" s="10">
        <f t="shared" si="6"/>
        <v>0.99964221824686939</v>
      </c>
      <c r="AE19" s="39">
        <f t="shared" si="7"/>
        <v>0.64098020710511372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135</v>
      </c>
      <c r="D20" s="55" t="s">
        <v>215</v>
      </c>
      <c r="E20" s="57" t="s">
        <v>392</v>
      </c>
      <c r="F20" s="33" t="s">
        <v>136</v>
      </c>
      <c r="G20" s="36">
        <v>1</v>
      </c>
      <c r="H20" s="38">
        <v>25</v>
      </c>
      <c r="I20" s="34">
        <v>10000</v>
      </c>
      <c r="J20" s="5">
        <v>6120</v>
      </c>
      <c r="K20" s="15">
        <f>L20+3051+6098</f>
        <v>15262</v>
      </c>
      <c r="L20" s="15">
        <f>3191+2922</f>
        <v>6113</v>
      </c>
      <c r="M20" s="16">
        <f t="shared" si="0"/>
        <v>6113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0.9988562091503268</v>
      </c>
      <c r="AC20" s="9">
        <f t="shared" si="5"/>
        <v>1</v>
      </c>
      <c r="AD20" s="10">
        <f t="shared" si="6"/>
        <v>0.9988562091503268</v>
      </c>
      <c r="AE20" s="39">
        <f t="shared" si="7"/>
        <v>0.64098020710511372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144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46440</v>
      </c>
      <c r="K21" s="15">
        <f>L21+46064+56292+46436</f>
        <v>148792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0.64098020710511372</v>
      </c>
      <c r="AF21" s="94">
        <f t="shared" si="8"/>
        <v>15</v>
      </c>
    </row>
    <row r="22" spans="1:32" ht="31.5" customHeight="1" thickBot="1">
      <c r="A22" s="386" t="s">
        <v>34</v>
      </c>
      <c r="B22" s="387"/>
      <c r="C22" s="387"/>
      <c r="D22" s="387"/>
      <c r="E22" s="387"/>
      <c r="F22" s="387"/>
      <c r="G22" s="387"/>
      <c r="H22" s="388"/>
      <c r="I22" s="25">
        <f t="shared" ref="I22:N22" si="17">SUM(I6:I21)</f>
        <v>941400</v>
      </c>
      <c r="J22" s="22">
        <f t="shared" si="17"/>
        <v>146790</v>
      </c>
      <c r="K22" s="23">
        <f t="shared" si="17"/>
        <v>601240</v>
      </c>
      <c r="L22" s="24">
        <f t="shared" si="17"/>
        <v>64364</v>
      </c>
      <c r="M22" s="23">
        <f t="shared" si="17"/>
        <v>64364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231</v>
      </c>
      <c r="Q22" s="46">
        <f t="shared" si="18"/>
        <v>153</v>
      </c>
      <c r="R22" s="26">
        <f t="shared" si="18"/>
        <v>0</v>
      </c>
      <c r="S22" s="27">
        <f t="shared" si="18"/>
        <v>24</v>
      </c>
      <c r="T22" s="27">
        <f t="shared" si="18"/>
        <v>22</v>
      </c>
      <c r="U22" s="27">
        <f t="shared" si="18"/>
        <v>0</v>
      </c>
      <c r="V22" s="28">
        <f t="shared" si="18"/>
        <v>0</v>
      </c>
      <c r="W22" s="29">
        <f t="shared" si="18"/>
        <v>107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0.79891058921765112</v>
      </c>
      <c r="AC22" s="4">
        <f>SUM(AC6:AC21)/15</f>
        <v>0.64166666666666672</v>
      </c>
      <c r="AD22" s="4">
        <f>SUM(AD6:AD21)/15</f>
        <v>0.64098020710511372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9" t="s">
        <v>46</v>
      </c>
      <c r="B49" s="389"/>
      <c r="C49" s="389"/>
      <c r="D49" s="389"/>
      <c r="E49" s="38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90" t="s">
        <v>469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2"/>
      <c r="N50" s="393" t="s">
        <v>478</v>
      </c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/>
      <c r="AC50" s="394"/>
      <c r="AD50" s="395"/>
    </row>
    <row r="51" spans="1:32" ht="27" customHeight="1">
      <c r="A51" s="396" t="s">
        <v>2</v>
      </c>
      <c r="B51" s="397"/>
      <c r="C51" s="199" t="s">
        <v>47</v>
      </c>
      <c r="D51" s="199" t="s">
        <v>48</v>
      </c>
      <c r="E51" s="199" t="s">
        <v>113</v>
      </c>
      <c r="F51" s="397" t="s">
        <v>112</v>
      </c>
      <c r="G51" s="397"/>
      <c r="H51" s="397"/>
      <c r="I51" s="397"/>
      <c r="J51" s="397"/>
      <c r="K51" s="397"/>
      <c r="L51" s="397"/>
      <c r="M51" s="398"/>
      <c r="N51" s="73" t="s">
        <v>117</v>
      </c>
      <c r="O51" s="199" t="s">
        <v>47</v>
      </c>
      <c r="P51" s="399" t="s">
        <v>48</v>
      </c>
      <c r="Q51" s="400"/>
      <c r="R51" s="399" t="s">
        <v>39</v>
      </c>
      <c r="S51" s="401"/>
      <c r="T51" s="401"/>
      <c r="U51" s="400"/>
      <c r="V51" s="399" t="s">
        <v>49</v>
      </c>
      <c r="W51" s="401"/>
      <c r="X51" s="401"/>
      <c r="Y51" s="401"/>
      <c r="Z51" s="401"/>
      <c r="AA51" s="401"/>
      <c r="AB51" s="401"/>
      <c r="AC51" s="401"/>
      <c r="AD51" s="402"/>
    </row>
    <row r="52" spans="1:32" ht="27" customHeight="1">
      <c r="A52" s="413" t="s">
        <v>472</v>
      </c>
      <c r="B52" s="414"/>
      <c r="C52" s="200" t="s">
        <v>473</v>
      </c>
      <c r="D52" s="201" t="s">
        <v>206</v>
      </c>
      <c r="E52" s="200" t="s">
        <v>461</v>
      </c>
      <c r="F52" s="415" t="s">
        <v>440</v>
      </c>
      <c r="G52" s="415"/>
      <c r="H52" s="415"/>
      <c r="I52" s="415"/>
      <c r="J52" s="415"/>
      <c r="K52" s="415"/>
      <c r="L52" s="415"/>
      <c r="M52" s="416"/>
      <c r="N52" s="202" t="s">
        <v>180</v>
      </c>
      <c r="O52" s="74" t="s">
        <v>486</v>
      </c>
      <c r="P52" s="417" t="s">
        <v>487</v>
      </c>
      <c r="Q52" s="418"/>
      <c r="R52" s="419" t="s">
        <v>488</v>
      </c>
      <c r="S52" s="419"/>
      <c r="T52" s="419"/>
      <c r="U52" s="419"/>
      <c r="V52" s="415" t="s">
        <v>175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297</v>
      </c>
      <c r="B53" s="414"/>
      <c r="C53" s="200" t="s">
        <v>208</v>
      </c>
      <c r="D53" s="201" t="s">
        <v>300</v>
      </c>
      <c r="E53" s="200" t="s">
        <v>474</v>
      </c>
      <c r="F53" s="415" t="s">
        <v>475</v>
      </c>
      <c r="G53" s="415"/>
      <c r="H53" s="415"/>
      <c r="I53" s="415"/>
      <c r="J53" s="415"/>
      <c r="K53" s="415"/>
      <c r="L53" s="415"/>
      <c r="M53" s="416"/>
      <c r="N53" s="202" t="s">
        <v>450</v>
      </c>
      <c r="O53" s="74" t="s">
        <v>319</v>
      </c>
      <c r="P53" s="417" t="s">
        <v>215</v>
      </c>
      <c r="Q53" s="418"/>
      <c r="R53" s="419" t="s">
        <v>489</v>
      </c>
      <c r="S53" s="419"/>
      <c r="T53" s="419"/>
      <c r="U53" s="419"/>
      <c r="V53" s="415" t="s">
        <v>175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20" t="s">
        <v>476</v>
      </c>
      <c r="B54" s="419"/>
      <c r="C54" s="201" t="s">
        <v>208</v>
      </c>
      <c r="D54" s="201" t="s">
        <v>206</v>
      </c>
      <c r="E54" s="200" t="s">
        <v>464</v>
      </c>
      <c r="F54" s="415" t="s">
        <v>170</v>
      </c>
      <c r="G54" s="415"/>
      <c r="H54" s="415"/>
      <c r="I54" s="415"/>
      <c r="J54" s="415"/>
      <c r="K54" s="415"/>
      <c r="L54" s="415"/>
      <c r="M54" s="416"/>
      <c r="N54" s="202" t="s">
        <v>466</v>
      </c>
      <c r="O54" s="74" t="s">
        <v>404</v>
      </c>
      <c r="P54" s="419" t="s">
        <v>463</v>
      </c>
      <c r="Q54" s="419"/>
      <c r="R54" s="419" t="s">
        <v>490</v>
      </c>
      <c r="S54" s="419"/>
      <c r="T54" s="419"/>
      <c r="U54" s="419"/>
      <c r="V54" s="415" t="s">
        <v>175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180</v>
      </c>
      <c r="B55" s="414"/>
      <c r="C55" s="200" t="s">
        <v>479</v>
      </c>
      <c r="D55" s="201" t="s">
        <v>480</v>
      </c>
      <c r="E55" s="200" t="s">
        <v>481</v>
      </c>
      <c r="F55" s="415" t="s">
        <v>482</v>
      </c>
      <c r="G55" s="415"/>
      <c r="H55" s="415"/>
      <c r="I55" s="415"/>
      <c r="J55" s="415"/>
      <c r="K55" s="415"/>
      <c r="L55" s="415"/>
      <c r="M55" s="416"/>
      <c r="N55" s="202" t="s">
        <v>122</v>
      </c>
      <c r="O55" s="74" t="s">
        <v>492</v>
      </c>
      <c r="P55" s="417" t="s">
        <v>206</v>
      </c>
      <c r="Q55" s="418"/>
      <c r="R55" s="419" t="s">
        <v>491</v>
      </c>
      <c r="S55" s="419"/>
      <c r="T55" s="419"/>
      <c r="U55" s="419"/>
      <c r="V55" s="415" t="s">
        <v>175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466</v>
      </c>
      <c r="B56" s="414"/>
      <c r="C56" s="200" t="s">
        <v>483</v>
      </c>
      <c r="D56" s="201" t="s">
        <v>467</v>
      </c>
      <c r="E56" s="200" t="s">
        <v>468</v>
      </c>
      <c r="F56" s="415" t="s">
        <v>175</v>
      </c>
      <c r="G56" s="415"/>
      <c r="H56" s="415"/>
      <c r="I56" s="415"/>
      <c r="J56" s="415"/>
      <c r="K56" s="415"/>
      <c r="L56" s="415"/>
      <c r="M56" s="416"/>
      <c r="N56" s="202"/>
      <c r="O56" s="74"/>
      <c r="P56" s="417"/>
      <c r="Q56" s="418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13" t="s">
        <v>180</v>
      </c>
      <c r="B57" s="414"/>
      <c r="C57" s="200" t="s">
        <v>484</v>
      </c>
      <c r="D57" s="201" t="s">
        <v>470</v>
      </c>
      <c r="E57" s="200" t="s">
        <v>494</v>
      </c>
      <c r="F57" s="415" t="s">
        <v>175</v>
      </c>
      <c r="G57" s="415"/>
      <c r="H57" s="415"/>
      <c r="I57" s="415"/>
      <c r="J57" s="415"/>
      <c r="K57" s="415"/>
      <c r="L57" s="415"/>
      <c r="M57" s="416"/>
      <c r="N57" s="202"/>
      <c r="O57" s="74"/>
      <c r="P57" s="419"/>
      <c r="Q57" s="419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20"/>
      <c r="B58" s="419"/>
      <c r="C58" s="201"/>
      <c r="D58" s="201"/>
      <c r="E58" s="200"/>
      <c r="F58" s="415"/>
      <c r="G58" s="415"/>
      <c r="H58" s="415"/>
      <c r="I58" s="415"/>
      <c r="J58" s="415"/>
      <c r="K58" s="415"/>
      <c r="L58" s="415"/>
      <c r="M58" s="416"/>
      <c r="N58" s="202"/>
      <c r="O58" s="74"/>
      <c r="P58" s="417"/>
      <c r="Q58" s="418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13"/>
      <c r="B59" s="414"/>
      <c r="C59" s="200"/>
      <c r="D59" s="201"/>
      <c r="E59" s="200"/>
      <c r="F59" s="415"/>
      <c r="G59" s="415"/>
      <c r="H59" s="415"/>
      <c r="I59" s="415"/>
      <c r="J59" s="415"/>
      <c r="K59" s="415"/>
      <c r="L59" s="415"/>
      <c r="M59" s="416"/>
      <c r="N59" s="202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20"/>
      <c r="B60" s="419"/>
      <c r="C60" s="201"/>
      <c r="D60" s="201"/>
      <c r="E60" s="201"/>
      <c r="F60" s="415"/>
      <c r="G60" s="415"/>
      <c r="H60" s="415"/>
      <c r="I60" s="415"/>
      <c r="J60" s="415"/>
      <c r="K60" s="415"/>
      <c r="L60" s="415"/>
      <c r="M60" s="416"/>
      <c r="N60" s="202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  <c r="AF60" s="94">
        <f>8*3000</f>
        <v>24000</v>
      </c>
    </row>
    <row r="61" spans="1:32" ht="27" customHeight="1" thickBot="1">
      <c r="A61" s="421"/>
      <c r="B61" s="422"/>
      <c r="C61" s="204"/>
      <c r="D61" s="204"/>
      <c r="E61" s="204"/>
      <c r="F61" s="423"/>
      <c r="G61" s="423"/>
      <c r="H61" s="423"/>
      <c r="I61" s="423"/>
      <c r="J61" s="423"/>
      <c r="K61" s="423"/>
      <c r="L61" s="423"/>
      <c r="M61" s="424"/>
      <c r="N61" s="203"/>
      <c r="O61" s="121"/>
      <c r="P61" s="422"/>
      <c r="Q61" s="422"/>
      <c r="R61" s="422"/>
      <c r="S61" s="422"/>
      <c r="T61" s="422"/>
      <c r="U61" s="422"/>
      <c r="V61" s="423"/>
      <c r="W61" s="423"/>
      <c r="X61" s="423"/>
      <c r="Y61" s="423"/>
      <c r="Z61" s="423"/>
      <c r="AA61" s="423"/>
      <c r="AB61" s="423"/>
      <c r="AC61" s="423"/>
      <c r="AD61" s="424"/>
      <c r="AF61" s="94">
        <f>16*3000</f>
        <v>48000</v>
      </c>
    </row>
    <row r="62" spans="1:32" ht="27.75" thickBot="1">
      <c r="A62" s="425" t="s">
        <v>493</v>
      </c>
      <c r="B62" s="425"/>
      <c r="C62" s="425"/>
      <c r="D62" s="425"/>
      <c r="E62" s="425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6" t="s">
        <v>118</v>
      </c>
      <c r="B63" s="427"/>
      <c r="C63" s="205" t="s">
        <v>2</v>
      </c>
      <c r="D63" s="205" t="s">
        <v>38</v>
      </c>
      <c r="E63" s="205" t="s">
        <v>3</v>
      </c>
      <c r="F63" s="427" t="s">
        <v>115</v>
      </c>
      <c r="G63" s="427"/>
      <c r="H63" s="427"/>
      <c r="I63" s="427"/>
      <c r="J63" s="427"/>
      <c r="K63" s="427" t="s">
        <v>40</v>
      </c>
      <c r="L63" s="427"/>
      <c r="M63" s="205" t="s">
        <v>41</v>
      </c>
      <c r="N63" s="427" t="s">
        <v>42</v>
      </c>
      <c r="O63" s="427"/>
      <c r="P63" s="428" t="s">
        <v>43</v>
      </c>
      <c r="Q63" s="429"/>
      <c r="R63" s="428" t="s">
        <v>44</v>
      </c>
      <c r="S63" s="430"/>
      <c r="T63" s="430"/>
      <c r="U63" s="430"/>
      <c r="V63" s="430"/>
      <c r="W63" s="430"/>
      <c r="X63" s="430"/>
      <c r="Y63" s="430"/>
      <c r="Z63" s="430"/>
      <c r="AA63" s="429"/>
      <c r="AB63" s="427" t="s">
        <v>45</v>
      </c>
      <c r="AC63" s="427"/>
      <c r="AD63" s="431"/>
      <c r="AF63" s="94">
        <f>SUM(AF60:AF62)</f>
        <v>96000</v>
      </c>
    </row>
    <row r="64" spans="1:32" ht="26.25" customHeight="1">
      <c r="A64" s="432">
        <v>1</v>
      </c>
      <c r="B64" s="433"/>
      <c r="C64" s="123" t="s">
        <v>180</v>
      </c>
      <c r="D64" s="208"/>
      <c r="E64" s="206" t="s">
        <v>454</v>
      </c>
      <c r="F64" s="434" t="s">
        <v>494</v>
      </c>
      <c r="G64" s="434"/>
      <c r="H64" s="434"/>
      <c r="I64" s="434"/>
      <c r="J64" s="434"/>
      <c r="K64" s="435" t="s">
        <v>495</v>
      </c>
      <c r="L64" s="436"/>
      <c r="M64" s="54" t="s">
        <v>496</v>
      </c>
      <c r="N64" s="434">
        <v>5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2</v>
      </c>
      <c r="B65" s="433"/>
      <c r="C65" s="123" t="s">
        <v>180</v>
      </c>
      <c r="D65" s="208"/>
      <c r="E65" s="206" t="s">
        <v>497</v>
      </c>
      <c r="F65" s="434" t="s">
        <v>498</v>
      </c>
      <c r="G65" s="434"/>
      <c r="H65" s="434"/>
      <c r="I65" s="434"/>
      <c r="J65" s="434"/>
      <c r="K65" s="434" t="s">
        <v>499</v>
      </c>
      <c r="L65" s="434"/>
      <c r="M65" s="54" t="s">
        <v>496</v>
      </c>
      <c r="N65" s="434">
        <v>9</v>
      </c>
      <c r="O65" s="434"/>
      <c r="P65" s="437">
        <v>50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3</v>
      </c>
      <c r="B66" s="433"/>
      <c r="C66" s="123"/>
      <c r="D66" s="208"/>
      <c r="E66" s="206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4</v>
      </c>
      <c r="B67" s="433"/>
      <c r="C67" s="123"/>
      <c r="D67" s="208"/>
      <c r="E67" s="206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5</v>
      </c>
      <c r="B68" s="433"/>
      <c r="C68" s="123"/>
      <c r="D68" s="208"/>
      <c r="E68" s="206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6</v>
      </c>
      <c r="B69" s="433"/>
      <c r="C69" s="123"/>
      <c r="D69" s="208"/>
      <c r="E69" s="206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7</v>
      </c>
      <c r="B70" s="433"/>
      <c r="C70" s="123"/>
      <c r="D70" s="208"/>
      <c r="E70" s="206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8</v>
      </c>
      <c r="B71" s="433"/>
      <c r="C71" s="123"/>
      <c r="D71" s="208"/>
      <c r="E71" s="206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 thickBot="1">
      <c r="A72" s="439" t="s">
        <v>500</v>
      </c>
      <c r="B72" s="439"/>
      <c r="C72" s="439"/>
      <c r="D72" s="439"/>
      <c r="E72" s="439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40" t="s">
        <v>118</v>
      </c>
      <c r="B73" s="441"/>
      <c r="C73" s="207" t="s">
        <v>2</v>
      </c>
      <c r="D73" s="207" t="s">
        <v>38</v>
      </c>
      <c r="E73" s="207" t="s">
        <v>3</v>
      </c>
      <c r="F73" s="441" t="s">
        <v>39</v>
      </c>
      <c r="G73" s="441"/>
      <c r="H73" s="441"/>
      <c r="I73" s="441"/>
      <c r="J73" s="441"/>
      <c r="K73" s="442" t="s">
        <v>60</v>
      </c>
      <c r="L73" s="443"/>
      <c r="M73" s="443"/>
      <c r="N73" s="443"/>
      <c r="O73" s="443"/>
      <c r="P73" s="443"/>
      <c r="Q73" s="443"/>
      <c r="R73" s="443"/>
      <c r="S73" s="444"/>
      <c r="T73" s="441" t="s">
        <v>50</v>
      </c>
      <c r="U73" s="441"/>
      <c r="V73" s="442" t="s">
        <v>51</v>
      </c>
      <c r="W73" s="444"/>
      <c r="X73" s="443" t="s">
        <v>52</v>
      </c>
      <c r="Y73" s="443"/>
      <c r="Z73" s="443"/>
      <c r="AA73" s="443"/>
      <c r="AB73" s="443"/>
      <c r="AC73" s="443"/>
      <c r="AD73" s="445"/>
      <c r="AF73" s="53"/>
    </row>
    <row r="74" spans="1:32" ht="33.75" customHeight="1">
      <c r="A74" s="454">
        <v>1</v>
      </c>
      <c r="B74" s="455"/>
      <c r="C74" s="209" t="s">
        <v>62</v>
      </c>
      <c r="D74" s="209"/>
      <c r="E74" s="71" t="s">
        <v>58</v>
      </c>
      <c r="F74" s="456" t="s">
        <v>63</v>
      </c>
      <c r="G74" s="457"/>
      <c r="H74" s="457"/>
      <c r="I74" s="457"/>
      <c r="J74" s="458"/>
      <c r="K74" s="459" t="s">
        <v>61</v>
      </c>
      <c r="L74" s="460"/>
      <c r="M74" s="460"/>
      <c r="N74" s="460"/>
      <c r="O74" s="460"/>
      <c r="P74" s="460"/>
      <c r="Q74" s="460"/>
      <c r="R74" s="460"/>
      <c r="S74" s="461"/>
      <c r="T74" s="462">
        <v>41791</v>
      </c>
      <c r="U74" s="463"/>
      <c r="V74" s="464"/>
      <c r="W74" s="464"/>
      <c r="X74" s="465"/>
      <c r="Y74" s="465"/>
      <c r="Z74" s="465"/>
      <c r="AA74" s="465"/>
      <c r="AB74" s="465"/>
      <c r="AC74" s="465"/>
      <c r="AD74" s="466"/>
      <c r="AF74" s="53"/>
    </row>
    <row r="75" spans="1:32" ht="30" customHeight="1">
      <c r="A75" s="446">
        <f>A74+1</f>
        <v>2</v>
      </c>
      <c r="B75" s="447"/>
      <c r="C75" s="208" t="s">
        <v>135</v>
      </c>
      <c r="D75" s="208"/>
      <c r="E75" s="35" t="s">
        <v>123</v>
      </c>
      <c r="F75" s="447" t="s">
        <v>291</v>
      </c>
      <c r="G75" s="447"/>
      <c r="H75" s="447"/>
      <c r="I75" s="447"/>
      <c r="J75" s="447"/>
      <c r="K75" s="448" t="s">
        <v>377</v>
      </c>
      <c r="L75" s="449"/>
      <c r="M75" s="449"/>
      <c r="N75" s="449"/>
      <c r="O75" s="449"/>
      <c r="P75" s="449"/>
      <c r="Q75" s="449"/>
      <c r="R75" s="449"/>
      <c r="S75" s="450"/>
      <c r="T75" s="451">
        <v>42772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ref="A76:A82" si="19">A75+1</f>
        <v>3</v>
      </c>
      <c r="B76" s="447"/>
      <c r="C76" s="208" t="s">
        <v>62</v>
      </c>
      <c r="D76" s="208"/>
      <c r="E76" s="35" t="s">
        <v>121</v>
      </c>
      <c r="F76" s="447" t="s">
        <v>127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9"/>
        <v>4</v>
      </c>
      <c r="B77" s="447"/>
      <c r="C77" s="208" t="s">
        <v>62</v>
      </c>
      <c r="D77" s="208"/>
      <c r="E77" s="35" t="s">
        <v>121</v>
      </c>
      <c r="F77" s="447" t="s">
        <v>126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9"/>
        <v>5</v>
      </c>
      <c r="B78" s="447"/>
      <c r="C78" s="208" t="s">
        <v>62</v>
      </c>
      <c r="D78" s="208"/>
      <c r="E78" s="35" t="s">
        <v>58</v>
      </c>
      <c r="F78" s="447" t="s">
        <v>128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9"/>
        <v>6</v>
      </c>
      <c r="B79" s="447"/>
      <c r="C79" s="208" t="s">
        <v>135</v>
      </c>
      <c r="D79" s="208"/>
      <c r="E79" s="35" t="s">
        <v>160</v>
      </c>
      <c r="F79" s="447" t="s">
        <v>149</v>
      </c>
      <c r="G79" s="447"/>
      <c r="H79" s="447"/>
      <c r="I79" s="447"/>
      <c r="J79" s="447"/>
      <c r="K79" s="448" t="s">
        <v>133</v>
      </c>
      <c r="L79" s="449"/>
      <c r="M79" s="449"/>
      <c r="N79" s="449"/>
      <c r="O79" s="449"/>
      <c r="P79" s="449"/>
      <c r="Q79" s="449"/>
      <c r="R79" s="449"/>
      <c r="S79" s="450"/>
      <c r="T79" s="451">
        <v>42770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9"/>
        <v>7</v>
      </c>
      <c r="B80" s="447"/>
      <c r="C80" s="208" t="s">
        <v>181</v>
      </c>
      <c r="D80" s="208"/>
      <c r="E80" s="35"/>
      <c r="F80" s="447" t="s">
        <v>154</v>
      </c>
      <c r="G80" s="447"/>
      <c r="H80" s="447"/>
      <c r="I80" s="447"/>
      <c r="J80" s="447"/>
      <c r="K80" s="448" t="s">
        <v>183</v>
      </c>
      <c r="L80" s="449"/>
      <c r="M80" s="449"/>
      <c r="N80" s="449"/>
      <c r="O80" s="449"/>
      <c r="P80" s="449"/>
      <c r="Q80" s="449"/>
      <c r="R80" s="449"/>
      <c r="S80" s="450"/>
      <c r="T80" s="451">
        <v>42759</v>
      </c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9"/>
        <v>8</v>
      </c>
      <c r="B81" s="447"/>
      <c r="C81" s="208"/>
      <c r="D81" s="208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19"/>
        <v>9</v>
      </c>
      <c r="B82" s="447"/>
      <c r="C82" s="208"/>
      <c r="D82" s="208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6" thickBot="1">
      <c r="A83" s="439" t="s">
        <v>501</v>
      </c>
      <c r="B83" s="439"/>
      <c r="C83" s="439"/>
      <c r="D83" s="439"/>
      <c r="E83" s="439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7" t="s">
        <v>37</v>
      </c>
      <c r="B84" s="468"/>
      <c r="C84" s="468" t="s">
        <v>53</v>
      </c>
      <c r="D84" s="468"/>
      <c r="E84" s="468" t="s">
        <v>54</v>
      </c>
      <c r="F84" s="468"/>
      <c r="G84" s="468"/>
      <c r="H84" s="468"/>
      <c r="I84" s="468"/>
      <c r="J84" s="468"/>
      <c r="K84" s="468" t="s">
        <v>55</v>
      </c>
      <c r="L84" s="468"/>
      <c r="M84" s="468"/>
      <c r="N84" s="468"/>
      <c r="O84" s="468"/>
      <c r="P84" s="468"/>
      <c r="Q84" s="468"/>
      <c r="R84" s="468"/>
      <c r="S84" s="468"/>
      <c r="T84" s="468" t="s">
        <v>56</v>
      </c>
      <c r="U84" s="468"/>
      <c r="V84" s="468" t="s">
        <v>57</v>
      </c>
      <c r="W84" s="468"/>
      <c r="X84" s="468"/>
      <c r="Y84" s="468" t="s">
        <v>52</v>
      </c>
      <c r="Z84" s="468"/>
      <c r="AA84" s="468"/>
      <c r="AB84" s="468"/>
      <c r="AC84" s="468"/>
      <c r="AD84" s="469"/>
      <c r="AF84" s="53"/>
    </row>
    <row r="85" spans="1:32" ht="30.75" customHeight="1">
      <c r="A85" s="470">
        <v>1</v>
      </c>
      <c r="B85" s="471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>
      <c r="A86" s="446">
        <v>2</v>
      </c>
      <c r="B86" s="447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 thickBot="1">
      <c r="A87" s="476">
        <v>3</v>
      </c>
      <c r="B87" s="477"/>
      <c r="C87" s="477"/>
      <c r="D87" s="477"/>
      <c r="E87" s="477"/>
      <c r="F87" s="477"/>
      <c r="G87" s="477"/>
      <c r="H87" s="477"/>
      <c r="I87" s="477"/>
      <c r="J87" s="477"/>
      <c r="K87" s="477"/>
      <c r="L87" s="477"/>
      <c r="M87" s="477"/>
      <c r="N87" s="477"/>
      <c r="O87" s="477"/>
      <c r="P87" s="477"/>
      <c r="Q87" s="477"/>
      <c r="R87" s="477"/>
      <c r="S87" s="477"/>
      <c r="T87" s="477"/>
      <c r="U87" s="477"/>
      <c r="V87" s="477"/>
      <c r="W87" s="477"/>
      <c r="X87" s="477"/>
      <c r="Y87" s="478"/>
      <c r="Z87" s="478"/>
      <c r="AA87" s="478"/>
      <c r="AB87" s="478"/>
      <c r="AC87" s="478"/>
      <c r="AD87" s="479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5" zoomScaleNormal="75" zoomScaleSheetLayoutView="70" workbookViewId="0">
      <selection activeCell="F54" sqref="F54:M5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502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21" t="s">
        <v>17</v>
      </c>
      <c r="L5" s="221" t="s">
        <v>18</v>
      </c>
      <c r="M5" s="221" t="s">
        <v>19</v>
      </c>
      <c r="N5" s="22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503</v>
      </c>
      <c r="D6" s="55" t="s">
        <v>504</v>
      </c>
      <c r="E6" s="56" t="s">
        <v>505</v>
      </c>
      <c r="F6" s="12">
        <v>7301</v>
      </c>
      <c r="G6" s="36">
        <v>1</v>
      </c>
      <c r="H6" s="38">
        <v>25</v>
      </c>
      <c r="I6" s="7">
        <v>2000</v>
      </c>
      <c r="J6" s="14">
        <v>2400</v>
      </c>
      <c r="K6" s="15">
        <f>L6</f>
        <v>2398</v>
      </c>
      <c r="L6" s="15">
        <f>254+2144</f>
        <v>2398</v>
      </c>
      <c r="M6" s="16">
        <f t="shared" ref="M6:M20" si="0">L6-N6</f>
        <v>2398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15</v>
      </c>
      <c r="Q6" s="43">
        <f t="shared" ref="Q6:Q20" si="3">SUM(R6:AA6)</f>
        <v>9</v>
      </c>
      <c r="R6" s="7"/>
      <c r="S6" s="6"/>
      <c r="T6" s="17">
        <v>9</v>
      </c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0.99916666666666665</v>
      </c>
      <c r="AC6" s="9">
        <f t="shared" ref="AC6:AC20" si="5">IF(P6=0,"0",(P6/24))</f>
        <v>0.625</v>
      </c>
      <c r="AD6" s="10">
        <f t="shared" ref="AD6:AD20" si="6">AC6*AB6*(1-O6)</f>
        <v>0.6244791666666667</v>
      </c>
      <c r="AE6" s="39">
        <f t="shared" ref="AE6:AE20" si="7">$AD$21</f>
        <v>0.52453072044993088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431</v>
      </c>
      <c r="D7" s="55" t="s">
        <v>432</v>
      </c>
      <c r="E7" s="57" t="s">
        <v>433</v>
      </c>
      <c r="F7" s="33" t="s">
        <v>434</v>
      </c>
      <c r="G7" s="36">
        <v>4</v>
      </c>
      <c r="H7" s="38">
        <v>20</v>
      </c>
      <c r="I7" s="7">
        <v>100000</v>
      </c>
      <c r="J7" s="5">
        <v>21040</v>
      </c>
      <c r="K7" s="15">
        <f>L7+10008+20936</f>
        <v>51980</v>
      </c>
      <c r="L7" s="15">
        <f>2736*4+2523*4</f>
        <v>21036</v>
      </c>
      <c r="M7" s="16">
        <f t="shared" si="0"/>
        <v>21036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0.99980988593155895</v>
      </c>
      <c r="AC7" s="9">
        <f t="shared" si="5"/>
        <v>1</v>
      </c>
      <c r="AD7" s="10">
        <f t="shared" si="6"/>
        <v>0.99980988593155895</v>
      </c>
      <c r="AE7" s="39">
        <f t="shared" si="7"/>
        <v>0.52453072044993088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0.52453072044993088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121</v>
      </c>
      <c r="E9" s="57" t="s">
        <v>274</v>
      </c>
      <c r="F9" s="12" t="s">
        <v>290</v>
      </c>
      <c r="G9" s="12">
        <v>1</v>
      </c>
      <c r="H9" s="13">
        <v>25</v>
      </c>
      <c r="I9" s="34">
        <v>20000</v>
      </c>
      <c r="J9" s="5">
        <v>5930</v>
      </c>
      <c r="K9" s="15">
        <f>L9+4139+5396</f>
        <v>15459</v>
      </c>
      <c r="L9" s="15">
        <f>3213+2711</f>
        <v>5924</v>
      </c>
      <c r="M9" s="16">
        <f t="shared" si="0"/>
        <v>5924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0.99898819561551433</v>
      </c>
      <c r="AC9" s="9">
        <f t="shared" si="5"/>
        <v>1</v>
      </c>
      <c r="AD9" s="10">
        <f t="shared" si="6"/>
        <v>0.99898819561551433</v>
      </c>
      <c r="AE9" s="39">
        <f t="shared" si="7"/>
        <v>0.52453072044993088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180</v>
      </c>
      <c r="D10" s="55" t="s">
        <v>470</v>
      </c>
      <c r="E10" s="57" t="s">
        <v>485</v>
      </c>
      <c r="F10" s="12" t="s">
        <v>471</v>
      </c>
      <c r="G10" s="12">
        <v>1</v>
      </c>
      <c r="H10" s="13">
        <v>25</v>
      </c>
      <c r="I10" s="34">
        <v>300</v>
      </c>
      <c r="J10" s="5">
        <v>300</v>
      </c>
      <c r="K10" s="15">
        <f>L10+300</f>
        <v>300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0.52453072044993088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361</v>
      </c>
      <c r="E11" s="56" t="s">
        <v>386</v>
      </c>
      <c r="F11" s="12" t="s">
        <v>367</v>
      </c>
      <c r="G11" s="12">
        <v>1</v>
      </c>
      <c r="H11" s="13">
        <v>25</v>
      </c>
      <c r="I11" s="34">
        <v>5000</v>
      </c>
      <c r="J11" s="14">
        <v>4840</v>
      </c>
      <c r="K11" s="15">
        <f>L11+4062+5380+4839</f>
        <v>14281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0.52453072044993088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463</v>
      </c>
      <c r="E12" s="57" t="s">
        <v>461</v>
      </c>
      <c r="F12" s="12" t="s">
        <v>462</v>
      </c>
      <c r="G12" s="12">
        <v>1</v>
      </c>
      <c r="H12" s="13">
        <v>25</v>
      </c>
      <c r="I12" s="34">
        <v>22000</v>
      </c>
      <c r="J12" s="5">
        <v>4940</v>
      </c>
      <c r="K12" s="15">
        <f>L12+4213</f>
        <v>9150</v>
      </c>
      <c r="L12" s="15">
        <f>2567+2370</f>
        <v>4937</v>
      </c>
      <c r="M12" s="16">
        <f t="shared" si="0"/>
        <v>4937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0.99939271255060724</v>
      </c>
      <c r="AC12" s="9">
        <f t="shared" si="5"/>
        <v>1</v>
      </c>
      <c r="AD12" s="10">
        <f t="shared" si="6"/>
        <v>0.99939271255060724</v>
      </c>
      <c r="AE12" s="39">
        <f t="shared" si="7"/>
        <v>0.52453072044993088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135</v>
      </c>
      <c r="D13" s="55" t="s">
        <v>123</v>
      </c>
      <c r="E13" s="57" t="s">
        <v>291</v>
      </c>
      <c r="F13" s="12" t="s">
        <v>229</v>
      </c>
      <c r="G13" s="12">
        <v>1</v>
      </c>
      <c r="H13" s="13">
        <v>25</v>
      </c>
      <c r="I13" s="7">
        <v>20000</v>
      </c>
      <c r="J13" s="14">
        <v>5350</v>
      </c>
      <c r="K13" s="15">
        <f>L13</f>
        <v>5345</v>
      </c>
      <c r="L13" s="15">
        <f>2540+2805</f>
        <v>5345</v>
      </c>
      <c r="M13" s="16">
        <f t="shared" si="0"/>
        <v>5345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0.99906542056074765</v>
      </c>
      <c r="AC13" s="9">
        <f t="shared" si="5"/>
        <v>1</v>
      </c>
      <c r="AD13" s="10">
        <f t="shared" si="6"/>
        <v>0.99906542056074765</v>
      </c>
      <c r="AE13" s="39">
        <f t="shared" si="7"/>
        <v>0.52453072044993088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135</v>
      </c>
      <c r="D14" s="55" t="s">
        <v>506</v>
      </c>
      <c r="E14" s="57" t="s">
        <v>507</v>
      </c>
      <c r="F14" s="33" t="s">
        <v>508</v>
      </c>
      <c r="G14" s="36">
        <v>1</v>
      </c>
      <c r="H14" s="38">
        <v>50</v>
      </c>
      <c r="I14" s="7">
        <v>10000</v>
      </c>
      <c r="J14" s="5">
        <v>3440</v>
      </c>
      <c r="K14" s="15">
        <f>L14</f>
        <v>3432</v>
      </c>
      <c r="L14" s="15">
        <f>2295+1137</f>
        <v>3432</v>
      </c>
      <c r="M14" s="16">
        <f t="shared" si="0"/>
        <v>3432</v>
      </c>
      <c r="N14" s="16">
        <v>0</v>
      </c>
      <c r="O14" s="62">
        <f t="shared" si="1"/>
        <v>0</v>
      </c>
      <c r="P14" s="42">
        <f t="shared" si="2"/>
        <v>19</v>
      </c>
      <c r="Q14" s="43">
        <f t="shared" si="3"/>
        <v>5</v>
      </c>
      <c r="R14" s="7"/>
      <c r="S14" s="6"/>
      <c r="T14" s="17">
        <v>5</v>
      </c>
      <c r="U14" s="17"/>
      <c r="V14" s="18"/>
      <c r="W14" s="19"/>
      <c r="X14" s="17"/>
      <c r="Y14" s="20"/>
      <c r="Z14" s="20"/>
      <c r="AA14" s="21"/>
      <c r="AB14" s="8">
        <f t="shared" si="4"/>
        <v>0.99767441860465111</v>
      </c>
      <c r="AC14" s="9">
        <f t="shared" si="5"/>
        <v>0.79166666666666663</v>
      </c>
      <c r="AD14" s="10">
        <f t="shared" si="6"/>
        <v>0.78982558139534875</v>
      </c>
      <c r="AE14" s="39">
        <f t="shared" si="7"/>
        <v>0.52453072044993088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0.52453072044993088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509</v>
      </c>
      <c r="E16" s="56" t="s">
        <v>510</v>
      </c>
      <c r="F16" s="12">
        <v>7301</v>
      </c>
      <c r="G16" s="36">
        <v>2</v>
      </c>
      <c r="H16" s="38">
        <v>25</v>
      </c>
      <c r="I16" s="7">
        <v>5000</v>
      </c>
      <c r="J16" s="14">
        <v>8800</v>
      </c>
      <c r="K16" s="15">
        <f>L16</f>
        <v>8798</v>
      </c>
      <c r="L16" s="15">
        <f>2389*2+2010*2</f>
        <v>8798</v>
      </c>
      <c r="M16" s="16">
        <f t="shared" si="0"/>
        <v>8798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>
        <v>1</v>
      </c>
      <c r="U16" s="17"/>
      <c r="V16" s="18"/>
      <c r="W16" s="19"/>
      <c r="X16" s="17"/>
      <c r="Y16" s="20"/>
      <c r="Z16" s="20"/>
      <c r="AA16" s="21"/>
      <c r="AB16" s="8">
        <f t="shared" si="4"/>
        <v>0.99977272727272726</v>
      </c>
      <c r="AC16" s="9">
        <f t="shared" si="5"/>
        <v>0.95833333333333337</v>
      </c>
      <c r="AD16" s="10">
        <f t="shared" si="6"/>
        <v>0.95811553030303032</v>
      </c>
      <c r="AE16" s="39">
        <f t="shared" si="7"/>
        <v>0.52453072044993088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467</v>
      </c>
      <c r="E17" s="56" t="s">
        <v>468</v>
      </c>
      <c r="F17" s="12">
        <v>8301</v>
      </c>
      <c r="G17" s="12">
        <v>1</v>
      </c>
      <c r="H17" s="13">
        <v>25</v>
      </c>
      <c r="I17" s="34">
        <v>2500</v>
      </c>
      <c r="J17" s="5">
        <v>1210</v>
      </c>
      <c r="K17" s="15">
        <f>L17+2929</f>
        <v>4139</v>
      </c>
      <c r="L17" s="15">
        <v>1210</v>
      </c>
      <c r="M17" s="16">
        <f t="shared" si="0"/>
        <v>1210</v>
      </c>
      <c r="N17" s="16">
        <v>0</v>
      </c>
      <c r="O17" s="62">
        <f t="shared" si="1"/>
        <v>0</v>
      </c>
      <c r="P17" s="42">
        <f t="shared" si="2"/>
        <v>6</v>
      </c>
      <c r="Q17" s="43">
        <f t="shared" si="3"/>
        <v>18</v>
      </c>
      <c r="R17" s="7"/>
      <c r="S17" s="6"/>
      <c r="T17" s="17"/>
      <c r="U17" s="17"/>
      <c r="V17" s="18"/>
      <c r="W17" s="19">
        <v>18</v>
      </c>
      <c r="X17" s="17"/>
      <c r="Y17" s="20"/>
      <c r="Z17" s="20"/>
      <c r="AA17" s="21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9">
        <f t="shared" si="7"/>
        <v>0.52453072044993088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503</v>
      </c>
      <c r="D18" s="55" t="s">
        <v>511</v>
      </c>
      <c r="E18" s="56" t="s">
        <v>512</v>
      </c>
      <c r="F18" s="33" t="s">
        <v>513</v>
      </c>
      <c r="G18" s="36">
        <v>1</v>
      </c>
      <c r="H18" s="38">
        <v>25</v>
      </c>
      <c r="I18" s="7">
        <v>2500</v>
      </c>
      <c r="J18" s="5">
        <v>4330</v>
      </c>
      <c r="K18" s="15">
        <f>L18</f>
        <v>4330</v>
      </c>
      <c r="L18" s="15">
        <f>1860+2470</f>
        <v>4330</v>
      </c>
      <c r="M18" s="16">
        <f t="shared" si="0"/>
        <v>4330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9">
        <f t="shared" si="7"/>
        <v>0.52453072044993088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503</v>
      </c>
      <c r="D19" s="55" t="s">
        <v>511</v>
      </c>
      <c r="E19" s="57" t="s">
        <v>514</v>
      </c>
      <c r="F19" s="33" t="s">
        <v>515</v>
      </c>
      <c r="G19" s="36">
        <v>1</v>
      </c>
      <c r="H19" s="38">
        <v>25</v>
      </c>
      <c r="I19" s="34">
        <v>500</v>
      </c>
      <c r="J19" s="5">
        <v>1020</v>
      </c>
      <c r="K19" s="15">
        <f>L19</f>
        <v>1014</v>
      </c>
      <c r="L19" s="15">
        <v>1014</v>
      </c>
      <c r="M19" s="16">
        <f t="shared" si="0"/>
        <v>1014</v>
      </c>
      <c r="N19" s="16">
        <v>0</v>
      </c>
      <c r="O19" s="62">
        <f t="shared" si="1"/>
        <v>0</v>
      </c>
      <c r="P19" s="42">
        <f t="shared" si="2"/>
        <v>7</v>
      </c>
      <c r="Q19" s="43">
        <f t="shared" si="3"/>
        <v>17</v>
      </c>
      <c r="R19" s="7"/>
      <c r="S19" s="6"/>
      <c r="T19" s="17"/>
      <c r="U19" s="17"/>
      <c r="V19" s="18"/>
      <c r="W19" s="19">
        <v>17</v>
      </c>
      <c r="X19" s="17"/>
      <c r="Y19" s="20"/>
      <c r="Z19" s="20"/>
      <c r="AA19" s="21"/>
      <c r="AB19" s="8">
        <f t="shared" si="4"/>
        <v>0.99411764705882355</v>
      </c>
      <c r="AC19" s="9">
        <f t="shared" si="5"/>
        <v>0.29166666666666669</v>
      </c>
      <c r="AD19" s="10">
        <f t="shared" si="6"/>
        <v>0.28995098039215689</v>
      </c>
      <c r="AE19" s="39">
        <f t="shared" si="7"/>
        <v>0.52453072044993088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144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46440</v>
      </c>
      <c r="K20" s="15">
        <f>L20+46064+56292+46436</f>
        <v>148792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0.52453072044993088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949800</v>
      </c>
      <c r="J21" s="22">
        <f t="shared" si="9"/>
        <v>145720</v>
      </c>
      <c r="K21" s="23">
        <f t="shared" si="9"/>
        <v>577940</v>
      </c>
      <c r="L21" s="24">
        <f t="shared" si="9"/>
        <v>58424</v>
      </c>
      <c r="M21" s="23">
        <f t="shared" si="9"/>
        <v>58424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189</v>
      </c>
      <c r="Q21" s="46">
        <f t="shared" si="10"/>
        <v>147</v>
      </c>
      <c r="R21" s="26">
        <f t="shared" si="10"/>
        <v>0</v>
      </c>
      <c r="S21" s="27">
        <f t="shared" si="10"/>
        <v>24</v>
      </c>
      <c r="T21" s="27">
        <f t="shared" si="10"/>
        <v>16</v>
      </c>
      <c r="U21" s="27">
        <f t="shared" si="10"/>
        <v>0</v>
      </c>
      <c r="V21" s="28">
        <f t="shared" si="10"/>
        <v>0</v>
      </c>
      <c r="W21" s="29">
        <f t="shared" si="10"/>
        <v>107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0.66586584495075307</v>
      </c>
      <c r="AC21" s="4">
        <f>SUM(AC6:AC20)/15</f>
        <v>0.52500000000000002</v>
      </c>
      <c r="AD21" s="4">
        <f>SUM(AD6:AD20)/15</f>
        <v>0.52453072044993088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516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528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220" t="s">
        <v>47</v>
      </c>
      <c r="D50" s="220" t="s">
        <v>48</v>
      </c>
      <c r="E50" s="220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220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517</v>
      </c>
      <c r="B51" s="414"/>
      <c r="C51" s="219" t="s">
        <v>518</v>
      </c>
      <c r="D51" s="216" t="s">
        <v>504</v>
      </c>
      <c r="E51" s="219" t="s">
        <v>505</v>
      </c>
      <c r="F51" s="415" t="s">
        <v>440</v>
      </c>
      <c r="G51" s="415"/>
      <c r="H51" s="415"/>
      <c r="I51" s="415"/>
      <c r="J51" s="415"/>
      <c r="K51" s="415"/>
      <c r="L51" s="415"/>
      <c r="M51" s="416"/>
      <c r="N51" s="215" t="s">
        <v>122</v>
      </c>
      <c r="O51" s="74" t="s">
        <v>518</v>
      </c>
      <c r="P51" s="417" t="s">
        <v>487</v>
      </c>
      <c r="Q51" s="418"/>
      <c r="R51" s="419" t="s">
        <v>529</v>
      </c>
      <c r="S51" s="419"/>
      <c r="T51" s="419"/>
      <c r="U51" s="419"/>
      <c r="V51" s="415" t="s">
        <v>175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297</v>
      </c>
      <c r="B52" s="414"/>
      <c r="C52" s="219" t="s">
        <v>208</v>
      </c>
      <c r="D52" s="216" t="s">
        <v>300</v>
      </c>
      <c r="E52" s="219" t="s">
        <v>474</v>
      </c>
      <c r="F52" s="415" t="s">
        <v>519</v>
      </c>
      <c r="G52" s="415"/>
      <c r="H52" s="415"/>
      <c r="I52" s="415"/>
      <c r="J52" s="415"/>
      <c r="K52" s="415"/>
      <c r="L52" s="415"/>
      <c r="M52" s="416"/>
      <c r="N52" s="215" t="s">
        <v>530</v>
      </c>
      <c r="O52" s="74" t="s">
        <v>531</v>
      </c>
      <c r="P52" s="417" t="s">
        <v>532</v>
      </c>
      <c r="Q52" s="418"/>
      <c r="R52" s="419" t="s">
        <v>533</v>
      </c>
      <c r="S52" s="419"/>
      <c r="T52" s="419"/>
      <c r="U52" s="419"/>
      <c r="V52" s="415" t="s">
        <v>534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20" t="s">
        <v>520</v>
      </c>
      <c r="B53" s="419"/>
      <c r="C53" s="216" t="s">
        <v>521</v>
      </c>
      <c r="D53" s="216" t="s">
        <v>506</v>
      </c>
      <c r="E53" s="219" t="s">
        <v>507</v>
      </c>
      <c r="F53" s="415" t="s">
        <v>170</v>
      </c>
      <c r="G53" s="415"/>
      <c r="H53" s="415"/>
      <c r="I53" s="415"/>
      <c r="J53" s="415"/>
      <c r="K53" s="415"/>
      <c r="L53" s="415"/>
      <c r="M53" s="416"/>
      <c r="N53" s="215"/>
      <c r="O53" s="74"/>
      <c r="P53" s="419"/>
      <c r="Q53" s="419"/>
      <c r="R53" s="419"/>
      <c r="S53" s="419"/>
      <c r="T53" s="419"/>
      <c r="U53" s="419"/>
      <c r="V53" s="415"/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180</v>
      </c>
      <c r="B54" s="414"/>
      <c r="C54" s="219" t="s">
        <v>522</v>
      </c>
      <c r="D54" s="216" t="s">
        <v>523</v>
      </c>
      <c r="E54" s="219" t="s">
        <v>510</v>
      </c>
      <c r="F54" s="415" t="s">
        <v>524</v>
      </c>
      <c r="G54" s="415"/>
      <c r="H54" s="415"/>
      <c r="I54" s="415"/>
      <c r="J54" s="415"/>
      <c r="K54" s="415"/>
      <c r="L54" s="415"/>
      <c r="M54" s="416"/>
      <c r="N54" s="215"/>
      <c r="O54" s="74"/>
      <c r="P54" s="417"/>
      <c r="Q54" s="418"/>
      <c r="R54" s="419"/>
      <c r="S54" s="419"/>
      <c r="T54" s="419"/>
      <c r="U54" s="419"/>
      <c r="V54" s="415"/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122</v>
      </c>
      <c r="B55" s="414"/>
      <c r="C55" s="219" t="s">
        <v>525</v>
      </c>
      <c r="D55" s="216" t="s">
        <v>511</v>
      </c>
      <c r="E55" s="219" t="s">
        <v>512</v>
      </c>
      <c r="F55" s="415" t="s">
        <v>175</v>
      </c>
      <c r="G55" s="415"/>
      <c r="H55" s="415"/>
      <c r="I55" s="415"/>
      <c r="J55" s="415"/>
      <c r="K55" s="415"/>
      <c r="L55" s="415"/>
      <c r="M55" s="416"/>
      <c r="N55" s="215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517</v>
      </c>
      <c r="B56" s="414"/>
      <c r="C56" s="219" t="s">
        <v>526</v>
      </c>
      <c r="D56" s="216" t="s">
        <v>504</v>
      </c>
      <c r="E56" s="219" t="s">
        <v>527</v>
      </c>
      <c r="F56" s="415" t="s">
        <v>175</v>
      </c>
      <c r="G56" s="415"/>
      <c r="H56" s="415"/>
      <c r="I56" s="415"/>
      <c r="J56" s="415"/>
      <c r="K56" s="415"/>
      <c r="L56" s="415"/>
      <c r="M56" s="416"/>
      <c r="N56" s="215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/>
      <c r="B57" s="419"/>
      <c r="C57" s="216"/>
      <c r="D57" s="216"/>
      <c r="E57" s="219"/>
      <c r="F57" s="415"/>
      <c r="G57" s="415"/>
      <c r="H57" s="415"/>
      <c r="I57" s="415"/>
      <c r="J57" s="415"/>
      <c r="K57" s="415"/>
      <c r="L57" s="415"/>
      <c r="M57" s="416"/>
      <c r="N57" s="215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219"/>
      <c r="D58" s="216"/>
      <c r="E58" s="219"/>
      <c r="F58" s="415"/>
      <c r="G58" s="415"/>
      <c r="H58" s="415"/>
      <c r="I58" s="415"/>
      <c r="J58" s="415"/>
      <c r="K58" s="415"/>
      <c r="L58" s="415"/>
      <c r="M58" s="416"/>
      <c r="N58" s="215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216"/>
      <c r="D59" s="216"/>
      <c r="E59" s="216"/>
      <c r="F59" s="415"/>
      <c r="G59" s="415"/>
      <c r="H59" s="415"/>
      <c r="I59" s="415"/>
      <c r="J59" s="415"/>
      <c r="K59" s="415"/>
      <c r="L59" s="415"/>
      <c r="M59" s="416"/>
      <c r="N59" s="215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218"/>
      <c r="D60" s="218"/>
      <c r="E60" s="218"/>
      <c r="F60" s="423"/>
      <c r="G60" s="423"/>
      <c r="H60" s="423"/>
      <c r="I60" s="423"/>
      <c r="J60" s="423"/>
      <c r="K60" s="423"/>
      <c r="L60" s="423"/>
      <c r="M60" s="424"/>
      <c r="N60" s="217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535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214" t="s">
        <v>2</v>
      </c>
      <c r="D62" s="214" t="s">
        <v>38</v>
      </c>
      <c r="E62" s="214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214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124</v>
      </c>
      <c r="D63" s="210"/>
      <c r="E63" s="212" t="s">
        <v>536</v>
      </c>
      <c r="F63" s="434" t="s">
        <v>537</v>
      </c>
      <c r="G63" s="434"/>
      <c r="H63" s="434"/>
      <c r="I63" s="434"/>
      <c r="J63" s="434"/>
      <c r="K63" s="435" t="s">
        <v>538</v>
      </c>
      <c r="L63" s="436"/>
      <c r="M63" s="54" t="s">
        <v>496</v>
      </c>
      <c r="N63" s="434">
        <v>6</v>
      </c>
      <c r="O63" s="434"/>
      <c r="P63" s="437">
        <v>50</v>
      </c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423</v>
      </c>
      <c r="D64" s="210"/>
      <c r="E64" s="212" t="s">
        <v>424</v>
      </c>
      <c r="F64" s="434" t="s">
        <v>425</v>
      </c>
      <c r="G64" s="434"/>
      <c r="H64" s="434"/>
      <c r="I64" s="434"/>
      <c r="J64" s="434"/>
      <c r="K64" s="434" t="s">
        <v>539</v>
      </c>
      <c r="L64" s="434"/>
      <c r="M64" s="54" t="s">
        <v>427</v>
      </c>
      <c r="N64" s="434">
        <v>3</v>
      </c>
      <c r="O64" s="434"/>
      <c r="P64" s="437"/>
      <c r="Q64" s="437"/>
      <c r="R64" s="415" t="s">
        <v>540</v>
      </c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/>
      <c r="D65" s="210"/>
      <c r="E65" s="212"/>
      <c r="F65" s="434"/>
      <c r="G65" s="434"/>
      <c r="H65" s="434"/>
      <c r="I65" s="434"/>
      <c r="J65" s="434"/>
      <c r="K65" s="434"/>
      <c r="L65" s="434"/>
      <c r="M65" s="54"/>
      <c r="N65" s="434"/>
      <c r="O65" s="434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/>
      <c r="D66" s="210"/>
      <c r="E66" s="212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210"/>
      <c r="E67" s="212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210"/>
      <c r="E68" s="212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210"/>
      <c r="E69" s="212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210"/>
      <c r="E70" s="212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541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213" t="s">
        <v>2</v>
      </c>
      <c r="D72" s="213" t="s">
        <v>38</v>
      </c>
      <c r="E72" s="213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211" t="s">
        <v>62</v>
      </c>
      <c r="D73" s="211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210" t="s">
        <v>135</v>
      </c>
      <c r="D74" s="210"/>
      <c r="E74" s="35" t="s">
        <v>536</v>
      </c>
      <c r="F74" s="447" t="s">
        <v>533</v>
      </c>
      <c r="G74" s="447"/>
      <c r="H74" s="447"/>
      <c r="I74" s="447"/>
      <c r="J74" s="447"/>
      <c r="K74" s="448" t="s">
        <v>543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210" t="s">
        <v>62</v>
      </c>
      <c r="D75" s="210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210" t="s">
        <v>62</v>
      </c>
      <c r="D76" s="210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210" t="s">
        <v>62</v>
      </c>
      <c r="D77" s="210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210" t="s">
        <v>135</v>
      </c>
      <c r="D78" s="210"/>
      <c r="E78" s="35" t="s">
        <v>160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210"/>
      <c r="D79" s="210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210"/>
      <c r="D80" s="210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210"/>
      <c r="D81" s="210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542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55" zoomScale="75" zoomScaleNormal="75" zoomScaleSheetLayoutView="70" workbookViewId="0">
      <selection activeCell="C65" sqref="C65:Q6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544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503</v>
      </c>
      <c r="D6" s="55" t="s">
        <v>545</v>
      </c>
      <c r="E6" s="56" t="s">
        <v>546</v>
      </c>
      <c r="F6" s="12" t="s">
        <v>547</v>
      </c>
      <c r="G6" s="36">
        <v>2</v>
      </c>
      <c r="H6" s="38">
        <v>25</v>
      </c>
      <c r="I6" s="7">
        <v>500</v>
      </c>
      <c r="J6" s="14">
        <v>830</v>
      </c>
      <c r="K6" s="15">
        <f>L6</f>
        <v>822</v>
      </c>
      <c r="L6" s="15">
        <f>411*2</f>
        <v>822</v>
      </c>
      <c r="M6" s="16">
        <f t="shared" ref="M6:M20" si="0">L6-N6</f>
        <v>822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3</v>
      </c>
      <c r="Q6" s="43">
        <f t="shared" ref="Q6:Q20" si="3">SUM(R6:AA6)</f>
        <v>21</v>
      </c>
      <c r="R6" s="7"/>
      <c r="S6" s="6">
        <f>20</f>
        <v>20</v>
      </c>
      <c r="T6" s="17">
        <v>1</v>
      </c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0.99036144578313257</v>
      </c>
      <c r="AC6" s="9">
        <f t="shared" ref="AC6:AC20" si="5">IF(P6=0,"0",(P6/24))</f>
        <v>0.125</v>
      </c>
      <c r="AD6" s="10">
        <f t="shared" ref="AD6:AD20" si="6">AC6*AB6*(1-O6)</f>
        <v>0.12379518072289157</v>
      </c>
      <c r="AE6" s="39">
        <f t="shared" ref="AE6:AE20" si="7">$AD$21</f>
        <v>0.36625972070904139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431</v>
      </c>
      <c r="D7" s="55" t="s">
        <v>432</v>
      </c>
      <c r="E7" s="57" t="s">
        <v>433</v>
      </c>
      <c r="F7" s="33" t="s">
        <v>434</v>
      </c>
      <c r="G7" s="36">
        <v>4</v>
      </c>
      <c r="H7" s="38">
        <v>20</v>
      </c>
      <c r="I7" s="7">
        <v>100000</v>
      </c>
      <c r="J7" s="5">
        <v>19020</v>
      </c>
      <c r="K7" s="15">
        <f>L7+10008+20936+21036</f>
        <v>70992</v>
      </c>
      <c r="L7" s="15">
        <f>2723*4+2030*4</f>
        <v>19012</v>
      </c>
      <c r="M7" s="16">
        <f t="shared" si="0"/>
        <v>19012</v>
      </c>
      <c r="N7" s="16">
        <v>0</v>
      </c>
      <c r="O7" s="62">
        <f t="shared" si="1"/>
        <v>0</v>
      </c>
      <c r="P7" s="42">
        <f t="shared" si="2"/>
        <v>23</v>
      </c>
      <c r="Q7" s="43">
        <f t="shared" si="3"/>
        <v>1</v>
      </c>
      <c r="R7" s="7"/>
      <c r="S7" s="6"/>
      <c r="T7" s="17"/>
      <c r="U7" s="17"/>
      <c r="V7" s="18">
        <v>1</v>
      </c>
      <c r="W7" s="19"/>
      <c r="X7" s="17"/>
      <c r="Y7" s="20"/>
      <c r="Z7" s="20"/>
      <c r="AA7" s="21"/>
      <c r="AB7" s="8">
        <f t="shared" si="4"/>
        <v>0.99957939011566777</v>
      </c>
      <c r="AC7" s="9">
        <f t="shared" si="5"/>
        <v>0.95833333333333337</v>
      </c>
      <c r="AD7" s="10">
        <f t="shared" si="6"/>
        <v>0.95793024886084832</v>
      </c>
      <c r="AE7" s="39">
        <f t="shared" si="7"/>
        <v>0.36625972070904139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0.36625972070904139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121</v>
      </c>
      <c r="E9" s="57" t="s">
        <v>274</v>
      </c>
      <c r="F9" s="12" t="s">
        <v>290</v>
      </c>
      <c r="G9" s="12">
        <v>1</v>
      </c>
      <c r="H9" s="13">
        <v>25</v>
      </c>
      <c r="I9" s="34">
        <v>20000</v>
      </c>
      <c r="J9" s="5">
        <v>3610</v>
      </c>
      <c r="K9" s="15">
        <f>L9+4139+5396+5924</f>
        <v>19069</v>
      </c>
      <c r="L9" s="15">
        <f>2946+664</f>
        <v>3610</v>
      </c>
      <c r="M9" s="16">
        <f t="shared" si="0"/>
        <v>3610</v>
      </c>
      <c r="N9" s="16">
        <v>0</v>
      </c>
      <c r="O9" s="62">
        <f t="shared" si="1"/>
        <v>0</v>
      </c>
      <c r="P9" s="42">
        <f t="shared" si="2"/>
        <v>17</v>
      </c>
      <c r="Q9" s="43">
        <f t="shared" si="3"/>
        <v>7</v>
      </c>
      <c r="R9" s="7"/>
      <c r="S9" s="6">
        <v>7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9">
        <f t="shared" si="7"/>
        <v>0.36625972070904139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548</v>
      </c>
      <c r="D10" s="55" t="s">
        <v>549</v>
      </c>
      <c r="E10" s="57" t="s">
        <v>550</v>
      </c>
      <c r="F10" s="12" t="s">
        <v>551</v>
      </c>
      <c r="G10" s="12">
        <v>4</v>
      </c>
      <c r="H10" s="13">
        <v>25</v>
      </c>
      <c r="I10" s="34">
        <v>300</v>
      </c>
      <c r="J10" s="5">
        <v>2360</v>
      </c>
      <c r="K10" s="15">
        <f>L10</f>
        <v>2352</v>
      </c>
      <c r="L10" s="15">
        <f>588*4</f>
        <v>2352</v>
      </c>
      <c r="M10" s="16">
        <f t="shared" si="0"/>
        <v>2352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>
        <v>20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0.99661016949152548</v>
      </c>
      <c r="AC10" s="9">
        <f t="shared" si="5"/>
        <v>0.16666666666666666</v>
      </c>
      <c r="AD10" s="10">
        <f t="shared" si="6"/>
        <v>0.16610169491525423</v>
      </c>
      <c r="AE10" s="39">
        <f t="shared" si="7"/>
        <v>0.36625972070904139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361</v>
      </c>
      <c r="E11" s="56" t="s">
        <v>386</v>
      </c>
      <c r="F11" s="12" t="s">
        <v>367</v>
      </c>
      <c r="G11" s="12">
        <v>1</v>
      </c>
      <c r="H11" s="13">
        <v>25</v>
      </c>
      <c r="I11" s="34">
        <v>5000</v>
      </c>
      <c r="J11" s="14">
        <v>4840</v>
      </c>
      <c r="K11" s="15">
        <f>L11+4062+5380+4839</f>
        <v>14281</v>
      </c>
      <c r="L11" s="15">
        <v>0</v>
      </c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0.36625972070904139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463</v>
      </c>
      <c r="E12" s="57" t="s">
        <v>461</v>
      </c>
      <c r="F12" s="12" t="s">
        <v>462</v>
      </c>
      <c r="G12" s="12">
        <v>1</v>
      </c>
      <c r="H12" s="13">
        <v>25</v>
      </c>
      <c r="I12" s="34">
        <v>22000</v>
      </c>
      <c r="J12" s="5">
        <v>4320</v>
      </c>
      <c r="K12" s="15">
        <f>L12+4213+4937</f>
        <v>13464</v>
      </c>
      <c r="L12" s="15">
        <f>2548+1766</f>
        <v>4314</v>
      </c>
      <c r="M12" s="16">
        <f t="shared" si="0"/>
        <v>4314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/>
      <c r="U12" s="17"/>
      <c r="V12" s="18">
        <v>1</v>
      </c>
      <c r="W12" s="19"/>
      <c r="X12" s="17"/>
      <c r="Y12" s="20"/>
      <c r="Z12" s="20"/>
      <c r="AA12" s="21"/>
      <c r="AB12" s="8">
        <f t="shared" si="4"/>
        <v>0.99861111111111112</v>
      </c>
      <c r="AC12" s="9">
        <f t="shared" si="5"/>
        <v>0.95833333333333337</v>
      </c>
      <c r="AD12" s="10">
        <f t="shared" si="6"/>
        <v>0.9570023148148149</v>
      </c>
      <c r="AE12" s="39">
        <f t="shared" si="7"/>
        <v>0.36625972070904139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135</v>
      </c>
      <c r="D13" s="55" t="s">
        <v>123</v>
      </c>
      <c r="E13" s="57" t="s">
        <v>291</v>
      </c>
      <c r="F13" s="12" t="s">
        <v>229</v>
      </c>
      <c r="G13" s="12">
        <v>1</v>
      </c>
      <c r="H13" s="13">
        <v>25</v>
      </c>
      <c r="I13" s="7">
        <v>20000</v>
      </c>
      <c r="J13" s="14">
        <v>4900</v>
      </c>
      <c r="K13" s="15">
        <f>L13+5345</f>
        <v>10239</v>
      </c>
      <c r="L13" s="15">
        <f>2943+1951</f>
        <v>4894</v>
      </c>
      <c r="M13" s="16">
        <f t="shared" si="0"/>
        <v>4894</v>
      </c>
      <c r="N13" s="16">
        <v>0</v>
      </c>
      <c r="O13" s="62">
        <f t="shared" si="1"/>
        <v>0</v>
      </c>
      <c r="P13" s="42">
        <f t="shared" si="2"/>
        <v>23</v>
      </c>
      <c r="Q13" s="43">
        <f t="shared" si="3"/>
        <v>1</v>
      </c>
      <c r="R13" s="7"/>
      <c r="S13" s="6"/>
      <c r="T13" s="17"/>
      <c r="U13" s="17"/>
      <c r="V13" s="18">
        <v>1</v>
      </c>
      <c r="W13" s="19"/>
      <c r="X13" s="17"/>
      <c r="Y13" s="20"/>
      <c r="Z13" s="20"/>
      <c r="AA13" s="21"/>
      <c r="AB13" s="8">
        <f t="shared" si="4"/>
        <v>0.99877551020408162</v>
      </c>
      <c r="AC13" s="9">
        <f t="shared" si="5"/>
        <v>0.95833333333333337</v>
      </c>
      <c r="AD13" s="10">
        <f t="shared" si="6"/>
        <v>0.95715986394557828</v>
      </c>
      <c r="AE13" s="39">
        <f t="shared" si="7"/>
        <v>0.36625972070904139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135</v>
      </c>
      <c r="D14" s="55" t="s">
        <v>506</v>
      </c>
      <c r="E14" s="57" t="s">
        <v>507</v>
      </c>
      <c r="F14" s="33" t="s">
        <v>508</v>
      </c>
      <c r="G14" s="36">
        <v>1</v>
      </c>
      <c r="H14" s="38">
        <v>50</v>
      </c>
      <c r="I14" s="7">
        <v>10000</v>
      </c>
      <c r="J14" s="5">
        <v>4350</v>
      </c>
      <c r="K14" s="15">
        <f>L14+3432</f>
        <v>7776</v>
      </c>
      <c r="L14" s="15">
        <f>2589+1755</f>
        <v>4344</v>
      </c>
      <c r="M14" s="16">
        <f t="shared" si="0"/>
        <v>4344</v>
      </c>
      <c r="N14" s="16">
        <v>0</v>
      </c>
      <c r="O14" s="62">
        <f t="shared" si="1"/>
        <v>0</v>
      </c>
      <c r="P14" s="42">
        <f t="shared" si="2"/>
        <v>23</v>
      </c>
      <c r="Q14" s="43">
        <f t="shared" si="3"/>
        <v>1</v>
      </c>
      <c r="R14" s="7"/>
      <c r="S14" s="6"/>
      <c r="T14" s="17"/>
      <c r="U14" s="17"/>
      <c r="V14" s="18">
        <v>1</v>
      </c>
      <c r="W14" s="19"/>
      <c r="X14" s="17"/>
      <c r="Y14" s="20"/>
      <c r="Z14" s="20"/>
      <c r="AA14" s="21"/>
      <c r="AB14" s="8">
        <f t="shared" si="4"/>
        <v>0.99862068965517237</v>
      </c>
      <c r="AC14" s="9">
        <f t="shared" si="5"/>
        <v>0.95833333333333337</v>
      </c>
      <c r="AD14" s="10">
        <f t="shared" si="6"/>
        <v>0.95701149425287357</v>
      </c>
      <c r="AE14" s="39">
        <f t="shared" si="7"/>
        <v>0.36625972070904139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0.36625972070904139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509</v>
      </c>
      <c r="E16" s="56" t="s">
        <v>510</v>
      </c>
      <c r="F16" s="12">
        <v>7301</v>
      </c>
      <c r="G16" s="36">
        <v>2</v>
      </c>
      <c r="H16" s="38">
        <v>25</v>
      </c>
      <c r="I16" s="7">
        <v>5000</v>
      </c>
      <c r="J16" s="14">
        <v>8800</v>
      </c>
      <c r="K16" s="15">
        <f>L16+8798</f>
        <v>8798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0.36625972070904139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467</v>
      </c>
      <c r="E17" s="56" t="s">
        <v>468</v>
      </c>
      <c r="F17" s="12">
        <v>8301</v>
      </c>
      <c r="G17" s="12">
        <v>1</v>
      </c>
      <c r="H17" s="13">
        <v>25</v>
      </c>
      <c r="I17" s="34">
        <v>2500</v>
      </c>
      <c r="J17" s="5">
        <v>1210</v>
      </c>
      <c r="K17" s="15">
        <f>L17+2929+1210</f>
        <v>4139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0.36625972070904139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503</v>
      </c>
      <c r="D18" s="55" t="s">
        <v>511</v>
      </c>
      <c r="E18" s="56" t="s">
        <v>512</v>
      </c>
      <c r="F18" s="33" t="s">
        <v>513</v>
      </c>
      <c r="G18" s="36">
        <v>1</v>
      </c>
      <c r="H18" s="38">
        <v>25</v>
      </c>
      <c r="I18" s="7">
        <v>2500</v>
      </c>
      <c r="J18" s="5">
        <v>4330</v>
      </c>
      <c r="K18" s="15">
        <f>L18+4330</f>
        <v>4330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0.36625972070904139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503</v>
      </c>
      <c r="D19" s="55" t="s">
        <v>511</v>
      </c>
      <c r="E19" s="57" t="s">
        <v>514</v>
      </c>
      <c r="F19" s="33" t="s">
        <v>515</v>
      </c>
      <c r="G19" s="36">
        <v>1</v>
      </c>
      <c r="H19" s="38">
        <v>25</v>
      </c>
      <c r="I19" s="34">
        <v>500</v>
      </c>
      <c r="J19" s="5">
        <v>1020</v>
      </c>
      <c r="K19" s="15">
        <f>L19+1014</f>
        <v>1014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0.36625972070904139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552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25400</v>
      </c>
      <c r="K20" s="15">
        <f>L20</f>
        <v>25396</v>
      </c>
      <c r="L20" s="15">
        <f>6349*4</f>
        <v>25396</v>
      </c>
      <c r="M20" s="16">
        <f t="shared" si="0"/>
        <v>25396</v>
      </c>
      <c r="N20" s="16">
        <v>0</v>
      </c>
      <c r="O20" s="62">
        <f t="shared" si="1"/>
        <v>0</v>
      </c>
      <c r="P20" s="42">
        <f t="shared" si="2"/>
        <v>16</v>
      </c>
      <c r="Q20" s="43">
        <f t="shared" si="3"/>
        <v>8</v>
      </c>
      <c r="R20" s="7"/>
      <c r="S20" s="6">
        <v>8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0.99984251968503934</v>
      </c>
      <c r="AC20" s="9">
        <f t="shared" si="5"/>
        <v>0.66666666666666663</v>
      </c>
      <c r="AD20" s="10">
        <f t="shared" si="6"/>
        <v>0.66656167979002623</v>
      </c>
      <c r="AE20" s="39">
        <f t="shared" si="7"/>
        <v>0.36625972070904139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948300</v>
      </c>
      <c r="J21" s="22">
        <f t="shared" si="9"/>
        <v>120670</v>
      </c>
      <c r="K21" s="23">
        <f t="shared" si="9"/>
        <v>491194</v>
      </c>
      <c r="L21" s="24">
        <f t="shared" si="9"/>
        <v>64744</v>
      </c>
      <c r="M21" s="23">
        <f t="shared" si="9"/>
        <v>64744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132</v>
      </c>
      <c r="Q21" s="46">
        <f t="shared" si="10"/>
        <v>228</v>
      </c>
      <c r="R21" s="26">
        <f t="shared" si="10"/>
        <v>0</v>
      </c>
      <c r="S21" s="27">
        <f t="shared" si="10"/>
        <v>79</v>
      </c>
      <c r="T21" s="27">
        <f t="shared" si="10"/>
        <v>1</v>
      </c>
      <c r="U21" s="27">
        <f t="shared" si="10"/>
        <v>0</v>
      </c>
      <c r="V21" s="28">
        <f t="shared" si="10"/>
        <v>4</v>
      </c>
      <c r="W21" s="29">
        <f t="shared" si="10"/>
        <v>144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0.53216005573638203</v>
      </c>
      <c r="AC21" s="4">
        <f>SUM(AC6:AC20)/15</f>
        <v>0.36666666666666675</v>
      </c>
      <c r="AD21" s="4">
        <f>SUM(AD6:AD20)/15</f>
        <v>0.36625972070904139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553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565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223" t="s">
        <v>47</v>
      </c>
      <c r="D50" s="223" t="s">
        <v>48</v>
      </c>
      <c r="E50" s="223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223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517</v>
      </c>
      <c r="B51" s="414"/>
      <c r="C51" s="224" t="s">
        <v>518</v>
      </c>
      <c r="D51" s="225" t="s">
        <v>545</v>
      </c>
      <c r="E51" s="224" t="s">
        <v>554</v>
      </c>
      <c r="F51" s="415" t="s">
        <v>555</v>
      </c>
      <c r="G51" s="415"/>
      <c r="H51" s="415"/>
      <c r="I51" s="415"/>
      <c r="J51" s="415"/>
      <c r="K51" s="415"/>
      <c r="L51" s="415"/>
      <c r="M51" s="416"/>
      <c r="N51" s="226" t="s">
        <v>122</v>
      </c>
      <c r="O51" s="74" t="s">
        <v>567</v>
      </c>
      <c r="P51" s="417" t="s">
        <v>568</v>
      </c>
      <c r="Q51" s="418"/>
      <c r="R51" s="419" t="s">
        <v>566</v>
      </c>
      <c r="S51" s="419"/>
      <c r="T51" s="419"/>
      <c r="U51" s="419"/>
      <c r="V51" s="415" t="s">
        <v>175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297</v>
      </c>
      <c r="B52" s="414"/>
      <c r="C52" s="224" t="s">
        <v>556</v>
      </c>
      <c r="D52" s="225" t="s">
        <v>557</v>
      </c>
      <c r="E52" s="224" t="s">
        <v>558</v>
      </c>
      <c r="F52" s="415" t="s">
        <v>314</v>
      </c>
      <c r="G52" s="415"/>
      <c r="H52" s="415"/>
      <c r="I52" s="415"/>
      <c r="J52" s="415"/>
      <c r="K52" s="415"/>
      <c r="L52" s="415"/>
      <c r="M52" s="416"/>
      <c r="N52" s="226"/>
      <c r="O52" s="74"/>
      <c r="P52" s="417"/>
      <c r="Q52" s="418"/>
      <c r="R52" s="419"/>
      <c r="S52" s="419"/>
      <c r="T52" s="419"/>
      <c r="U52" s="419"/>
      <c r="V52" s="415"/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20" t="s">
        <v>548</v>
      </c>
      <c r="B53" s="419"/>
      <c r="C53" s="225" t="s">
        <v>559</v>
      </c>
      <c r="D53" s="225" t="s">
        <v>549</v>
      </c>
      <c r="E53" s="224" t="s">
        <v>550</v>
      </c>
      <c r="F53" s="415" t="s">
        <v>560</v>
      </c>
      <c r="G53" s="415"/>
      <c r="H53" s="415"/>
      <c r="I53" s="415"/>
      <c r="J53" s="415"/>
      <c r="K53" s="415"/>
      <c r="L53" s="415"/>
      <c r="M53" s="416"/>
      <c r="N53" s="226"/>
      <c r="O53" s="74"/>
      <c r="P53" s="419"/>
      <c r="Q53" s="419"/>
      <c r="R53" s="419"/>
      <c r="S53" s="419"/>
      <c r="T53" s="419"/>
      <c r="U53" s="419"/>
      <c r="V53" s="415"/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562</v>
      </c>
      <c r="B54" s="414"/>
      <c r="C54" s="224" t="s">
        <v>563</v>
      </c>
      <c r="D54" s="225"/>
      <c r="E54" s="224" t="s">
        <v>561</v>
      </c>
      <c r="F54" s="415" t="s">
        <v>564</v>
      </c>
      <c r="G54" s="415"/>
      <c r="H54" s="415"/>
      <c r="I54" s="415"/>
      <c r="J54" s="415"/>
      <c r="K54" s="415"/>
      <c r="L54" s="415"/>
      <c r="M54" s="416"/>
      <c r="N54" s="226"/>
      <c r="O54" s="74"/>
      <c r="P54" s="417"/>
      <c r="Q54" s="418"/>
      <c r="R54" s="419"/>
      <c r="S54" s="419"/>
      <c r="T54" s="419"/>
      <c r="U54" s="419"/>
      <c r="V54" s="415"/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/>
      <c r="B55" s="414"/>
      <c r="C55" s="224"/>
      <c r="D55" s="225"/>
      <c r="E55" s="224"/>
      <c r="F55" s="415"/>
      <c r="G55" s="415"/>
      <c r="H55" s="415"/>
      <c r="I55" s="415"/>
      <c r="J55" s="415"/>
      <c r="K55" s="415"/>
      <c r="L55" s="415"/>
      <c r="M55" s="416"/>
      <c r="N55" s="226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/>
      <c r="B56" s="414"/>
      <c r="C56" s="224"/>
      <c r="D56" s="225"/>
      <c r="E56" s="224"/>
      <c r="F56" s="415"/>
      <c r="G56" s="415"/>
      <c r="H56" s="415"/>
      <c r="I56" s="415"/>
      <c r="J56" s="415"/>
      <c r="K56" s="415"/>
      <c r="L56" s="415"/>
      <c r="M56" s="416"/>
      <c r="N56" s="226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/>
      <c r="B57" s="419"/>
      <c r="C57" s="225"/>
      <c r="D57" s="225"/>
      <c r="E57" s="224"/>
      <c r="F57" s="415"/>
      <c r="G57" s="415"/>
      <c r="H57" s="415"/>
      <c r="I57" s="415"/>
      <c r="J57" s="415"/>
      <c r="K57" s="415"/>
      <c r="L57" s="415"/>
      <c r="M57" s="416"/>
      <c r="N57" s="226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224"/>
      <c r="D58" s="225"/>
      <c r="E58" s="224"/>
      <c r="F58" s="415"/>
      <c r="G58" s="415"/>
      <c r="H58" s="415"/>
      <c r="I58" s="415"/>
      <c r="J58" s="415"/>
      <c r="K58" s="415"/>
      <c r="L58" s="415"/>
      <c r="M58" s="416"/>
      <c r="N58" s="226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225"/>
      <c r="D59" s="225"/>
      <c r="E59" s="225"/>
      <c r="F59" s="415"/>
      <c r="G59" s="415"/>
      <c r="H59" s="415"/>
      <c r="I59" s="415"/>
      <c r="J59" s="415"/>
      <c r="K59" s="415"/>
      <c r="L59" s="415"/>
      <c r="M59" s="416"/>
      <c r="N59" s="226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228"/>
      <c r="D60" s="228"/>
      <c r="E60" s="228"/>
      <c r="F60" s="423"/>
      <c r="G60" s="423"/>
      <c r="H60" s="423"/>
      <c r="I60" s="423"/>
      <c r="J60" s="423"/>
      <c r="K60" s="423"/>
      <c r="L60" s="423"/>
      <c r="M60" s="424"/>
      <c r="N60" s="227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569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229" t="s">
        <v>2</v>
      </c>
      <c r="D62" s="229" t="s">
        <v>38</v>
      </c>
      <c r="E62" s="229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229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124</v>
      </c>
      <c r="D63" s="232"/>
      <c r="E63" s="230" t="s">
        <v>536</v>
      </c>
      <c r="F63" s="434" t="s">
        <v>537</v>
      </c>
      <c r="G63" s="434"/>
      <c r="H63" s="434"/>
      <c r="I63" s="434"/>
      <c r="J63" s="434"/>
      <c r="K63" s="435" t="s">
        <v>538</v>
      </c>
      <c r="L63" s="436"/>
      <c r="M63" s="54" t="s">
        <v>496</v>
      </c>
      <c r="N63" s="434">
        <v>6</v>
      </c>
      <c r="O63" s="434"/>
      <c r="P63" s="437">
        <v>200</v>
      </c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570</v>
      </c>
      <c r="D64" s="232"/>
      <c r="E64" s="230" t="s">
        <v>571</v>
      </c>
      <c r="F64" s="434" t="s">
        <v>572</v>
      </c>
      <c r="G64" s="434"/>
      <c r="H64" s="434"/>
      <c r="I64" s="434"/>
      <c r="J64" s="434"/>
      <c r="K64" s="434" t="s">
        <v>573</v>
      </c>
      <c r="L64" s="434"/>
      <c r="M64" s="54" t="s">
        <v>427</v>
      </c>
      <c r="N64" s="434">
        <v>14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 t="s">
        <v>122</v>
      </c>
      <c r="D65" s="232"/>
      <c r="E65" s="230" t="s">
        <v>574</v>
      </c>
      <c r="F65" s="434" t="s">
        <v>575</v>
      </c>
      <c r="G65" s="434"/>
      <c r="H65" s="434"/>
      <c r="I65" s="434"/>
      <c r="J65" s="434"/>
      <c r="K65" s="434" t="s">
        <v>576</v>
      </c>
      <c r="L65" s="434"/>
      <c r="M65" s="54" t="s">
        <v>577</v>
      </c>
      <c r="N65" s="434">
        <v>13</v>
      </c>
      <c r="O65" s="434"/>
      <c r="P65" s="437">
        <v>50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 t="s">
        <v>570</v>
      </c>
      <c r="D66" s="232"/>
      <c r="E66" s="230" t="s">
        <v>568</v>
      </c>
      <c r="F66" s="434" t="s">
        <v>578</v>
      </c>
      <c r="G66" s="434"/>
      <c r="H66" s="434"/>
      <c r="I66" s="434"/>
      <c r="J66" s="434"/>
      <c r="K66" s="434" t="s">
        <v>579</v>
      </c>
      <c r="L66" s="434"/>
      <c r="M66" s="54" t="s">
        <v>577</v>
      </c>
      <c r="N66" s="434">
        <v>11</v>
      </c>
      <c r="O66" s="434"/>
      <c r="P66" s="437">
        <v>50</v>
      </c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232"/>
      <c r="E67" s="230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232"/>
      <c r="E68" s="230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232"/>
      <c r="E69" s="230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232"/>
      <c r="E70" s="230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580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231" t="s">
        <v>2</v>
      </c>
      <c r="D72" s="231" t="s">
        <v>38</v>
      </c>
      <c r="E72" s="231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233" t="s">
        <v>62</v>
      </c>
      <c r="D73" s="233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232" t="s">
        <v>135</v>
      </c>
      <c r="D74" s="232"/>
      <c r="E74" s="35" t="s">
        <v>536</v>
      </c>
      <c r="F74" s="447" t="s">
        <v>533</v>
      </c>
      <c r="G74" s="447"/>
      <c r="H74" s="447"/>
      <c r="I74" s="447"/>
      <c r="J74" s="447"/>
      <c r="K74" s="448" t="s">
        <v>543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232" t="s">
        <v>62</v>
      </c>
      <c r="D75" s="232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232" t="s">
        <v>62</v>
      </c>
      <c r="D76" s="232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232" t="s">
        <v>62</v>
      </c>
      <c r="D77" s="232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232" t="s">
        <v>135</v>
      </c>
      <c r="D78" s="232"/>
      <c r="E78" s="35" t="s">
        <v>160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232"/>
      <c r="D79" s="232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232"/>
      <c r="D80" s="232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232"/>
      <c r="D81" s="232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581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5" zoomScaleNormal="75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582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45" t="s">
        <v>17</v>
      </c>
      <c r="L5" s="245" t="s">
        <v>18</v>
      </c>
      <c r="M5" s="245" t="s">
        <v>19</v>
      </c>
      <c r="N5" s="24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176</v>
      </c>
      <c r="D6" s="55" t="s">
        <v>583</v>
      </c>
      <c r="E6" s="56" t="s">
        <v>584</v>
      </c>
      <c r="F6" s="12">
        <v>7301</v>
      </c>
      <c r="G6" s="36">
        <v>1</v>
      </c>
      <c r="H6" s="38">
        <v>25</v>
      </c>
      <c r="I6" s="7">
        <v>2000</v>
      </c>
      <c r="J6" s="14">
        <v>2600</v>
      </c>
      <c r="K6" s="15">
        <f>L6</f>
        <v>2595</v>
      </c>
      <c r="L6" s="15">
        <f>1779+816</f>
        <v>2595</v>
      </c>
      <c r="M6" s="16">
        <f t="shared" ref="M6:M20" si="0">L6-N6</f>
        <v>2595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12</v>
      </c>
      <c r="Q6" s="43">
        <f t="shared" ref="Q6:Q20" si="3">SUM(R6:AA6)</f>
        <v>12</v>
      </c>
      <c r="R6" s="7"/>
      <c r="S6" s="6">
        <v>12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0.99807692307692308</v>
      </c>
      <c r="AC6" s="9">
        <f t="shared" ref="AC6:AC20" si="5">IF(P6=0,"0",(P6/24))</f>
        <v>0.5</v>
      </c>
      <c r="AD6" s="10">
        <f t="shared" ref="AD6:AD20" si="6">AC6*AB6*(1-O6)</f>
        <v>0.49903846153846154</v>
      </c>
      <c r="AE6" s="39">
        <f t="shared" ref="AE6:AE20" si="7">$AD$21</f>
        <v>0.54947901844270086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431</v>
      </c>
      <c r="D7" s="55" t="s">
        <v>432</v>
      </c>
      <c r="E7" s="57" t="s">
        <v>433</v>
      </c>
      <c r="F7" s="33" t="s">
        <v>434</v>
      </c>
      <c r="G7" s="36">
        <v>4</v>
      </c>
      <c r="H7" s="38">
        <v>20</v>
      </c>
      <c r="I7" s="7">
        <v>100000</v>
      </c>
      <c r="J7" s="5">
        <v>21300</v>
      </c>
      <c r="K7" s="15">
        <f>L7+10008+20936+21036+19012</f>
        <v>92280</v>
      </c>
      <c r="L7" s="15">
        <f>2774*4+2548*4</f>
        <v>21288</v>
      </c>
      <c r="M7" s="16">
        <f t="shared" si="0"/>
        <v>21288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0.99943661971830988</v>
      </c>
      <c r="AC7" s="9">
        <f t="shared" si="5"/>
        <v>1</v>
      </c>
      <c r="AD7" s="10">
        <f t="shared" si="6"/>
        <v>0.99943661971830988</v>
      </c>
      <c r="AE7" s="39">
        <f t="shared" si="7"/>
        <v>0.54947901844270086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153</v>
      </c>
      <c r="D8" s="55"/>
      <c r="E8" s="57" t="s">
        <v>154</v>
      </c>
      <c r="F8" s="33" t="s">
        <v>143</v>
      </c>
      <c r="G8" s="36">
        <v>16</v>
      </c>
      <c r="H8" s="38">
        <v>25</v>
      </c>
      <c r="I8" s="7">
        <v>500000</v>
      </c>
      <c r="J8" s="14">
        <v>10610</v>
      </c>
      <c r="K8" s="15">
        <f>L8+70768+116768+40064+10608</f>
        <v>238208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>
        <v>24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0.54947901844270086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121</v>
      </c>
      <c r="E9" s="57" t="s">
        <v>274</v>
      </c>
      <c r="F9" s="12" t="s">
        <v>233</v>
      </c>
      <c r="G9" s="12">
        <v>1</v>
      </c>
      <c r="H9" s="13">
        <v>25</v>
      </c>
      <c r="I9" s="34">
        <v>20000</v>
      </c>
      <c r="J9" s="5">
        <v>4760</v>
      </c>
      <c r="K9" s="15">
        <f>L9+4139+5396+5924+3610</f>
        <v>23821</v>
      </c>
      <c r="L9" s="15">
        <f>2768+1984</f>
        <v>4752</v>
      </c>
      <c r="M9" s="16">
        <f t="shared" si="0"/>
        <v>4752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>
        <v>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0.99831932773109244</v>
      </c>
      <c r="AC9" s="9">
        <f t="shared" si="5"/>
        <v>0.91666666666666663</v>
      </c>
      <c r="AD9" s="10">
        <f t="shared" si="6"/>
        <v>0.91512605042016804</v>
      </c>
      <c r="AE9" s="39">
        <f t="shared" si="7"/>
        <v>0.54947901844270086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135</v>
      </c>
      <c r="D10" s="55" t="s">
        <v>585</v>
      </c>
      <c r="E10" s="57" t="s">
        <v>586</v>
      </c>
      <c r="F10" s="12" t="s">
        <v>587</v>
      </c>
      <c r="G10" s="12">
        <v>32</v>
      </c>
      <c r="H10" s="13">
        <v>25</v>
      </c>
      <c r="I10" s="34">
        <f>30000*4</f>
        <v>120000</v>
      </c>
      <c r="J10" s="5">
        <v>135750</v>
      </c>
      <c r="K10" s="15">
        <f>L10</f>
        <v>135744</v>
      </c>
      <c r="L10" s="15">
        <f>3200*32+1042*32</f>
        <v>135744</v>
      </c>
      <c r="M10" s="16">
        <f t="shared" si="0"/>
        <v>135744</v>
      </c>
      <c r="N10" s="16">
        <v>0</v>
      </c>
      <c r="O10" s="62">
        <f t="shared" si="1"/>
        <v>0</v>
      </c>
      <c r="P10" s="42">
        <f t="shared" si="2"/>
        <v>18</v>
      </c>
      <c r="Q10" s="43">
        <f t="shared" si="3"/>
        <v>6</v>
      </c>
      <c r="R10" s="7"/>
      <c r="S10" s="6"/>
      <c r="T10" s="17">
        <v>6</v>
      </c>
      <c r="U10" s="17"/>
      <c r="V10" s="18"/>
      <c r="W10" s="19"/>
      <c r="X10" s="17"/>
      <c r="Y10" s="20"/>
      <c r="Z10" s="20"/>
      <c r="AA10" s="21"/>
      <c r="AB10" s="8">
        <f t="shared" si="4"/>
        <v>0.9999558011049724</v>
      </c>
      <c r="AC10" s="9">
        <f t="shared" si="5"/>
        <v>0.75</v>
      </c>
      <c r="AD10" s="10">
        <f t="shared" si="6"/>
        <v>0.74996685082872927</v>
      </c>
      <c r="AE10" s="39">
        <f t="shared" si="7"/>
        <v>0.54947901844270086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361</v>
      </c>
      <c r="E11" s="56" t="s">
        <v>386</v>
      </c>
      <c r="F11" s="12" t="s">
        <v>367</v>
      </c>
      <c r="G11" s="12">
        <v>1</v>
      </c>
      <c r="H11" s="13">
        <v>25</v>
      </c>
      <c r="I11" s="34">
        <v>5000</v>
      </c>
      <c r="J11" s="14">
        <v>4840</v>
      </c>
      <c r="K11" s="15">
        <f>L11+4062+5380+4839</f>
        <v>14281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0.54947901844270086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58</v>
      </c>
      <c r="E12" s="57" t="s">
        <v>452</v>
      </c>
      <c r="F12" s="12" t="s">
        <v>136</v>
      </c>
      <c r="G12" s="12">
        <v>1</v>
      </c>
      <c r="H12" s="13">
        <v>25</v>
      </c>
      <c r="I12" s="34">
        <v>22000</v>
      </c>
      <c r="J12" s="5">
        <v>5110</v>
      </c>
      <c r="K12" s="15">
        <f>L12+4213+4937+4314</f>
        <v>18570</v>
      </c>
      <c r="L12" s="15">
        <f>2676+2430</f>
        <v>5106</v>
      </c>
      <c r="M12" s="16">
        <f t="shared" si="0"/>
        <v>5106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0.99921722113502931</v>
      </c>
      <c r="AC12" s="9">
        <f t="shared" si="5"/>
        <v>1</v>
      </c>
      <c r="AD12" s="10">
        <f t="shared" si="6"/>
        <v>0.99921722113502931</v>
      </c>
      <c r="AE12" s="39">
        <f t="shared" si="7"/>
        <v>0.54947901844270086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135</v>
      </c>
      <c r="D13" s="55" t="s">
        <v>123</v>
      </c>
      <c r="E13" s="57" t="s">
        <v>271</v>
      </c>
      <c r="F13" s="12" t="s">
        <v>229</v>
      </c>
      <c r="G13" s="12">
        <v>1</v>
      </c>
      <c r="H13" s="13">
        <v>25</v>
      </c>
      <c r="I13" s="7">
        <v>20000</v>
      </c>
      <c r="J13" s="14">
        <v>5700</v>
      </c>
      <c r="K13" s="15">
        <f>L13+5345+4894</f>
        <v>15930</v>
      </c>
      <c r="L13" s="15">
        <f>2981+2710</f>
        <v>5691</v>
      </c>
      <c r="M13" s="16">
        <f t="shared" si="0"/>
        <v>5691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0.99842105263157899</v>
      </c>
      <c r="AC13" s="9">
        <f t="shared" si="5"/>
        <v>1</v>
      </c>
      <c r="AD13" s="10">
        <f t="shared" si="6"/>
        <v>0.99842105263157899</v>
      </c>
      <c r="AE13" s="39">
        <f t="shared" si="7"/>
        <v>0.54947901844270086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135</v>
      </c>
      <c r="D14" s="55" t="s">
        <v>267</v>
      </c>
      <c r="E14" s="57" t="s">
        <v>507</v>
      </c>
      <c r="F14" s="33" t="s">
        <v>158</v>
      </c>
      <c r="G14" s="36">
        <v>1</v>
      </c>
      <c r="H14" s="38">
        <v>50</v>
      </c>
      <c r="I14" s="7">
        <v>10000</v>
      </c>
      <c r="J14" s="5">
        <v>4960</v>
      </c>
      <c r="K14" s="15">
        <f>L14+3432+4344</f>
        <v>12736</v>
      </c>
      <c r="L14" s="15">
        <f>2563+2397</f>
        <v>4960</v>
      </c>
      <c r="M14" s="16">
        <f t="shared" si="0"/>
        <v>4960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 t="shared" si="7"/>
        <v>0.54947901844270086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0.54947901844270086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509</v>
      </c>
      <c r="E16" s="56" t="s">
        <v>588</v>
      </c>
      <c r="F16" s="12">
        <v>7301</v>
      </c>
      <c r="G16" s="36">
        <v>1</v>
      </c>
      <c r="H16" s="38">
        <v>25</v>
      </c>
      <c r="I16" s="7">
        <v>40000</v>
      </c>
      <c r="J16" s="14">
        <v>2820</v>
      </c>
      <c r="K16" s="15">
        <f>L16</f>
        <v>2811</v>
      </c>
      <c r="L16" s="15">
        <f>2811</f>
        <v>2811</v>
      </c>
      <c r="M16" s="16">
        <f t="shared" si="0"/>
        <v>2811</v>
      </c>
      <c r="N16" s="16">
        <v>0</v>
      </c>
      <c r="O16" s="62">
        <f t="shared" si="1"/>
        <v>0</v>
      </c>
      <c r="P16" s="42">
        <f t="shared" si="2"/>
        <v>14</v>
      </c>
      <c r="Q16" s="43">
        <f t="shared" si="3"/>
        <v>10</v>
      </c>
      <c r="R16" s="7"/>
      <c r="S16" s="6"/>
      <c r="T16" s="17">
        <v>10</v>
      </c>
      <c r="U16" s="17"/>
      <c r="V16" s="18"/>
      <c r="W16" s="19"/>
      <c r="X16" s="17"/>
      <c r="Y16" s="20"/>
      <c r="Z16" s="20"/>
      <c r="AA16" s="21"/>
      <c r="AB16" s="8">
        <f t="shared" si="4"/>
        <v>0.9968085106382979</v>
      </c>
      <c r="AC16" s="9">
        <f t="shared" si="5"/>
        <v>0.58333333333333337</v>
      </c>
      <c r="AD16" s="10">
        <f t="shared" si="6"/>
        <v>0.5814716312056738</v>
      </c>
      <c r="AE16" s="39">
        <f t="shared" si="7"/>
        <v>0.54947901844270086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467</v>
      </c>
      <c r="E17" s="56" t="s">
        <v>468</v>
      </c>
      <c r="F17" s="12">
        <v>8301</v>
      </c>
      <c r="G17" s="12">
        <v>1</v>
      </c>
      <c r="H17" s="13">
        <v>25</v>
      </c>
      <c r="I17" s="34">
        <v>2500</v>
      </c>
      <c r="J17" s="5">
        <v>1210</v>
      </c>
      <c r="K17" s="15">
        <f>L17+2929+1210</f>
        <v>4139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0.54947901844270086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176</v>
      </c>
      <c r="D18" s="55" t="s">
        <v>276</v>
      </c>
      <c r="E18" s="56" t="s">
        <v>490</v>
      </c>
      <c r="F18" s="33" t="s">
        <v>513</v>
      </c>
      <c r="G18" s="36">
        <v>1</v>
      </c>
      <c r="H18" s="38">
        <v>25</v>
      </c>
      <c r="I18" s="7">
        <v>2500</v>
      </c>
      <c r="J18" s="5">
        <v>4330</v>
      </c>
      <c r="K18" s="15">
        <f>L18+4330</f>
        <v>4330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0.54947901844270086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589</v>
      </c>
      <c r="E19" s="57" t="s">
        <v>590</v>
      </c>
      <c r="F19" s="33" t="s">
        <v>591</v>
      </c>
      <c r="G19" s="36">
        <v>1</v>
      </c>
      <c r="H19" s="38">
        <v>25</v>
      </c>
      <c r="I19" s="34">
        <v>40000</v>
      </c>
      <c r="J19" s="5">
        <v>2030</v>
      </c>
      <c r="K19" s="15">
        <f>L19</f>
        <v>2028</v>
      </c>
      <c r="L19" s="15">
        <f>2028</f>
        <v>2028</v>
      </c>
      <c r="M19" s="16">
        <f t="shared" si="0"/>
        <v>2028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>
        <v>12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0.9990147783251232</v>
      </c>
      <c r="AC19" s="9">
        <f t="shared" si="5"/>
        <v>0.5</v>
      </c>
      <c r="AD19" s="10">
        <f t="shared" si="6"/>
        <v>0.4995073891625616</v>
      </c>
      <c r="AE19" s="39">
        <f t="shared" si="7"/>
        <v>0.54947901844270086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552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50900</v>
      </c>
      <c r="K20" s="15">
        <f>L20+25396</f>
        <v>76296</v>
      </c>
      <c r="L20" s="15">
        <f>6626*4+6099*4</f>
        <v>50900</v>
      </c>
      <c r="M20" s="16">
        <f t="shared" si="0"/>
        <v>50900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0.54947901844270086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1144000</v>
      </c>
      <c r="J21" s="22">
        <f t="shared" si="9"/>
        <v>281990</v>
      </c>
      <c r="K21" s="23">
        <f t="shared" si="9"/>
        <v>714083</v>
      </c>
      <c r="L21" s="24">
        <f t="shared" si="9"/>
        <v>235875</v>
      </c>
      <c r="M21" s="23">
        <f t="shared" si="9"/>
        <v>235875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198</v>
      </c>
      <c r="Q21" s="46">
        <f t="shared" si="10"/>
        <v>162</v>
      </c>
      <c r="R21" s="26">
        <f t="shared" si="10"/>
        <v>0</v>
      </c>
      <c r="S21" s="27">
        <f t="shared" si="10"/>
        <v>50</v>
      </c>
      <c r="T21" s="27">
        <f t="shared" si="10"/>
        <v>16</v>
      </c>
      <c r="U21" s="27">
        <f t="shared" si="10"/>
        <v>0</v>
      </c>
      <c r="V21" s="28">
        <f t="shared" si="10"/>
        <v>0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0.66595001562408851</v>
      </c>
      <c r="AC21" s="4">
        <f>SUM(AC6:AC20)/15</f>
        <v>0.55000000000000004</v>
      </c>
      <c r="AD21" s="4">
        <f>SUM(AD6:AD20)/15</f>
        <v>0.54947901844270086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592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602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244" t="s">
        <v>47</v>
      </c>
      <c r="D50" s="244" t="s">
        <v>48</v>
      </c>
      <c r="E50" s="244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244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122</v>
      </c>
      <c r="B51" s="414"/>
      <c r="C51" s="243" t="s">
        <v>266</v>
      </c>
      <c r="D51" s="240" t="s">
        <v>593</v>
      </c>
      <c r="E51" s="243" t="s">
        <v>594</v>
      </c>
      <c r="F51" s="415" t="s">
        <v>595</v>
      </c>
      <c r="G51" s="415"/>
      <c r="H51" s="415"/>
      <c r="I51" s="415"/>
      <c r="J51" s="415"/>
      <c r="K51" s="415"/>
      <c r="L51" s="415"/>
      <c r="M51" s="416"/>
      <c r="N51" s="239" t="s">
        <v>603</v>
      </c>
      <c r="O51" s="74" t="s">
        <v>604</v>
      </c>
      <c r="P51" s="417" t="s">
        <v>605</v>
      </c>
      <c r="Q51" s="418"/>
      <c r="R51" s="419" t="s">
        <v>606</v>
      </c>
      <c r="S51" s="419"/>
      <c r="T51" s="419"/>
      <c r="U51" s="419"/>
      <c r="V51" s="415" t="s">
        <v>595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297</v>
      </c>
      <c r="B52" s="414"/>
      <c r="C52" s="243" t="s">
        <v>272</v>
      </c>
      <c r="D52" s="240" t="s">
        <v>121</v>
      </c>
      <c r="E52" s="243" t="s">
        <v>289</v>
      </c>
      <c r="F52" s="415" t="s">
        <v>596</v>
      </c>
      <c r="G52" s="415"/>
      <c r="H52" s="415"/>
      <c r="I52" s="415"/>
      <c r="J52" s="415"/>
      <c r="K52" s="415"/>
      <c r="L52" s="415"/>
      <c r="M52" s="416"/>
      <c r="N52" s="239" t="s">
        <v>135</v>
      </c>
      <c r="O52" s="74" t="s">
        <v>177</v>
      </c>
      <c r="P52" s="417" t="s">
        <v>607</v>
      </c>
      <c r="Q52" s="418"/>
      <c r="R52" s="419" t="s">
        <v>608</v>
      </c>
      <c r="S52" s="419"/>
      <c r="T52" s="419"/>
      <c r="U52" s="419"/>
      <c r="V52" s="415" t="s">
        <v>170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20" t="s">
        <v>135</v>
      </c>
      <c r="B53" s="419"/>
      <c r="C53" s="240" t="s">
        <v>597</v>
      </c>
      <c r="D53" s="240" t="s">
        <v>598</v>
      </c>
      <c r="E53" s="243" t="s">
        <v>586</v>
      </c>
      <c r="F53" s="415" t="s">
        <v>170</v>
      </c>
      <c r="G53" s="415"/>
      <c r="H53" s="415"/>
      <c r="I53" s="415"/>
      <c r="J53" s="415"/>
      <c r="K53" s="415"/>
      <c r="L53" s="415"/>
      <c r="M53" s="416"/>
      <c r="N53" s="239" t="s">
        <v>609</v>
      </c>
      <c r="O53" s="74" t="s">
        <v>610</v>
      </c>
      <c r="P53" s="419" t="s">
        <v>600</v>
      </c>
      <c r="Q53" s="419"/>
      <c r="R53" s="419" t="s">
        <v>611</v>
      </c>
      <c r="S53" s="419"/>
      <c r="T53" s="419"/>
      <c r="U53" s="419"/>
      <c r="V53" s="415" t="s">
        <v>170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135</v>
      </c>
      <c r="B54" s="414"/>
      <c r="C54" s="243" t="s">
        <v>599</v>
      </c>
      <c r="D54" s="240" t="s">
        <v>600</v>
      </c>
      <c r="E54" s="243" t="s">
        <v>590</v>
      </c>
      <c r="F54" s="415" t="s">
        <v>601</v>
      </c>
      <c r="G54" s="415"/>
      <c r="H54" s="415"/>
      <c r="I54" s="415"/>
      <c r="J54" s="415"/>
      <c r="K54" s="415"/>
      <c r="L54" s="415"/>
      <c r="M54" s="416"/>
      <c r="N54" s="239"/>
      <c r="O54" s="74"/>
      <c r="P54" s="417"/>
      <c r="Q54" s="418"/>
      <c r="R54" s="419"/>
      <c r="S54" s="419"/>
      <c r="T54" s="419"/>
      <c r="U54" s="419"/>
      <c r="V54" s="415"/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/>
      <c r="B55" s="414"/>
      <c r="C55" s="243"/>
      <c r="D55" s="240"/>
      <c r="E55" s="243"/>
      <c r="F55" s="415"/>
      <c r="G55" s="415"/>
      <c r="H55" s="415"/>
      <c r="I55" s="415"/>
      <c r="J55" s="415"/>
      <c r="K55" s="415"/>
      <c r="L55" s="415"/>
      <c r="M55" s="416"/>
      <c r="N55" s="239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/>
      <c r="B56" s="414"/>
      <c r="C56" s="243"/>
      <c r="D56" s="240"/>
      <c r="E56" s="243"/>
      <c r="F56" s="415"/>
      <c r="G56" s="415"/>
      <c r="H56" s="415"/>
      <c r="I56" s="415"/>
      <c r="J56" s="415"/>
      <c r="K56" s="415"/>
      <c r="L56" s="415"/>
      <c r="M56" s="416"/>
      <c r="N56" s="239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/>
      <c r="B57" s="419"/>
      <c r="C57" s="240"/>
      <c r="D57" s="240"/>
      <c r="E57" s="243"/>
      <c r="F57" s="415"/>
      <c r="G57" s="415"/>
      <c r="H57" s="415"/>
      <c r="I57" s="415"/>
      <c r="J57" s="415"/>
      <c r="K57" s="415"/>
      <c r="L57" s="415"/>
      <c r="M57" s="416"/>
      <c r="N57" s="239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243"/>
      <c r="D58" s="240"/>
      <c r="E58" s="243"/>
      <c r="F58" s="415"/>
      <c r="G58" s="415"/>
      <c r="H58" s="415"/>
      <c r="I58" s="415"/>
      <c r="J58" s="415"/>
      <c r="K58" s="415"/>
      <c r="L58" s="415"/>
      <c r="M58" s="416"/>
      <c r="N58" s="239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240"/>
      <c r="D59" s="240"/>
      <c r="E59" s="240"/>
      <c r="F59" s="415"/>
      <c r="G59" s="415"/>
      <c r="H59" s="415"/>
      <c r="I59" s="415"/>
      <c r="J59" s="415"/>
      <c r="K59" s="415"/>
      <c r="L59" s="415"/>
      <c r="M59" s="416"/>
      <c r="N59" s="239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242"/>
      <c r="D60" s="242"/>
      <c r="E60" s="242"/>
      <c r="F60" s="423"/>
      <c r="G60" s="423"/>
      <c r="H60" s="423"/>
      <c r="I60" s="423"/>
      <c r="J60" s="423"/>
      <c r="K60" s="423"/>
      <c r="L60" s="423"/>
      <c r="M60" s="424"/>
      <c r="N60" s="241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612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238" t="s">
        <v>2</v>
      </c>
      <c r="D62" s="238" t="s">
        <v>38</v>
      </c>
      <c r="E62" s="238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238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62</v>
      </c>
      <c r="D63" s="234"/>
      <c r="E63" s="236" t="s">
        <v>58</v>
      </c>
      <c r="F63" s="434" t="s">
        <v>613</v>
      </c>
      <c r="G63" s="434"/>
      <c r="H63" s="434"/>
      <c r="I63" s="434"/>
      <c r="J63" s="434"/>
      <c r="K63" s="435" t="s">
        <v>614</v>
      </c>
      <c r="L63" s="436"/>
      <c r="M63" s="54" t="s">
        <v>615</v>
      </c>
      <c r="N63" s="434">
        <v>5</v>
      </c>
      <c r="O63" s="434"/>
      <c r="P63" s="437">
        <v>5</v>
      </c>
      <c r="Q63" s="437"/>
      <c r="R63" s="415" t="s">
        <v>616</v>
      </c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62</v>
      </c>
      <c r="D64" s="234"/>
      <c r="E64" s="236" t="s">
        <v>617</v>
      </c>
      <c r="F64" s="434" t="s">
        <v>618</v>
      </c>
      <c r="G64" s="434"/>
      <c r="H64" s="434"/>
      <c r="I64" s="434"/>
      <c r="J64" s="434"/>
      <c r="K64" s="434" t="s">
        <v>619</v>
      </c>
      <c r="L64" s="434"/>
      <c r="M64" s="54" t="s">
        <v>620</v>
      </c>
      <c r="N64" s="434">
        <v>6</v>
      </c>
      <c r="O64" s="434"/>
      <c r="P64" s="437">
        <v>200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/>
      <c r="D65" s="234"/>
      <c r="E65" s="236"/>
      <c r="F65" s="434"/>
      <c r="G65" s="434"/>
      <c r="H65" s="434"/>
      <c r="I65" s="434"/>
      <c r="J65" s="434"/>
      <c r="K65" s="434"/>
      <c r="L65" s="434"/>
      <c r="M65" s="54"/>
      <c r="N65" s="434"/>
      <c r="O65" s="434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/>
      <c r="D66" s="234"/>
      <c r="E66" s="236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234"/>
      <c r="E67" s="236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234"/>
      <c r="E68" s="236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234"/>
      <c r="E69" s="236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234"/>
      <c r="E70" s="236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621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237" t="s">
        <v>2</v>
      </c>
      <c r="D72" s="237" t="s">
        <v>38</v>
      </c>
      <c r="E72" s="237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235" t="s">
        <v>62</v>
      </c>
      <c r="D73" s="235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234" t="s">
        <v>135</v>
      </c>
      <c r="D74" s="234"/>
      <c r="E74" s="35" t="s">
        <v>121</v>
      </c>
      <c r="F74" s="447" t="s">
        <v>289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234" t="s">
        <v>62</v>
      </c>
      <c r="D75" s="234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234" t="s">
        <v>62</v>
      </c>
      <c r="D76" s="234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234" t="s">
        <v>62</v>
      </c>
      <c r="D77" s="234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234" t="s">
        <v>135</v>
      </c>
      <c r="D78" s="234"/>
      <c r="E78" s="35" t="s">
        <v>160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234"/>
      <c r="D79" s="234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234"/>
      <c r="D80" s="234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234"/>
      <c r="D81" s="234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622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0" zoomScale="75" zoomScaleNormal="75" zoomScaleSheetLayoutView="70" workbookViewId="0">
      <selection activeCell="C63" sqref="C63:Q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623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583</v>
      </c>
      <c r="E6" s="56" t="s">
        <v>624</v>
      </c>
      <c r="F6" s="12" t="s">
        <v>625</v>
      </c>
      <c r="G6" s="36">
        <v>1</v>
      </c>
      <c r="H6" s="38">
        <v>25</v>
      </c>
      <c r="I6" s="7">
        <v>40000</v>
      </c>
      <c r="J6" s="14">
        <v>3460</v>
      </c>
      <c r="K6" s="15">
        <f>L6</f>
        <v>3451</v>
      </c>
      <c r="L6" s="15">
        <f>400+3051</f>
        <v>3451</v>
      </c>
      <c r="M6" s="16">
        <f t="shared" ref="M6:M20" si="0">L6-N6</f>
        <v>3451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16</v>
      </c>
      <c r="Q6" s="43">
        <f t="shared" ref="Q6:Q20" si="3">SUM(R6:AA6)</f>
        <v>8</v>
      </c>
      <c r="R6" s="7"/>
      <c r="S6" s="6">
        <v>8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0.99739884393063583</v>
      </c>
      <c r="AC6" s="9">
        <f t="shared" ref="AC6:AC20" si="5">IF(P6=0,"0",(P6/24))</f>
        <v>0.66666666666666663</v>
      </c>
      <c r="AD6" s="10">
        <f t="shared" ref="AD6:AD20" si="6">AC6*AB6*(1-O6)</f>
        <v>0.66493256262042388</v>
      </c>
      <c r="AE6" s="39">
        <f t="shared" ref="AE6:AE20" si="7">$AD$21</f>
        <v>0.62723810351140652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431</v>
      </c>
      <c r="D7" s="55" t="s">
        <v>432</v>
      </c>
      <c r="E7" s="57" t="s">
        <v>433</v>
      </c>
      <c r="F7" s="33" t="s">
        <v>434</v>
      </c>
      <c r="G7" s="36">
        <v>4</v>
      </c>
      <c r="H7" s="38">
        <v>20</v>
      </c>
      <c r="I7" s="7">
        <v>100000</v>
      </c>
      <c r="J7" s="5">
        <v>19640</v>
      </c>
      <c r="K7" s="15">
        <f>L7+10008+20936+21036+19012+21288</f>
        <v>111916</v>
      </c>
      <c r="L7" s="15">
        <f>2531*4+2378*4</f>
        <v>19636</v>
      </c>
      <c r="M7" s="16">
        <f t="shared" si="0"/>
        <v>19636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>
        <v>2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0.99979633401222001</v>
      </c>
      <c r="AC7" s="9">
        <f t="shared" si="5"/>
        <v>0.91666666666666663</v>
      </c>
      <c r="AD7" s="10">
        <f t="shared" si="6"/>
        <v>0.91647997284453497</v>
      </c>
      <c r="AE7" s="39">
        <f t="shared" si="7"/>
        <v>0.62723810351140652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626</v>
      </c>
      <c r="D8" s="55" t="s">
        <v>627</v>
      </c>
      <c r="E8" s="57" t="s">
        <v>628</v>
      </c>
      <c r="F8" s="33" t="s">
        <v>629</v>
      </c>
      <c r="G8" s="36">
        <v>1</v>
      </c>
      <c r="H8" s="38">
        <v>35</v>
      </c>
      <c r="I8" s="7">
        <v>1000</v>
      </c>
      <c r="J8" s="14">
        <v>930</v>
      </c>
      <c r="K8" s="15">
        <f>L8</f>
        <v>929</v>
      </c>
      <c r="L8" s="15">
        <f>514+415</f>
        <v>929</v>
      </c>
      <c r="M8" s="16">
        <f t="shared" si="0"/>
        <v>929</v>
      </c>
      <c r="N8" s="16">
        <v>0</v>
      </c>
      <c r="O8" s="62">
        <f t="shared" si="1"/>
        <v>0</v>
      </c>
      <c r="P8" s="42">
        <f t="shared" si="2"/>
        <v>11</v>
      </c>
      <c r="Q8" s="43">
        <f t="shared" si="3"/>
        <v>13</v>
      </c>
      <c r="R8" s="7"/>
      <c r="S8" s="6"/>
      <c r="T8" s="17"/>
      <c r="U8" s="17"/>
      <c r="V8" s="18">
        <v>13</v>
      </c>
      <c r="W8" s="19"/>
      <c r="X8" s="17"/>
      <c r="Y8" s="20"/>
      <c r="Z8" s="20"/>
      <c r="AA8" s="21"/>
      <c r="AB8" s="8">
        <f t="shared" si="4"/>
        <v>0.99892473118279568</v>
      </c>
      <c r="AC8" s="9">
        <f t="shared" si="5"/>
        <v>0.45833333333333331</v>
      </c>
      <c r="AD8" s="10">
        <f t="shared" si="6"/>
        <v>0.45784050179211466</v>
      </c>
      <c r="AE8" s="39">
        <f t="shared" si="7"/>
        <v>0.62723810351140652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121</v>
      </c>
      <c r="E9" s="57" t="s">
        <v>274</v>
      </c>
      <c r="F9" s="12" t="s">
        <v>233</v>
      </c>
      <c r="G9" s="12">
        <v>1</v>
      </c>
      <c r="H9" s="13">
        <v>25</v>
      </c>
      <c r="I9" s="34">
        <v>20000</v>
      </c>
      <c r="J9" s="5">
        <v>5410</v>
      </c>
      <c r="K9" s="15">
        <f>L9+4139+5396+5924+3610+4752</f>
        <v>29227</v>
      </c>
      <c r="L9" s="15">
        <f>2466+2785+155</f>
        <v>5406</v>
      </c>
      <c r="M9" s="16">
        <f t="shared" si="0"/>
        <v>5406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0.9992606284658041</v>
      </c>
      <c r="AC9" s="9">
        <f t="shared" si="5"/>
        <v>1</v>
      </c>
      <c r="AD9" s="10">
        <f t="shared" si="6"/>
        <v>0.9992606284658041</v>
      </c>
      <c r="AE9" s="39">
        <f t="shared" si="7"/>
        <v>0.62723810351140652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135</v>
      </c>
      <c r="D10" s="55" t="s">
        <v>585</v>
      </c>
      <c r="E10" s="57" t="s">
        <v>586</v>
      </c>
      <c r="F10" s="12" t="s">
        <v>587</v>
      </c>
      <c r="G10" s="12">
        <v>32</v>
      </c>
      <c r="H10" s="13">
        <v>25</v>
      </c>
      <c r="I10" s="34">
        <f>30000*4</f>
        <v>120000</v>
      </c>
      <c r="J10" s="5">
        <v>138000</v>
      </c>
      <c r="K10" s="15">
        <f>L10+135744</f>
        <v>273696</v>
      </c>
      <c r="L10" s="15">
        <f>3229*32+1082*32</f>
        <v>137952</v>
      </c>
      <c r="M10" s="16">
        <f t="shared" si="0"/>
        <v>137952</v>
      </c>
      <c r="N10" s="16">
        <v>0</v>
      </c>
      <c r="O10" s="62">
        <f t="shared" si="1"/>
        <v>0</v>
      </c>
      <c r="P10" s="42">
        <f t="shared" si="2"/>
        <v>18</v>
      </c>
      <c r="Q10" s="43">
        <f t="shared" si="3"/>
        <v>6</v>
      </c>
      <c r="R10" s="7"/>
      <c r="S10" s="6"/>
      <c r="T10" s="17"/>
      <c r="U10" s="17"/>
      <c r="V10" s="18"/>
      <c r="W10" s="19">
        <v>6</v>
      </c>
      <c r="X10" s="17"/>
      <c r="Y10" s="20"/>
      <c r="Z10" s="20"/>
      <c r="AA10" s="21"/>
      <c r="AB10" s="8">
        <f t="shared" si="4"/>
        <v>0.99965217391304351</v>
      </c>
      <c r="AC10" s="9">
        <f t="shared" si="5"/>
        <v>0.75</v>
      </c>
      <c r="AD10" s="10">
        <f t="shared" si="6"/>
        <v>0.74973913043478269</v>
      </c>
      <c r="AE10" s="39">
        <f t="shared" si="7"/>
        <v>0.62723810351140652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361</v>
      </c>
      <c r="E11" s="56" t="s">
        <v>386</v>
      </c>
      <c r="F11" s="12" t="s">
        <v>367</v>
      </c>
      <c r="G11" s="12">
        <v>1</v>
      </c>
      <c r="H11" s="13">
        <v>25</v>
      </c>
      <c r="I11" s="34">
        <v>5000</v>
      </c>
      <c r="J11" s="14">
        <v>4840</v>
      </c>
      <c r="K11" s="15">
        <f>L11+4062+5380+4839</f>
        <v>14281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0.62723810351140652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58</v>
      </c>
      <c r="E12" s="57" t="s">
        <v>452</v>
      </c>
      <c r="F12" s="12" t="s">
        <v>136</v>
      </c>
      <c r="G12" s="12">
        <v>1</v>
      </c>
      <c r="H12" s="13">
        <v>25</v>
      </c>
      <c r="I12" s="34">
        <v>22000</v>
      </c>
      <c r="J12" s="5">
        <v>3680</v>
      </c>
      <c r="K12" s="15">
        <f>L12+4213+4937+4314+5106</f>
        <v>22245</v>
      </c>
      <c r="L12" s="15">
        <f>2309+1366</f>
        <v>3675</v>
      </c>
      <c r="M12" s="16">
        <f t="shared" si="0"/>
        <v>3675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0.99864130434782605</v>
      </c>
      <c r="AC12" s="9">
        <f t="shared" si="5"/>
        <v>0.75</v>
      </c>
      <c r="AD12" s="10">
        <f t="shared" si="6"/>
        <v>0.74898097826086951</v>
      </c>
      <c r="AE12" s="39">
        <f t="shared" si="7"/>
        <v>0.62723810351140652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135</v>
      </c>
      <c r="D13" s="55" t="s">
        <v>123</v>
      </c>
      <c r="E13" s="57" t="s">
        <v>271</v>
      </c>
      <c r="F13" s="12" t="s">
        <v>229</v>
      </c>
      <c r="G13" s="12">
        <v>1</v>
      </c>
      <c r="H13" s="13">
        <v>25</v>
      </c>
      <c r="I13" s="7">
        <v>20000</v>
      </c>
      <c r="J13" s="14">
        <v>5670</v>
      </c>
      <c r="K13" s="15">
        <f>L13+5345+4894+5691</f>
        <v>21600</v>
      </c>
      <c r="L13" s="15">
        <f>2715+2955</f>
        <v>5670</v>
      </c>
      <c r="M13" s="16">
        <f t="shared" si="0"/>
        <v>5670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0.62723810351140652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135</v>
      </c>
      <c r="D14" s="55" t="s">
        <v>267</v>
      </c>
      <c r="E14" s="57" t="s">
        <v>630</v>
      </c>
      <c r="F14" s="33" t="s">
        <v>158</v>
      </c>
      <c r="G14" s="36">
        <v>1</v>
      </c>
      <c r="H14" s="38">
        <v>25</v>
      </c>
      <c r="I14" s="7">
        <v>40000</v>
      </c>
      <c r="J14" s="5">
        <v>3990</v>
      </c>
      <c r="K14" s="15">
        <f>L14</f>
        <v>3986</v>
      </c>
      <c r="L14" s="15">
        <f>1643+2343</f>
        <v>3986</v>
      </c>
      <c r="M14" s="16">
        <f t="shared" si="0"/>
        <v>3986</v>
      </c>
      <c r="N14" s="16">
        <v>0</v>
      </c>
      <c r="O14" s="62">
        <f t="shared" si="1"/>
        <v>0</v>
      </c>
      <c r="P14" s="42">
        <f t="shared" si="2"/>
        <v>23</v>
      </c>
      <c r="Q14" s="43">
        <f t="shared" si="3"/>
        <v>1</v>
      </c>
      <c r="R14" s="7"/>
      <c r="S14" s="6"/>
      <c r="T14" s="17">
        <v>1</v>
      </c>
      <c r="U14" s="17"/>
      <c r="V14" s="18"/>
      <c r="W14" s="19"/>
      <c r="X14" s="17"/>
      <c r="Y14" s="20"/>
      <c r="Z14" s="20"/>
      <c r="AA14" s="21"/>
      <c r="AB14" s="8">
        <f t="shared" si="4"/>
        <v>0.99899749373433588</v>
      </c>
      <c r="AC14" s="9">
        <f t="shared" si="5"/>
        <v>0.95833333333333337</v>
      </c>
      <c r="AD14" s="10">
        <f t="shared" si="6"/>
        <v>0.95737259816207188</v>
      </c>
      <c r="AE14" s="39">
        <f t="shared" si="7"/>
        <v>0.62723810351140652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0.62723810351140652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509</v>
      </c>
      <c r="E16" s="56" t="s">
        <v>588</v>
      </c>
      <c r="F16" s="12">
        <v>7301</v>
      </c>
      <c r="G16" s="36">
        <v>1</v>
      </c>
      <c r="H16" s="38">
        <v>25</v>
      </c>
      <c r="I16" s="7">
        <v>40000</v>
      </c>
      <c r="J16" s="14">
        <v>5420</v>
      </c>
      <c r="K16" s="15">
        <f>L16+2811</f>
        <v>8223</v>
      </c>
      <c r="L16" s="15">
        <f>2577+2835</f>
        <v>5412</v>
      </c>
      <c r="M16" s="16">
        <f t="shared" si="0"/>
        <v>5412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0.99852398523985242</v>
      </c>
      <c r="AC16" s="9">
        <f t="shared" si="5"/>
        <v>1</v>
      </c>
      <c r="AD16" s="10">
        <f t="shared" si="6"/>
        <v>0.99852398523985242</v>
      </c>
      <c r="AE16" s="39">
        <f t="shared" si="7"/>
        <v>0.62723810351140652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467</v>
      </c>
      <c r="E17" s="56" t="s">
        <v>468</v>
      </c>
      <c r="F17" s="12">
        <v>8301</v>
      </c>
      <c r="G17" s="12">
        <v>1</v>
      </c>
      <c r="H17" s="13">
        <v>25</v>
      </c>
      <c r="I17" s="34">
        <v>2500</v>
      </c>
      <c r="J17" s="5">
        <v>1210</v>
      </c>
      <c r="K17" s="15">
        <f>L17+2929+1210</f>
        <v>4139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0.62723810351140652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276</v>
      </c>
      <c r="E18" s="56" t="s">
        <v>631</v>
      </c>
      <c r="F18" s="33" t="s">
        <v>229</v>
      </c>
      <c r="G18" s="36">
        <v>1</v>
      </c>
      <c r="H18" s="38">
        <v>25</v>
      </c>
      <c r="I18" s="7">
        <v>300</v>
      </c>
      <c r="J18" s="5">
        <v>350</v>
      </c>
      <c r="K18" s="15">
        <f>L18</f>
        <v>350</v>
      </c>
      <c r="L18" s="15">
        <v>350</v>
      </c>
      <c r="M18" s="16">
        <f t="shared" si="0"/>
        <v>350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/>
      <c r="T18" s="17"/>
      <c r="U18" s="17"/>
      <c r="V18" s="18"/>
      <c r="W18" s="19">
        <v>20</v>
      </c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7"/>
        <v>0.62723810351140652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589</v>
      </c>
      <c r="E19" s="57" t="s">
        <v>590</v>
      </c>
      <c r="F19" s="33" t="s">
        <v>591</v>
      </c>
      <c r="G19" s="36">
        <v>1</v>
      </c>
      <c r="H19" s="38">
        <v>25</v>
      </c>
      <c r="I19" s="34">
        <v>40000</v>
      </c>
      <c r="J19" s="5">
        <v>3810</v>
      </c>
      <c r="K19" s="15">
        <f>L19+2028</f>
        <v>5835</v>
      </c>
      <c r="L19" s="15">
        <f>2457+1350</f>
        <v>3807</v>
      </c>
      <c r="M19" s="16">
        <f t="shared" si="0"/>
        <v>3807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0.99921259842519683</v>
      </c>
      <c r="AC19" s="9">
        <f t="shared" si="5"/>
        <v>0.75</v>
      </c>
      <c r="AD19" s="10">
        <f t="shared" si="6"/>
        <v>0.74940944881889759</v>
      </c>
      <c r="AE19" s="39">
        <f t="shared" si="7"/>
        <v>0.62723810351140652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552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50400</v>
      </c>
      <c r="K20" s="15">
        <f>L20+25396+50900</f>
        <v>126664</v>
      </c>
      <c r="L20" s="15">
        <f>5982*4+6610*4</f>
        <v>50368</v>
      </c>
      <c r="M20" s="16">
        <f t="shared" si="0"/>
        <v>50368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0.99936507936507935</v>
      </c>
      <c r="AC20" s="9">
        <f t="shared" si="5"/>
        <v>1</v>
      </c>
      <c r="AD20" s="10">
        <f t="shared" si="6"/>
        <v>0.99936507936507935</v>
      </c>
      <c r="AE20" s="39">
        <f t="shared" si="7"/>
        <v>0.62723810351140652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710800</v>
      </c>
      <c r="J21" s="22">
        <f t="shared" si="9"/>
        <v>271880</v>
      </c>
      <c r="K21" s="23">
        <f t="shared" si="9"/>
        <v>696856</v>
      </c>
      <c r="L21" s="24">
        <f t="shared" si="9"/>
        <v>240642</v>
      </c>
      <c r="M21" s="23">
        <f t="shared" si="9"/>
        <v>240642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226</v>
      </c>
      <c r="Q21" s="46">
        <f t="shared" si="10"/>
        <v>134</v>
      </c>
      <c r="R21" s="26">
        <f t="shared" si="10"/>
        <v>0</v>
      </c>
      <c r="S21" s="27">
        <f t="shared" si="10"/>
        <v>22</v>
      </c>
      <c r="T21" s="27">
        <f t="shared" si="10"/>
        <v>1</v>
      </c>
      <c r="U21" s="27">
        <f t="shared" si="10"/>
        <v>0</v>
      </c>
      <c r="V21" s="28">
        <f t="shared" si="10"/>
        <v>13</v>
      </c>
      <c r="W21" s="29">
        <f t="shared" si="10"/>
        <v>98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0.79931821150778604</v>
      </c>
      <c r="AC21" s="4">
        <f>SUM(AC6:AC20)/15</f>
        <v>0.62777777777777777</v>
      </c>
      <c r="AD21" s="4">
        <f>SUM(AD6:AD20)/15</f>
        <v>0.62723810351140652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632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647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247" t="s">
        <v>47</v>
      </c>
      <c r="D50" s="247" t="s">
        <v>48</v>
      </c>
      <c r="E50" s="247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247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633</v>
      </c>
      <c r="B51" s="414"/>
      <c r="C51" s="248" t="s">
        <v>266</v>
      </c>
      <c r="D51" s="249" t="s">
        <v>167</v>
      </c>
      <c r="E51" s="248" t="s">
        <v>624</v>
      </c>
      <c r="F51" s="415" t="s">
        <v>634</v>
      </c>
      <c r="G51" s="415"/>
      <c r="H51" s="415"/>
      <c r="I51" s="415"/>
      <c r="J51" s="415"/>
      <c r="K51" s="415"/>
      <c r="L51" s="415"/>
      <c r="M51" s="416"/>
      <c r="N51" s="250" t="s">
        <v>135</v>
      </c>
      <c r="O51" s="74" t="s">
        <v>451</v>
      </c>
      <c r="P51" s="417" t="s">
        <v>652</v>
      </c>
      <c r="Q51" s="418"/>
      <c r="R51" s="419" t="s">
        <v>653</v>
      </c>
      <c r="S51" s="419"/>
      <c r="T51" s="419"/>
      <c r="U51" s="419"/>
      <c r="V51" s="415" t="s">
        <v>654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135</v>
      </c>
      <c r="B52" s="414"/>
      <c r="C52" s="248" t="s">
        <v>518</v>
      </c>
      <c r="D52" s="249" t="s">
        <v>585</v>
      </c>
      <c r="E52" s="248" t="s">
        <v>635</v>
      </c>
      <c r="F52" s="415" t="s">
        <v>636</v>
      </c>
      <c r="G52" s="415"/>
      <c r="H52" s="415"/>
      <c r="I52" s="415"/>
      <c r="J52" s="415"/>
      <c r="K52" s="415"/>
      <c r="L52" s="415"/>
      <c r="M52" s="416"/>
      <c r="N52" s="250" t="s">
        <v>135</v>
      </c>
      <c r="O52" s="74" t="s">
        <v>599</v>
      </c>
      <c r="P52" s="417" t="s">
        <v>58</v>
      </c>
      <c r="Q52" s="418"/>
      <c r="R52" s="419" t="s">
        <v>655</v>
      </c>
      <c r="S52" s="419"/>
      <c r="T52" s="419"/>
      <c r="U52" s="419"/>
      <c r="V52" s="415" t="s">
        <v>654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135</v>
      </c>
      <c r="B53" s="414"/>
      <c r="C53" s="248" t="s">
        <v>599</v>
      </c>
      <c r="D53" s="249" t="s">
        <v>600</v>
      </c>
      <c r="E53" s="248" t="s">
        <v>590</v>
      </c>
      <c r="F53" s="415" t="s">
        <v>637</v>
      </c>
      <c r="G53" s="415"/>
      <c r="H53" s="415"/>
      <c r="I53" s="415"/>
      <c r="J53" s="415"/>
      <c r="K53" s="415"/>
      <c r="L53" s="415"/>
      <c r="M53" s="416"/>
      <c r="N53" s="250" t="s">
        <v>135</v>
      </c>
      <c r="O53" s="74" t="s">
        <v>145</v>
      </c>
      <c r="P53" s="419" t="s">
        <v>656</v>
      </c>
      <c r="Q53" s="419"/>
      <c r="R53" s="419" t="s">
        <v>635</v>
      </c>
      <c r="S53" s="419"/>
      <c r="T53" s="419"/>
      <c r="U53" s="419"/>
      <c r="V53" s="415" t="s">
        <v>657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135</v>
      </c>
      <c r="B54" s="414"/>
      <c r="C54" s="248" t="s">
        <v>451</v>
      </c>
      <c r="D54" s="249" t="s">
        <v>600</v>
      </c>
      <c r="E54" s="248" t="s">
        <v>638</v>
      </c>
      <c r="F54" s="415" t="s">
        <v>639</v>
      </c>
      <c r="G54" s="415"/>
      <c r="H54" s="415"/>
      <c r="I54" s="415"/>
      <c r="J54" s="415"/>
      <c r="K54" s="415"/>
      <c r="L54" s="415"/>
      <c r="M54" s="416"/>
      <c r="N54" s="250"/>
      <c r="O54" s="74"/>
      <c r="P54" s="417"/>
      <c r="Q54" s="418"/>
      <c r="R54" s="419"/>
      <c r="S54" s="419"/>
      <c r="T54" s="419"/>
      <c r="U54" s="419"/>
      <c r="V54" s="415"/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640</v>
      </c>
      <c r="B55" s="414"/>
      <c r="C55" s="248" t="s">
        <v>214</v>
      </c>
      <c r="D55" s="249" t="s">
        <v>641</v>
      </c>
      <c r="E55" s="248" t="s">
        <v>642</v>
      </c>
      <c r="F55" s="415" t="s">
        <v>643</v>
      </c>
      <c r="G55" s="415"/>
      <c r="H55" s="415"/>
      <c r="I55" s="415"/>
      <c r="J55" s="415"/>
      <c r="K55" s="415"/>
      <c r="L55" s="415"/>
      <c r="M55" s="416"/>
      <c r="N55" s="250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135</v>
      </c>
      <c r="B56" s="414"/>
      <c r="C56" s="248" t="s">
        <v>201</v>
      </c>
      <c r="D56" s="249" t="s">
        <v>645</v>
      </c>
      <c r="E56" s="248" t="s">
        <v>644</v>
      </c>
      <c r="F56" s="415" t="s">
        <v>646</v>
      </c>
      <c r="G56" s="415"/>
      <c r="H56" s="415"/>
      <c r="I56" s="415"/>
      <c r="J56" s="415"/>
      <c r="K56" s="415"/>
      <c r="L56" s="415"/>
      <c r="M56" s="416"/>
      <c r="N56" s="250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 t="s">
        <v>648</v>
      </c>
      <c r="B57" s="419"/>
      <c r="C57" s="249" t="s">
        <v>649</v>
      </c>
      <c r="D57" s="249" t="s">
        <v>58</v>
      </c>
      <c r="E57" s="248" t="s">
        <v>650</v>
      </c>
      <c r="F57" s="415" t="s">
        <v>651</v>
      </c>
      <c r="G57" s="415"/>
      <c r="H57" s="415"/>
      <c r="I57" s="415"/>
      <c r="J57" s="415"/>
      <c r="K57" s="415"/>
      <c r="L57" s="415"/>
      <c r="M57" s="416"/>
      <c r="N57" s="250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248"/>
      <c r="D58" s="249"/>
      <c r="E58" s="248"/>
      <c r="F58" s="415"/>
      <c r="G58" s="415"/>
      <c r="H58" s="415"/>
      <c r="I58" s="415"/>
      <c r="J58" s="415"/>
      <c r="K58" s="415"/>
      <c r="L58" s="415"/>
      <c r="M58" s="416"/>
      <c r="N58" s="250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249"/>
      <c r="D59" s="249"/>
      <c r="E59" s="249"/>
      <c r="F59" s="415"/>
      <c r="G59" s="415"/>
      <c r="H59" s="415"/>
      <c r="I59" s="415"/>
      <c r="J59" s="415"/>
      <c r="K59" s="415"/>
      <c r="L59" s="415"/>
      <c r="M59" s="416"/>
      <c r="N59" s="250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252"/>
      <c r="D60" s="252"/>
      <c r="E60" s="252"/>
      <c r="F60" s="423"/>
      <c r="G60" s="423"/>
      <c r="H60" s="423"/>
      <c r="I60" s="423"/>
      <c r="J60" s="423"/>
      <c r="K60" s="423"/>
      <c r="L60" s="423"/>
      <c r="M60" s="424"/>
      <c r="N60" s="251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658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253" t="s">
        <v>2</v>
      </c>
      <c r="D62" s="253" t="s">
        <v>38</v>
      </c>
      <c r="E62" s="253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253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659</v>
      </c>
      <c r="D63" s="256"/>
      <c r="E63" s="254" t="s">
        <v>660</v>
      </c>
      <c r="F63" s="434" t="s">
        <v>661</v>
      </c>
      <c r="G63" s="434"/>
      <c r="H63" s="434"/>
      <c r="I63" s="434"/>
      <c r="J63" s="434"/>
      <c r="K63" s="435" t="s">
        <v>662</v>
      </c>
      <c r="L63" s="436"/>
      <c r="M63" s="54" t="s">
        <v>663</v>
      </c>
      <c r="N63" s="434">
        <v>13</v>
      </c>
      <c r="O63" s="434"/>
      <c r="P63" s="437">
        <v>100</v>
      </c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659</v>
      </c>
      <c r="D64" s="256"/>
      <c r="E64" s="254" t="s">
        <v>660</v>
      </c>
      <c r="F64" s="434" t="s">
        <v>664</v>
      </c>
      <c r="G64" s="434"/>
      <c r="H64" s="434"/>
      <c r="I64" s="434"/>
      <c r="J64" s="434"/>
      <c r="K64" s="480" t="s">
        <v>662</v>
      </c>
      <c r="L64" s="481"/>
      <c r="M64" s="54" t="s">
        <v>663</v>
      </c>
      <c r="N64" s="434">
        <v>13</v>
      </c>
      <c r="O64" s="434"/>
      <c r="P64" s="437">
        <v>100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/>
      <c r="D65" s="256"/>
      <c r="E65" s="254"/>
      <c r="F65" s="434"/>
      <c r="G65" s="434"/>
      <c r="H65" s="434"/>
      <c r="I65" s="434"/>
      <c r="J65" s="434"/>
      <c r="K65" s="434"/>
      <c r="L65" s="434"/>
      <c r="M65" s="54"/>
      <c r="N65" s="434"/>
      <c r="O65" s="434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/>
      <c r="D66" s="256"/>
      <c r="E66" s="254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256"/>
      <c r="E67" s="254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256"/>
      <c r="E68" s="254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256"/>
      <c r="E69" s="254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256"/>
      <c r="E70" s="254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665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255" t="s">
        <v>2</v>
      </c>
      <c r="D72" s="255" t="s">
        <v>38</v>
      </c>
      <c r="E72" s="255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257" t="s">
        <v>62</v>
      </c>
      <c r="D73" s="257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256" t="s">
        <v>135</v>
      </c>
      <c r="D74" s="256"/>
      <c r="E74" s="35" t="s">
        <v>121</v>
      </c>
      <c r="F74" s="447" t="s">
        <v>274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256" t="s">
        <v>62</v>
      </c>
      <c r="D75" s="256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256" t="s">
        <v>62</v>
      </c>
      <c r="D76" s="256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256" t="s">
        <v>62</v>
      </c>
      <c r="D77" s="256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256" t="s">
        <v>135</v>
      </c>
      <c r="D78" s="256"/>
      <c r="E78" s="35" t="s">
        <v>121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256"/>
      <c r="D79" s="256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256"/>
      <c r="D80" s="256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256"/>
      <c r="D81" s="256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666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5" zoomScaleNormal="75" zoomScaleSheetLayoutView="70" workbookViewId="0">
      <selection activeCell="A14" sqref="A14:XFD1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667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624</v>
      </c>
      <c r="F6" s="12" t="s">
        <v>625</v>
      </c>
      <c r="G6" s="36">
        <v>1</v>
      </c>
      <c r="H6" s="38">
        <v>25</v>
      </c>
      <c r="I6" s="7">
        <v>60000</v>
      </c>
      <c r="J6" s="14">
        <v>4950</v>
      </c>
      <c r="K6" s="15">
        <f>L6+3451</f>
        <v>8396</v>
      </c>
      <c r="L6" s="15">
        <f>2580+2365</f>
        <v>4945</v>
      </c>
      <c r="M6" s="16">
        <f t="shared" ref="M6:M20" si="0">L6-N6</f>
        <v>4945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0.99898989898989898</v>
      </c>
      <c r="AC6" s="9">
        <f t="shared" ref="AC6:AC20" si="5">IF(P6=0,"0",(P6/24))</f>
        <v>1</v>
      </c>
      <c r="AD6" s="10">
        <f t="shared" ref="AD6:AD20" si="6">AC6*AB6*(1-O6)</f>
        <v>0.99898989898989898</v>
      </c>
      <c r="AE6" s="39">
        <f t="shared" ref="AE6:AE20" si="7">$AD$21</f>
        <v>0.48301366323129713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431</v>
      </c>
      <c r="D7" s="55" t="s">
        <v>432</v>
      </c>
      <c r="E7" s="57" t="s">
        <v>433</v>
      </c>
      <c r="F7" s="33" t="s">
        <v>434</v>
      </c>
      <c r="G7" s="36">
        <v>4</v>
      </c>
      <c r="H7" s="38">
        <v>20</v>
      </c>
      <c r="I7" s="7">
        <v>100000</v>
      </c>
      <c r="J7" s="5">
        <v>14520</v>
      </c>
      <c r="K7" s="15">
        <f>L7+10008+20936+21036+19012+21288+19636</f>
        <v>126432</v>
      </c>
      <c r="L7" s="15">
        <f>1153*4+2476*4</f>
        <v>14516</v>
      </c>
      <c r="M7" s="16">
        <f t="shared" si="0"/>
        <v>14516</v>
      </c>
      <c r="N7" s="16">
        <v>0</v>
      </c>
      <c r="O7" s="62">
        <f t="shared" si="1"/>
        <v>0</v>
      </c>
      <c r="P7" s="42">
        <f t="shared" si="2"/>
        <v>21</v>
      </c>
      <c r="Q7" s="43">
        <f t="shared" si="3"/>
        <v>3</v>
      </c>
      <c r="R7" s="7"/>
      <c r="S7" s="6">
        <v>3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0.9997245179063361</v>
      </c>
      <c r="AC7" s="9">
        <f t="shared" si="5"/>
        <v>0.875</v>
      </c>
      <c r="AD7" s="10">
        <f t="shared" si="6"/>
        <v>0.87475895316804408</v>
      </c>
      <c r="AE7" s="39">
        <f t="shared" si="7"/>
        <v>0.48301366323129713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626</v>
      </c>
      <c r="D8" s="55" t="s">
        <v>627</v>
      </c>
      <c r="E8" s="57" t="s">
        <v>628</v>
      </c>
      <c r="F8" s="33" t="s">
        <v>629</v>
      </c>
      <c r="G8" s="36">
        <v>1</v>
      </c>
      <c r="H8" s="38">
        <v>35</v>
      </c>
      <c r="I8" s="7">
        <v>1000</v>
      </c>
      <c r="J8" s="14">
        <v>930</v>
      </c>
      <c r="K8" s="15">
        <f>L8+929</f>
        <v>929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0.48301366323129713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121</v>
      </c>
      <c r="E9" s="57" t="s">
        <v>274</v>
      </c>
      <c r="F9" s="12" t="s">
        <v>233</v>
      </c>
      <c r="G9" s="12">
        <v>1</v>
      </c>
      <c r="H9" s="13">
        <v>25</v>
      </c>
      <c r="I9" s="34">
        <v>20000</v>
      </c>
      <c r="J9" s="5">
        <v>5410</v>
      </c>
      <c r="K9" s="15">
        <f>L9+4139+5396+5924+3610+4752+5406</f>
        <v>29227</v>
      </c>
      <c r="L9" s="15">
        <v>0</v>
      </c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0.48301366323129713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135</v>
      </c>
      <c r="D10" s="55" t="s">
        <v>585</v>
      </c>
      <c r="E10" s="57" t="s">
        <v>668</v>
      </c>
      <c r="F10" s="12" t="s">
        <v>669</v>
      </c>
      <c r="G10" s="12">
        <v>32</v>
      </c>
      <c r="H10" s="13">
        <v>25</v>
      </c>
      <c r="I10" s="34">
        <v>200000</v>
      </c>
      <c r="J10" s="5">
        <v>167460</v>
      </c>
      <c r="K10" s="15">
        <f>L10</f>
        <v>167456</v>
      </c>
      <c r="L10" s="15">
        <f>3059*32+2174*32</f>
        <v>167456</v>
      </c>
      <c r="M10" s="16">
        <f t="shared" si="0"/>
        <v>167456</v>
      </c>
      <c r="N10" s="16">
        <v>0</v>
      </c>
      <c r="O10" s="62">
        <f t="shared" si="1"/>
        <v>0</v>
      </c>
      <c r="P10" s="42">
        <f t="shared" si="2"/>
        <v>23</v>
      </c>
      <c r="Q10" s="43">
        <f t="shared" si="3"/>
        <v>1</v>
      </c>
      <c r="R10" s="7"/>
      <c r="S10" s="6"/>
      <c r="T10" s="17">
        <v>1</v>
      </c>
      <c r="U10" s="17"/>
      <c r="V10" s="18"/>
      <c r="W10" s="19"/>
      <c r="X10" s="17"/>
      <c r="Y10" s="20"/>
      <c r="Z10" s="20"/>
      <c r="AA10" s="21"/>
      <c r="AB10" s="8">
        <f t="shared" si="4"/>
        <v>0.99997611369879369</v>
      </c>
      <c r="AC10" s="9">
        <f t="shared" si="5"/>
        <v>0.95833333333333337</v>
      </c>
      <c r="AD10" s="10">
        <f t="shared" si="6"/>
        <v>0.95831044229467732</v>
      </c>
      <c r="AE10" s="39">
        <f t="shared" si="7"/>
        <v>0.48301366323129713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361</v>
      </c>
      <c r="E11" s="56" t="s">
        <v>386</v>
      </c>
      <c r="F11" s="12" t="s">
        <v>367</v>
      </c>
      <c r="G11" s="12">
        <v>1</v>
      </c>
      <c r="H11" s="13">
        <v>25</v>
      </c>
      <c r="I11" s="34">
        <v>5000</v>
      </c>
      <c r="J11" s="14">
        <v>4840</v>
      </c>
      <c r="K11" s="15">
        <f>L11+4062+5380+4839</f>
        <v>14281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0.48301366323129713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58</v>
      </c>
      <c r="E12" s="57" t="s">
        <v>452</v>
      </c>
      <c r="F12" s="12" t="s">
        <v>136</v>
      </c>
      <c r="G12" s="12">
        <v>1</v>
      </c>
      <c r="H12" s="13">
        <v>25</v>
      </c>
      <c r="I12" s="34">
        <v>22000</v>
      </c>
      <c r="J12" s="5">
        <v>2730</v>
      </c>
      <c r="K12" s="15">
        <f>L12+4213+4937+4314+5106+3675</f>
        <v>24974</v>
      </c>
      <c r="L12" s="15">
        <f>2287+442</f>
        <v>2729</v>
      </c>
      <c r="M12" s="16">
        <f t="shared" si="0"/>
        <v>2729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>
        <v>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0.99963369963369964</v>
      </c>
      <c r="AC12" s="9">
        <f t="shared" si="5"/>
        <v>0.66666666666666663</v>
      </c>
      <c r="AD12" s="10">
        <f t="shared" si="6"/>
        <v>0.66642246642246639</v>
      </c>
      <c r="AE12" s="39">
        <f t="shared" si="7"/>
        <v>0.48301366323129713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135</v>
      </c>
      <c r="D13" s="55" t="s">
        <v>123</v>
      </c>
      <c r="E13" s="57" t="s">
        <v>271</v>
      </c>
      <c r="F13" s="12" t="s">
        <v>229</v>
      </c>
      <c r="G13" s="12">
        <v>1</v>
      </c>
      <c r="H13" s="13">
        <v>25</v>
      </c>
      <c r="I13" s="7">
        <v>20000</v>
      </c>
      <c r="J13" s="14">
        <v>5670</v>
      </c>
      <c r="K13" s="15">
        <f>L13+5345+4894+5691+5670</f>
        <v>21600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0.48301366323129713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135</v>
      </c>
      <c r="D14" s="55" t="s">
        <v>267</v>
      </c>
      <c r="E14" s="57" t="s">
        <v>630</v>
      </c>
      <c r="F14" s="33" t="s">
        <v>158</v>
      </c>
      <c r="G14" s="36">
        <v>1</v>
      </c>
      <c r="H14" s="38">
        <v>25</v>
      </c>
      <c r="I14" s="7">
        <v>60000</v>
      </c>
      <c r="J14" s="5">
        <v>4500</v>
      </c>
      <c r="K14" s="15">
        <f>L14+3986</f>
        <v>8479</v>
      </c>
      <c r="L14" s="15">
        <f>2365+2128</f>
        <v>4493</v>
      </c>
      <c r="M14" s="16">
        <f t="shared" si="0"/>
        <v>4493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0.99844444444444447</v>
      </c>
      <c r="AC14" s="9">
        <f t="shared" si="5"/>
        <v>1</v>
      </c>
      <c r="AD14" s="10">
        <f t="shared" si="6"/>
        <v>0.99844444444444447</v>
      </c>
      <c r="AE14" s="39">
        <f t="shared" si="7"/>
        <v>0.48301366323129713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0.48301366323129713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509</v>
      </c>
      <c r="E16" s="56" t="s">
        <v>588</v>
      </c>
      <c r="F16" s="12">
        <v>7301</v>
      </c>
      <c r="G16" s="36">
        <v>1</v>
      </c>
      <c r="H16" s="38">
        <v>25</v>
      </c>
      <c r="I16" s="7">
        <v>60000</v>
      </c>
      <c r="J16" s="14">
        <v>5390</v>
      </c>
      <c r="K16" s="15">
        <f>L16+2811+5412</f>
        <v>13607</v>
      </c>
      <c r="L16" s="15">
        <f>2826+2558</f>
        <v>5384</v>
      </c>
      <c r="M16" s="16">
        <f t="shared" si="0"/>
        <v>5384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0.99888682745825608</v>
      </c>
      <c r="AC16" s="9">
        <f t="shared" si="5"/>
        <v>1</v>
      </c>
      <c r="AD16" s="10">
        <f t="shared" si="6"/>
        <v>0.99888682745825608</v>
      </c>
      <c r="AE16" s="39">
        <f t="shared" si="7"/>
        <v>0.48301366323129713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467</v>
      </c>
      <c r="E17" s="56" t="s">
        <v>468</v>
      </c>
      <c r="F17" s="12">
        <v>8301</v>
      </c>
      <c r="G17" s="12">
        <v>1</v>
      </c>
      <c r="H17" s="13">
        <v>25</v>
      </c>
      <c r="I17" s="34">
        <v>2500</v>
      </c>
      <c r="J17" s="5">
        <v>1210</v>
      </c>
      <c r="K17" s="15">
        <f>L17+2929+1210</f>
        <v>4139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0.48301366323129713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276</v>
      </c>
      <c r="E18" s="56" t="s">
        <v>631</v>
      </c>
      <c r="F18" s="33" t="s">
        <v>229</v>
      </c>
      <c r="G18" s="36">
        <v>1</v>
      </c>
      <c r="H18" s="38">
        <v>25</v>
      </c>
      <c r="I18" s="7">
        <v>300</v>
      </c>
      <c r="J18" s="5">
        <v>350</v>
      </c>
      <c r="K18" s="15">
        <f>L18+350</f>
        <v>350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0.48301366323129713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</v>
      </c>
      <c r="E19" s="57" t="s">
        <v>590</v>
      </c>
      <c r="F19" s="33" t="s">
        <v>591</v>
      </c>
      <c r="G19" s="36">
        <v>1</v>
      </c>
      <c r="H19" s="38">
        <v>25</v>
      </c>
      <c r="I19" s="34">
        <v>60000</v>
      </c>
      <c r="J19" s="5">
        <v>3340</v>
      </c>
      <c r="K19" s="15">
        <f>L19+2028+3807</f>
        <v>9173</v>
      </c>
      <c r="L19" s="15">
        <f>2321+1017</f>
        <v>3338</v>
      </c>
      <c r="M19" s="16">
        <f t="shared" si="0"/>
        <v>3338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0.9994011976047904</v>
      </c>
      <c r="AC19" s="9">
        <f t="shared" si="5"/>
        <v>0.75</v>
      </c>
      <c r="AD19" s="10">
        <f t="shared" si="6"/>
        <v>0.74955089820359277</v>
      </c>
      <c r="AE19" s="39">
        <f t="shared" si="7"/>
        <v>0.48301366323129713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552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50320</v>
      </c>
      <c r="K20" s="15">
        <f>L20+25396+50900+50368</f>
        <v>176976</v>
      </c>
      <c r="L20" s="15">
        <f>6587*4+5991*4</f>
        <v>50312</v>
      </c>
      <c r="M20" s="16">
        <f t="shared" si="0"/>
        <v>50312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0.9998410174880763</v>
      </c>
      <c r="AC20" s="9">
        <f t="shared" si="5"/>
        <v>1</v>
      </c>
      <c r="AD20" s="10">
        <f t="shared" si="6"/>
        <v>0.9998410174880763</v>
      </c>
      <c r="AE20" s="39">
        <f t="shared" si="7"/>
        <v>0.48301366323129713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870800</v>
      </c>
      <c r="J21" s="22">
        <f t="shared" si="9"/>
        <v>296690</v>
      </c>
      <c r="K21" s="23">
        <f t="shared" si="9"/>
        <v>676333</v>
      </c>
      <c r="L21" s="24">
        <f t="shared" si="9"/>
        <v>253173</v>
      </c>
      <c r="M21" s="23">
        <f t="shared" si="9"/>
        <v>253173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174</v>
      </c>
      <c r="Q21" s="46">
        <f t="shared" si="10"/>
        <v>186</v>
      </c>
      <c r="R21" s="26">
        <f t="shared" si="10"/>
        <v>0</v>
      </c>
      <c r="S21" s="27">
        <f t="shared" si="10"/>
        <v>17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0.53299318114828642</v>
      </c>
      <c r="AC21" s="4">
        <f>SUM(AC6:AC20)/15</f>
        <v>0.48333333333333334</v>
      </c>
      <c r="AD21" s="4">
        <f>SUM(AD6:AD20)/15</f>
        <v>0.48301366323129713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670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674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268" t="s">
        <v>47</v>
      </c>
      <c r="D50" s="268" t="s">
        <v>48</v>
      </c>
      <c r="E50" s="268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268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135</v>
      </c>
      <c r="B51" s="414"/>
      <c r="C51" s="267" t="s">
        <v>262</v>
      </c>
      <c r="D51" s="264" t="s">
        <v>585</v>
      </c>
      <c r="E51" s="267" t="s">
        <v>635</v>
      </c>
      <c r="F51" s="415" t="s">
        <v>671</v>
      </c>
      <c r="G51" s="415"/>
      <c r="H51" s="415"/>
      <c r="I51" s="415"/>
      <c r="J51" s="415"/>
      <c r="K51" s="415"/>
      <c r="L51" s="415"/>
      <c r="M51" s="416"/>
      <c r="N51" s="263" t="s">
        <v>675</v>
      </c>
      <c r="O51" s="74" t="s">
        <v>177</v>
      </c>
      <c r="P51" s="417" t="s">
        <v>676</v>
      </c>
      <c r="Q51" s="418"/>
      <c r="R51" s="419" t="s">
        <v>677</v>
      </c>
      <c r="S51" s="419"/>
      <c r="T51" s="419"/>
      <c r="U51" s="419"/>
      <c r="V51" s="415" t="s">
        <v>678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135</v>
      </c>
      <c r="B52" s="414"/>
      <c r="C52" s="267" t="s">
        <v>451</v>
      </c>
      <c r="D52" s="264" t="s">
        <v>58</v>
      </c>
      <c r="E52" s="267" t="s">
        <v>638</v>
      </c>
      <c r="F52" s="415" t="s">
        <v>672</v>
      </c>
      <c r="G52" s="415"/>
      <c r="H52" s="415"/>
      <c r="I52" s="415"/>
      <c r="J52" s="415"/>
      <c r="K52" s="415"/>
      <c r="L52" s="415"/>
      <c r="M52" s="416"/>
      <c r="N52" s="263" t="s">
        <v>135</v>
      </c>
      <c r="O52" s="74" t="s">
        <v>173</v>
      </c>
      <c r="P52" s="417" t="s">
        <v>679</v>
      </c>
      <c r="Q52" s="418"/>
      <c r="R52" s="419" t="s">
        <v>680</v>
      </c>
      <c r="S52" s="419"/>
      <c r="T52" s="419"/>
      <c r="U52" s="419"/>
      <c r="V52" s="415" t="s">
        <v>681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135</v>
      </c>
      <c r="B53" s="414"/>
      <c r="C53" s="267" t="s">
        <v>599</v>
      </c>
      <c r="D53" s="264" t="s">
        <v>58</v>
      </c>
      <c r="E53" s="267" t="s">
        <v>590</v>
      </c>
      <c r="F53" s="415" t="s">
        <v>671</v>
      </c>
      <c r="G53" s="415"/>
      <c r="H53" s="415"/>
      <c r="I53" s="415"/>
      <c r="J53" s="415"/>
      <c r="K53" s="415"/>
      <c r="L53" s="415"/>
      <c r="M53" s="416"/>
      <c r="N53" s="263" t="s">
        <v>135</v>
      </c>
      <c r="O53" s="74" t="s">
        <v>177</v>
      </c>
      <c r="P53" s="419" t="s">
        <v>683</v>
      </c>
      <c r="Q53" s="419"/>
      <c r="R53" s="419" t="s">
        <v>682</v>
      </c>
      <c r="S53" s="419"/>
      <c r="T53" s="419"/>
      <c r="U53" s="419"/>
      <c r="V53" s="415" t="s">
        <v>684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640</v>
      </c>
      <c r="B54" s="414"/>
      <c r="C54" s="267" t="s">
        <v>214</v>
      </c>
      <c r="D54" s="264" t="s">
        <v>641</v>
      </c>
      <c r="E54" s="267" t="s">
        <v>687</v>
      </c>
      <c r="F54" s="415" t="s">
        <v>673</v>
      </c>
      <c r="G54" s="415"/>
      <c r="H54" s="415"/>
      <c r="I54" s="415"/>
      <c r="J54" s="415"/>
      <c r="K54" s="415"/>
      <c r="L54" s="415"/>
      <c r="M54" s="416"/>
      <c r="N54" s="263" t="s">
        <v>685</v>
      </c>
      <c r="O54" s="74" t="s">
        <v>214</v>
      </c>
      <c r="P54" s="417" t="s">
        <v>686</v>
      </c>
      <c r="Q54" s="418"/>
      <c r="R54" s="419" t="s">
        <v>688</v>
      </c>
      <c r="S54" s="419"/>
      <c r="T54" s="419"/>
      <c r="U54" s="419"/>
      <c r="V54" s="415" t="s">
        <v>689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/>
      <c r="B55" s="414"/>
      <c r="C55" s="267"/>
      <c r="D55" s="264"/>
      <c r="E55" s="267"/>
      <c r="F55" s="415"/>
      <c r="G55" s="415"/>
      <c r="H55" s="415"/>
      <c r="I55" s="415"/>
      <c r="J55" s="415"/>
      <c r="K55" s="415"/>
      <c r="L55" s="415"/>
      <c r="M55" s="416"/>
      <c r="N55" s="263"/>
      <c r="O55" s="74"/>
      <c r="P55" s="417"/>
      <c r="Q55" s="418"/>
      <c r="R55" s="419"/>
      <c r="S55" s="419"/>
      <c r="T55" s="419"/>
      <c r="U55" s="419"/>
      <c r="V55" s="415"/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/>
      <c r="B56" s="414"/>
      <c r="C56" s="267"/>
      <c r="D56" s="264"/>
      <c r="E56" s="267"/>
      <c r="F56" s="415"/>
      <c r="G56" s="415"/>
      <c r="H56" s="415"/>
      <c r="I56" s="415"/>
      <c r="J56" s="415"/>
      <c r="K56" s="415"/>
      <c r="L56" s="415"/>
      <c r="M56" s="416"/>
      <c r="N56" s="263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/>
      <c r="B57" s="419"/>
      <c r="C57" s="264"/>
      <c r="D57" s="264"/>
      <c r="E57" s="267"/>
      <c r="F57" s="415"/>
      <c r="G57" s="415"/>
      <c r="H57" s="415"/>
      <c r="I57" s="415"/>
      <c r="J57" s="415"/>
      <c r="K57" s="415"/>
      <c r="L57" s="415"/>
      <c r="M57" s="416"/>
      <c r="N57" s="263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267"/>
      <c r="D58" s="264"/>
      <c r="E58" s="267"/>
      <c r="F58" s="415"/>
      <c r="G58" s="415"/>
      <c r="H58" s="415"/>
      <c r="I58" s="415"/>
      <c r="J58" s="415"/>
      <c r="K58" s="415"/>
      <c r="L58" s="415"/>
      <c r="M58" s="416"/>
      <c r="N58" s="263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264"/>
      <c r="D59" s="264"/>
      <c r="E59" s="264"/>
      <c r="F59" s="415"/>
      <c r="G59" s="415"/>
      <c r="H59" s="415"/>
      <c r="I59" s="415"/>
      <c r="J59" s="415"/>
      <c r="K59" s="415"/>
      <c r="L59" s="415"/>
      <c r="M59" s="416"/>
      <c r="N59" s="263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266"/>
      <c r="D60" s="266"/>
      <c r="E60" s="266"/>
      <c r="F60" s="423"/>
      <c r="G60" s="423"/>
      <c r="H60" s="423"/>
      <c r="I60" s="423"/>
      <c r="J60" s="423"/>
      <c r="K60" s="423"/>
      <c r="L60" s="423"/>
      <c r="M60" s="424"/>
      <c r="N60" s="265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690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262" t="s">
        <v>2</v>
      </c>
      <c r="D62" s="262" t="s">
        <v>38</v>
      </c>
      <c r="E62" s="262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262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691</v>
      </c>
      <c r="D63" s="258"/>
      <c r="E63" s="260" t="s">
        <v>692</v>
      </c>
      <c r="F63" s="434" t="s">
        <v>693</v>
      </c>
      <c r="G63" s="434"/>
      <c r="H63" s="434"/>
      <c r="I63" s="434"/>
      <c r="J63" s="434"/>
      <c r="K63" s="435">
        <v>7301</v>
      </c>
      <c r="L63" s="436"/>
      <c r="M63" s="54" t="s">
        <v>694</v>
      </c>
      <c r="N63" s="434">
        <v>8</v>
      </c>
      <c r="O63" s="434"/>
      <c r="P63" s="437">
        <v>50</v>
      </c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122</v>
      </c>
      <c r="D64" s="258"/>
      <c r="E64" s="260" t="s">
        <v>574</v>
      </c>
      <c r="F64" s="434" t="s">
        <v>575</v>
      </c>
      <c r="G64" s="434"/>
      <c r="H64" s="434"/>
      <c r="I64" s="434"/>
      <c r="J64" s="434"/>
      <c r="K64" s="434" t="s">
        <v>576</v>
      </c>
      <c r="L64" s="434"/>
      <c r="M64" s="54" t="s">
        <v>577</v>
      </c>
      <c r="N64" s="434">
        <v>13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 t="s">
        <v>570</v>
      </c>
      <c r="D65" s="258"/>
      <c r="E65" s="260" t="s">
        <v>568</v>
      </c>
      <c r="F65" s="434" t="s">
        <v>578</v>
      </c>
      <c r="G65" s="434"/>
      <c r="H65" s="434"/>
      <c r="I65" s="434"/>
      <c r="J65" s="434"/>
      <c r="K65" s="434" t="s">
        <v>229</v>
      </c>
      <c r="L65" s="434"/>
      <c r="M65" s="54" t="s">
        <v>577</v>
      </c>
      <c r="N65" s="434">
        <v>8</v>
      </c>
      <c r="O65" s="434"/>
      <c r="P65" s="437">
        <v>50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/>
      <c r="D66" s="258"/>
      <c r="E66" s="260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258"/>
      <c r="E67" s="260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258"/>
      <c r="E68" s="260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258"/>
      <c r="E69" s="260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258"/>
      <c r="E70" s="260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695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261" t="s">
        <v>2</v>
      </c>
      <c r="D72" s="261" t="s">
        <v>38</v>
      </c>
      <c r="E72" s="261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259" t="s">
        <v>62</v>
      </c>
      <c r="D73" s="259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258" t="s">
        <v>135</v>
      </c>
      <c r="D74" s="258"/>
      <c r="E74" s="35" t="s">
        <v>121</v>
      </c>
      <c r="F74" s="447" t="s">
        <v>274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258" t="s">
        <v>62</v>
      </c>
      <c r="D75" s="258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258" t="s">
        <v>62</v>
      </c>
      <c r="D76" s="258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258" t="s">
        <v>62</v>
      </c>
      <c r="D77" s="258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258" t="s">
        <v>135</v>
      </c>
      <c r="D78" s="258"/>
      <c r="E78" s="35" t="s">
        <v>121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258"/>
      <c r="D79" s="258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258"/>
      <c r="D80" s="258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258"/>
      <c r="D81" s="258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696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0" zoomScale="75" zoomScaleNormal="75" zoomScaleSheetLayoutView="70" workbookViewId="0">
      <selection activeCell="T13" sqref="T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697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624</v>
      </c>
      <c r="F6" s="12" t="s">
        <v>625</v>
      </c>
      <c r="G6" s="36">
        <v>1</v>
      </c>
      <c r="H6" s="38">
        <v>25</v>
      </c>
      <c r="I6" s="7">
        <v>60000</v>
      </c>
      <c r="J6" s="14">
        <v>5020</v>
      </c>
      <c r="K6" s="15">
        <f>L6+3451+4945</f>
        <v>13410</v>
      </c>
      <c r="L6" s="15">
        <f>2651+2363</f>
        <v>5014</v>
      </c>
      <c r="M6" s="16">
        <f t="shared" ref="M6:M20" si="0">L6-N6</f>
        <v>5014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0.99880478087649405</v>
      </c>
      <c r="AC6" s="9">
        <f t="shared" ref="AC6:AC20" si="5">IF(P6=0,"0",(P6/24))</f>
        <v>1</v>
      </c>
      <c r="AD6" s="10">
        <f t="shared" ref="AD6:AD20" si="6">AC6*AB6*(1-O6)</f>
        <v>0.99880478087649405</v>
      </c>
      <c r="AE6" s="39">
        <f t="shared" ref="AE6:AE20" si="7">$AD$21</f>
        <v>0.54955674245079678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37" t="s">
        <v>431</v>
      </c>
      <c r="D7" s="55" t="s">
        <v>432</v>
      </c>
      <c r="E7" s="57" t="s">
        <v>433</v>
      </c>
      <c r="F7" s="33" t="s">
        <v>434</v>
      </c>
      <c r="G7" s="36">
        <v>4</v>
      </c>
      <c r="H7" s="38">
        <v>20</v>
      </c>
      <c r="I7" s="7">
        <v>100000</v>
      </c>
      <c r="J7" s="5">
        <v>12270</v>
      </c>
      <c r="K7" s="15">
        <f>L7+10008+20936+21036+19012+21288+19636+14516</f>
        <v>138696</v>
      </c>
      <c r="L7" s="15">
        <f>1293*4+1773*4</f>
        <v>12264</v>
      </c>
      <c r="M7" s="16">
        <f t="shared" si="0"/>
        <v>12264</v>
      </c>
      <c r="N7" s="16">
        <v>0</v>
      </c>
      <c r="O7" s="62">
        <f t="shared" si="1"/>
        <v>0</v>
      </c>
      <c r="P7" s="42">
        <f t="shared" si="2"/>
        <v>19</v>
      </c>
      <c r="Q7" s="43">
        <f t="shared" si="3"/>
        <v>5</v>
      </c>
      <c r="R7" s="7"/>
      <c r="S7" s="6">
        <v>3</v>
      </c>
      <c r="T7" s="17"/>
      <c r="U7" s="17"/>
      <c r="V7" s="18"/>
      <c r="W7" s="19">
        <v>2</v>
      </c>
      <c r="X7" s="17"/>
      <c r="Y7" s="20"/>
      <c r="Z7" s="20"/>
      <c r="AA7" s="21"/>
      <c r="AB7" s="8">
        <f t="shared" si="4"/>
        <v>0.99951100244498781</v>
      </c>
      <c r="AC7" s="9">
        <f t="shared" si="5"/>
        <v>0.79166666666666663</v>
      </c>
      <c r="AD7" s="10">
        <f t="shared" si="6"/>
        <v>0.79127954360228192</v>
      </c>
      <c r="AE7" s="39">
        <f t="shared" si="7"/>
        <v>0.54955674245079678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626</v>
      </c>
      <c r="D8" s="55" t="s">
        <v>627</v>
      </c>
      <c r="E8" s="57" t="s">
        <v>628</v>
      </c>
      <c r="F8" s="33" t="s">
        <v>629</v>
      </c>
      <c r="G8" s="36">
        <v>1</v>
      </c>
      <c r="H8" s="38">
        <v>35</v>
      </c>
      <c r="I8" s="7">
        <v>1000</v>
      </c>
      <c r="J8" s="14">
        <v>162</v>
      </c>
      <c r="K8" s="15">
        <f>L8+929</f>
        <v>1091</v>
      </c>
      <c r="L8" s="15">
        <v>162</v>
      </c>
      <c r="M8" s="16">
        <f t="shared" si="0"/>
        <v>162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/>
      <c r="S8" s="6"/>
      <c r="T8" s="17"/>
      <c r="U8" s="17"/>
      <c r="V8" s="18"/>
      <c r="W8" s="19">
        <v>20</v>
      </c>
      <c r="X8" s="17"/>
      <c r="Y8" s="20"/>
      <c r="Z8" s="20"/>
      <c r="AA8" s="21"/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9">
        <f t="shared" si="7"/>
        <v>0.54955674245079678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698</v>
      </c>
      <c r="E9" s="57" t="s">
        <v>699</v>
      </c>
      <c r="F9" s="12" t="s">
        <v>700</v>
      </c>
      <c r="G9" s="12">
        <v>1</v>
      </c>
      <c r="H9" s="13">
        <v>25</v>
      </c>
      <c r="I9" s="34">
        <v>8000</v>
      </c>
      <c r="J9" s="5">
        <v>2850</v>
      </c>
      <c r="K9" s="15">
        <f>L9</f>
        <v>2849</v>
      </c>
      <c r="L9" s="15">
        <f>2849</f>
        <v>2849</v>
      </c>
      <c r="M9" s="16">
        <f t="shared" si="0"/>
        <v>2849</v>
      </c>
      <c r="N9" s="16">
        <v>0</v>
      </c>
      <c r="O9" s="62">
        <f t="shared" si="1"/>
        <v>0</v>
      </c>
      <c r="P9" s="42">
        <f t="shared" si="2"/>
        <v>15</v>
      </c>
      <c r="Q9" s="43">
        <f t="shared" si="3"/>
        <v>9</v>
      </c>
      <c r="R9" s="7"/>
      <c r="S9" s="6"/>
      <c r="T9" s="17">
        <v>9</v>
      </c>
      <c r="U9" s="17"/>
      <c r="V9" s="18"/>
      <c r="W9" s="19"/>
      <c r="X9" s="17"/>
      <c r="Y9" s="20"/>
      <c r="Z9" s="20"/>
      <c r="AA9" s="21"/>
      <c r="AB9" s="8">
        <f t="shared" si="4"/>
        <v>0.99964912280701756</v>
      </c>
      <c r="AC9" s="9">
        <f t="shared" si="5"/>
        <v>0.625</v>
      </c>
      <c r="AD9" s="10">
        <f t="shared" si="6"/>
        <v>0.62478070175438594</v>
      </c>
      <c r="AE9" s="39">
        <f t="shared" si="7"/>
        <v>0.54955674245079678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135</v>
      </c>
      <c r="D10" s="55" t="s">
        <v>585</v>
      </c>
      <c r="E10" s="57" t="s">
        <v>668</v>
      </c>
      <c r="F10" s="12" t="s">
        <v>669</v>
      </c>
      <c r="G10" s="12">
        <v>32</v>
      </c>
      <c r="H10" s="13">
        <v>25</v>
      </c>
      <c r="I10" s="34">
        <v>200000</v>
      </c>
      <c r="J10" s="5">
        <v>90920</v>
      </c>
      <c r="K10" s="15">
        <f>L10+16456</f>
        <v>107368</v>
      </c>
      <c r="L10" s="15">
        <f>2841*32</f>
        <v>90912</v>
      </c>
      <c r="M10" s="16">
        <f t="shared" si="0"/>
        <v>90912</v>
      </c>
      <c r="N10" s="16">
        <v>0</v>
      </c>
      <c r="O10" s="62">
        <f t="shared" si="1"/>
        <v>0</v>
      </c>
      <c r="P10" s="42">
        <f t="shared" si="2"/>
        <v>12</v>
      </c>
      <c r="Q10" s="43">
        <f t="shared" si="3"/>
        <v>12</v>
      </c>
      <c r="R10" s="7"/>
      <c r="S10" s="6"/>
      <c r="T10" s="17"/>
      <c r="U10" s="17"/>
      <c r="V10" s="18"/>
      <c r="W10" s="19">
        <v>12</v>
      </c>
      <c r="X10" s="17"/>
      <c r="Y10" s="20"/>
      <c r="Z10" s="20"/>
      <c r="AA10" s="21"/>
      <c r="AB10" s="8">
        <f t="shared" si="4"/>
        <v>0.99991201055873291</v>
      </c>
      <c r="AC10" s="9">
        <f t="shared" si="5"/>
        <v>0.5</v>
      </c>
      <c r="AD10" s="10">
        <f t="shared" si="6"/>
        <v>0.49995600527936646</v>
      </c>
      <c r="AE10" s="39">
        <f t="shared" si="7"/>
        <v>0.54955674245079678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361</v>
      </c>
      <c r="E11" s="56" t="s">
        <v>386</v>
      </c>
      <c r="F11" s="12" t="s">
        <v>367</v>
      </c>
      <c r="G11" s="12">
        <v>1</v>
      </c>
      <c r="H11" s="13">
        <v>25</v>
      </c>
      <c r="I11" s="34">
        <v>5000</v>
      </c>
      <c r="J11" s="14">
        <v>4840</v>
      </c>
      <c r="K11" s="15">
        <f>L11+4062+5380+4839</f>
        <v>14281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0.54955674245079678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135</v>
      </c>
      <c r="D12" s="55" t="s">
        <v>58</v>
      </c>
      <c r="E12" s="57" t="s">
        <v>452</v>
      </c>
      <c r="F12" s="12" t="s">
        <v>136</v>
      </c>
      <c r="G12" s="12">
        <v>1</v>
      </c>
      <c r="H12" s="13">
        <v>25</v>
      </c>
      <c r="I12" s="34">
        <v>22000</v>
      </c>
      <c r="J12" s="5">
        <v>4550</v>
      </c>
      <c r="K12" s="15">
        <f>L12+4213+4937+4314+5106+3675+2729</f>
        <v>29522</v>
      </c>
      <c r="L12" s="15">
        <f>2259+2289</f>
        <v>4548</v>
      </c>
      <c r="M12" s="16">
        <f t="shared" si="0"/>
        <v>4548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0.99956043956043961</v>
      </c>
      <c r="AC12" s="9">
        <f t="shared" si="5"/>
        <v>1</v>
      </c>
      <c r="AD12" s="10">
        <f t="shared" si="6"/>
        <v>0.99956043956043961</v>
      </c>
      <c r="AE12" s="39">
        <f t="shared" si="7"/>
        <v>0.54955674245079678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701</v>
      </c>
      <c r="E13" s="57" t="s">
        <v>702</v>
      </c>
      <c r="F13" s="12">
        <v>7301</v>
      </c>
      <c r="G13" s="12">
        <v>1</v>
      </c>
      <c r="H13" s="13">
        <v>25</v>
      </c>
      <c r="I13" s="7">
        <v>2000</v>
      </c>
      <c r="J13" s="14">
        <v>2900</v>
      </c>
      <c r="K13" s="15">
        <f>L13</f>
        <v>2895</v>
      </c>
      <c r="L13" s="15">
        <f>2895</f>
        <v>2895</v>
      </c>
      <c r="M13" s="16">
        <f t="shared" si="0"/>
        <v>2895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/>
      <c r="T13" s="17"/>
      <c r="U13" s="17"/>
      <c r="V13" s="18"/>
      <c r="W13" s="19">
        <v>10</v>
      </c>
      <c r="X13" s="17"/>
      <c r="Y13" s="20"/>
      <c r="Z13" s="20"/>
      <c r="AA13" s="21"/>
      <c r="AB13" s="8">
        <f t="shared" si="4"/>
        <v>0.99827586206896557</v>
      </c>
      <c r="AC13" s="9">
        <f t="shared" si="5"/>
        <v>0.58333333333333337</v>
      </c>
      <c r="AD13" s="10">
        <f t="shared" si="6"/>
        <v>0.58232758620689662</v>
      </c>
      <c r="AE13" s="39">
        <f t="shared" si="7"/>
        <v>0.54955674245079678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703</v>
      </c>
      <c r="D14" s="55" t="s">
        <v>704</v>
      </c>
      <c r="E14" s="57" t="s">
        <v>725</v>
      </c>
      <c r="F14" s="33" t="s">
        <v>705</v>
      </c>
      <c r="G14" s="36">
        <v>1</v>
      </c>
      <c r="H14" s="38">
        <v>35</v>
      </c>
      <c r="I14" s="7">
        <v>500</v>
      </c>
      <c r="J14" s="5">
        <v>877</v>
      </c>
      <c r="K14" s="15">
        <f>L14</f>
        <v>877</v>
      </c>
      <c r="L14" s="15">
        <f>651+226</f>
        <v>877</v>
      </c>
      <c r="M14" s="16">
        <f t="shared" si="0"/>
        <v>877</v>
      </c>
      <c r="N14" s="16">
        <v>0</v>
      </c>
      <c r="O14" s="62">
        <f t="shared" si="1"/>
        <v>0</v>
      </c>
      <c r="P14" s="42">
        <f t="shared" si="2"/>
        <v>13</v>
      </c>
      <c r="Q14" s="43">
        <f t="shared" si="3"/>
        <v>11</v>
      </c>
      <c r="R14" s="7"/>
      <c r="S14" s="6"/>
      <c r="T14" s="17"/>
      <c r="U14" s="17"/>
      <c r="V14" s="18"/>
      <c r="W14" s="19">
        <v>11</v>
      </c>
      <c r="X14" s="17"/>
      <c r="Y14" s="20"/>
      <c r="Z14" s="20"/>
      <c r="AA14" s="21"/>
      <c r="AB14" s="8">
        <f t="shared" si="4"/>
        <v>1</v>
      </c>
      <c r="AC14" s="9">
        <f t="shared" si="5"/>
        <v>0.54166666666666663</v>
      </c>
      <c r="AD14" s="10">
        <f t="shared" si="6"/>
        <v>0.54166666666666663</v>
      </c>
      <c r="AE14" s="39">
        <f t="shared" si="7"/>
        <v>0.54955674245079678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0.54955674245079678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509</v>
      </c>
      <c r="E16" s="56" t="s">
        <v>588</v>
      </c>
      <c r="F16" s="12">
        <v>7301</v>
      </c>
      <c r="G16" s="36">
        <v>1</v>
      </c>
      <c r="H16" s="38">
        <v>25</v>
      </c>
      <c r="I16" s="7">
        <v>60000</v>
      </c>
      <c r="J16" s="14">
        <v>3890</v>
      </c>
      <c r="K16" s="15">
        <f>L16+2811+5412+5384</f>
        <v>17489</v>
      </c>
      <c r="L16" s="15">
        <f>2792+1090</f>
        <v>3882</v>
      </c>
      <c r="M16" s="16">
        <f t="shared" si="0"/>
        <v>3882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0.99794344473007712</v>
      </c>
      <c r="AC16" s="9">
        <f t="shared" si="5"/>
        <v>0.79166666666666663</v>
      </c>
      <c r="AD16" s="10">
        <f t="shared" si="6"/>
        <v>0.79003856041131104</v>
      </c>
      <c r="AE16" s="39">
        <f t="shared" si="7"/>
        <v>0.54955674245079678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467</v>
      </c>
      <c r="E17" s="56" t="s">
        <v>468</v>
      </c>
      <c r="F17" s="12">
        <v>8301</v>
      </c>
      <c r="G17" s="12">
        <v>1</v>
      </c>
      <c r="H17" s="13">
        <v>25</v>
      </c>
      <c r="I17" s="34">
        <v>2000</v>
      </c>
      <c r="J17" s="5">
        <v>3040</v>
      </c>
      <c r="K17" s="15">
        <f>L17</f>
        <v>3032</v>
      </c>
      <c r="L17" s="15">
        <f>3032</f>
        <v>3032</v>
      </c>
      <c r="M17" s="16">
        <f t="shared" si="0"/>
        <v>3032</v>
      </c>
      <c r="N17" s="16">
        <v>0</v>
      </c>
      <c r="O17" s="62">
        <f t="shared" si="1"/>
        <v>0</v>
      </c>
      <c r="P17" s="42">
        <f t="shared" si="2"/>
        <v>15</v>
      </c>
      <c r="Q17" s="43">
        <f t="shared" si="3"/>
        <v>9</v>
      </c>
      <c r="R17" s="7"/>
      <c r="S17" s="6"/>
      <c r="T17" s="17">
        <v>9</v>
      </c>
      <c r="U17" s="17"/>
      <c r="V17" s="18"/>
      <c r="W17" s="19"/>
      <c r="X17" s="17"/>
      <c r="Y17" s="20"/>
      <c r="Z17" s="20"/>
      <c r="AA17" s="21"/>
      <c r="AB17" s="8">
        <f t="shared" si="4"/>
        <v>0.99736842105263157</v>
      </c>
      <c r="AC17" s="9">
        <f t="shared" si="5"/>
        <v>0.625</v>
      </c>
      <c r="AD17" s="10">
        <f t="shared" si="6"/>
        <v>0.62335526315789469</v>
      </c>
      <c r="AE17" s="39">
        <f t="shared" si="7"/>
        <v>0.54955674245079678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276</v>
      </c>
      <c r="E18" s="56" t="s">
        <v>631</v>
      </c>
      <c r="F18" s="33" t="s">
        <v>229</v>
      </c>
      <c r="G18" s="36">
        <v>1</v>
      </c>
      <c r="H18" s="38">
        <v>25</v>
      </c>
      <c r="I18" s="7">
        <v>300</v>
      </c>
      <c r="J18" s="5">
        <v>350</v>
      </c>
      <c r="K18" s="15">
        <f>L18+350</f>
        <v>350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0.54955674245079678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</v>
      </c>
      <c r="E19" s="57" t="s">
        <v>590</v>
      </c>
      <c r="F19" s="33" t="s">
        <v>591</v>
      </c>
      <c r="G19" s="36">
        <v>1</v>
      </c>
      <c r="H19" s="38">
        <v>25</v>
      </c>
      <c r="I19" s="34">
        <v>60000</v>
      </c>
      <c r="J19" s="5">
        <v>3450</v>
      </c>
      <c r="K19" s="15">
        <f>L19+2028+3807+3338</f>
        <v>12623</v>
      </c>
      <c r="L19" s="15">
        <f>992+2458</f>
        <v>3450</v>
      </c>
      <c r="M19" s="16">
        <f t="shared" si="0"/>
        <v>3450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9">
        <f t="shared" si="7"/>
        <v>0.54955674245079678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552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39180</v>
      </c>
      <c r="K20" s="15">
        <f>L20+25396+50900+50368+50312</f>
        <v>216152</v>
      </c>
      <c r="L20" s="15">
        <f>3839*4+5955*4</f>
        <v>39176</v>
      </c>
      <c r="M20" s="16">
        <f t="shared" si="0"/>
        <v>39176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/>
      <c r="T20" s="17"/>
      <c r="U20" s="17"/>
      <c r="V20" s="18"/>
      <c r="W20" s="19">
        <v>4</v>
      </c>
      <c r="X20" s="17"/>
      <c r="Y20" s="20"/>
      <c r="Z20" s="20"/>
      <c r="AA20" s="21"/>
      <c r="AB20" s="8">
        <f t="shared" si="4"/>
        <v>0.99989790709545689</v>
      </c>
      <c r="AC20" s="9">
        <f t="shared" si="5"/>
        <v>0.83333333333333337</v>
      </c>
      <c r="AD20" s="10">
        <f t="shared" si="6"/>
        <v>0.83324825591288076</v>
      </c>
      <c r="AE20" s="39">
        <f t="shared" si="7"/>
        <v>0.54955674245079678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9">SUM(I6:I20)</f>
        <v>780800</v>
      </c>
      <c r="J21" s="22">
        <f t="shared" si="9"/>
        <v>199369</v>
      </c>
      <c r="K21" s="23">
        <f t="shared" si="9"/>
        <v>630949</v>
      </c>
      <c r="L21" s="24">
        <f t="shared" si="9"/>
        <v>169061</v>
      </c>
      <c r="M21" s="23">
        <f t="shared" si="9"/>
        <v>169061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198</v>
      </c>
      <c r="Q21" s="46">
        <f t="shared" si="10"/>
        <v>162</v>
      </c>
      <c r="R21" s="26">
        <f t="shared" si="10"/>
        <v>0</v>
      </c>
      <c r="S21" s="27">
        <f t="shared" si="10"/>
        <v>13</v>
      </c>
      <c r="T21" s="27">
        <f t="shared" si="10"/>
        <v>18</v>
      </c>
      <c r="U21" s="27">
        <f t="shared" si="10"/>
        <v>0</v>
      </c>
      <c r="V21" s="28">
        <f t="shared" si="10"/>
        <v>0</v>
      </c>
      <c r="W21" s="29">
        <f t="shared" si="10"/>
        <v>131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0.7993948660796536</v>
      </c>
      <c r="AC21" s="4">
        <f>SUM(AC6:AC20)/15</f>
        <v>0.55000000000000004</v>
      </c>
      <c r="AD21" s="4">
        <f>SUM(AD6:AD20)/15</f>
        <v>0.54955674245079678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706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726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271" t="s">
        <v>47</v>
      </c>
      <c r="D50" s="271" t="s">
        <v>48</v>
      </c>
      <c r="E50" s="271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271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707</v>
      </c>
      <c r="B51" s="414"/>
      <c r="C51" s="272" t="s">
        <v>708</v>
      </c>
      <c r="D51" s="273" t="s">
        <v>709</v>
      </c>
      <c r="E51" s="272" t="s">
        <v>699</v>
      </c>
      <c r="F51" s="415" t="s">
        <v>710</v>
      </c>
      <c r="G51" s="415"/>
      <c r="H51" s="415"/>
      <c r="I51" s="415"/>
      <c r="J51" s="415"/>
      <c r="K51" s="415"/>
      <c r="L51" s="415"/>
      <c r="M51" s="416"/>
      <c r="N51" s="274" t="s">
        <v>727</v>
      </c>
      <c r="O51" s="74" t="s">
        <v>728</v>
      </c>
      <c r="P51" s="417" t="s">
        <v>730</v>
      </c>
      <c r="Q51" s="418"/>
      <c r="R51" s="419" t="s">
        <v>729</v>
      </c>
      <c r="S51" s="419"/>
      <c r="T51" s="419"/>
      <c r="U51" s="419"/>
      <c r="V51" s="415" t="s">
        <v>678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707</v>
      </c>
      <c r="B52" s="414"/>
      <c r="C52" s="272" t="s">
        <v>711</v>
      </c>
      <c r="D52" s="273" t="s">
        <v>58</v>
      </c>
      <c r="E52" s="272" t="s">
        <v>702</v>
      </c>
      <c r="F52" s="415" t="s">
        <v>710</v>
      </c>
      <c r="G52" s="415"/>
      <c r="H52" s="415"/>
      <c r="I52" s="415"/>
      <c r="J52" s="415"/>
      <c r="K52" s="415"/>
      <c r="L52" s="415"/>
      <c r="M52" s="416"/>
      <c r="N52" s="274" t="s">
        <v>122</v>
      </c>
      <c r="O52" s="74" t="s">
        <v>731</v>
      </c>
      <c r="P52" s="417" t="s">
        <v>732</v>
      </c>
      <c r="Q52" s="418"/>
      <c r="R52" s="419" t="s">
        <v>733</v>
      </c>
      <c r="S52" s="419"/>
      <c r="T52" s="419"/>
      <c r="U52" s="419"/>
      <c r="V52" s="415" t="s">
        <v>710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135</v>
      </c>
      <c r="B53" s="414"/>
      <c r="C53" s="272" t="s">
        <v>599</v>
      </c>
      <c r="D53" s="273" t="s">
        <v>58</v>
      </c>
      <c r="E53" s="272" t="s">
        <v>590</v>
      </c>
      <c r="F53" s="415" t="s">
        <v>712</v>
      </c>
      <c r="G53" s="415"/>
      <c r="H53" s="415"/>
      <c r="I53" s="415"/>
      <c r="J53" s="415"/>
      <c r="K53" s="415"/>
      <c r="L53" s="415"/>
      <c r="M53" s="416"/>
      <c r="N53" s="274" t="s">
        <v>122</v>
      </c>
      <c r="O53" s="74" t="s">
        <v>711</v>
      </c>
      <c r="P53" s="419" t="s">
        <v>735</v>
      </c>
      <c r="Q53" s="419"/>
      <c r="R53" s="419" t="s">
        <v>736</v>
      </c>
      <c r="S53" s="419"/>
      <c r="T53" s="419"/>
      <c r="U53" s="419"/>
      <c r="V53" s="415" t="s">
        <v>710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640</v>
      </c>
      <c r="B54" s="414"/>
      <c r="C54" s="272" t="s">
        <v>214</v>
      </c>
      <c r="D54" s="273" t="s">
        <v>641</v>
      </c>
      <c r="E54" s="272" t="s">
        <v>687</v>
      </c>
      <c r="F54" s="415" t="s">
        <v>713</v>
      </c>
      <c r="G54" s="415"/>
      <c r="H54" s="415"/>
      <c r="I54" s="415"/>
      <c r="J54" s="415"/>
      <c r="K54" s="415"/>
      <c r="L54" s="415"/>
      <c r="M54" s="416"/>
      <c r="N54" s="274" t="s">
        <v>122</v>
      </c>
      <c r="O54" s="74" t="s">
        <v>738</v>
      </c>
      <c r="P54" s="417" t="s">
        <v>739</v>
      </c>
      <c r="Q54" s="418"/>
      <c r="R54" s="419" t="s">
        <v>737</v>
      </c>
      <c r="S54" s="419"/>
      <c r="T54" s="419"/>
      <c r="U54" s="419"/>
      <c r="V54" s="415" t="s">
        <v>717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122</v>
      </c>
      <c r="B55" s="414"/>
      <c r="C55" s="272" t="s">
        <v>714</v>
      </c>
      <c r="D55" s="273" t="s">
        <v>715</v>
      </c>
      <c r="E55" s="272" t="s">
        <v>716</v>
      </c>
      <c r="F55" s="415" t="s">
        <v>717</v>
      </c>
      <c r="G55" s="415"/>
      <c r="H55" s="415"/>
      <c r="I55" s="415"/>
      <c r="J55" s="415"/>
      <c r="K55" s="415"/>
      <c r="L55" s="415"/>
      <c r="M55" s="416"/>
      <c r="N55" s="274" t="s">
        <v>718</v>
      </c>
      <c r="O55" s="74" t="s">
        <v>723</v>
      </c>
      <c r="P55" s="417" t="s">
        <v>730</v>
      </c>
      <c r="Q55" s="418"/>
      <c r="R55" s="419" t="s">
        <v>740</v>
      </c>
      <c r="S55" s="419"/>
      <c r="T55" s="419"/>
      <c r="U55" s="419"/>
      <c r="V55" s="415" t="s">
        <v>717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718</v>
      </c>
      <c r="B56" s="414"/>
      <c r="C56" s="272" t="s">
        <v>719</v>
      </c>
      <c r="D56" s="273" t="s">
        <v>720</v>
      </c>
      <c r="E56" s="272" t="s">
        <v>721</v>
      </c>
      <c r="F56" s="415" t="s">
        <v>722</v>
      </c>
      <c r="G56" s="415"/>
      <c r="H56" s="415"/>
      <c r="I56" s="415"/>
      <c r="J56" s="415"/>
      <c r="K56" s="415"/>
      <c r="L56" s="415"/>
      <c r="M56" s="416"/>
      <c r="N56" s="274" t="s">
        <v>135</v>
      </c>
      <c r="O56" s="74" t="s">
        <v>742</v>
      </c>
      <c r="P56" s="419" t="s">
        <v>734</v>
      </c>
      <c r="Q56" s="419"/>
      <c r="R56" s="419" t="s">
        <v>741</v>
      </c>
      <c r="S56" s="419"/>
      <c r="T56" s="419"/>
      <c r="U56" s="419"/>
      <c r="V56" s="415" t="s">
        <v>722</v>
      </c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 t="s">
        <v>703</v>
      </c>
      <c r="B57" s="419"/>
      <c r="C57" s="273" t="s">
        <v>723</v>
      </c>
      <c r="D57" s="273" t="s">
        <v>724</v>
      </c>
      <c r="E57" s="272" t="s">
        <v>725</v>
      </c>
      <c r="F57" s="415" t="s">
        <v>717</v>
      </c>
      <c r="G57" s="415"/>
      <c r="H57" s="415"/>
      <c r="I57" s="415"/>
      <c r="J57" s="415"/>
      <c r="K57" s="415"/>
      <c r="L57" s="415"/>
      <c r="M57" s="416"/>
      <c r="N57" s="274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272"/>
      <c r="D58" s="273"/>
      <c r="E58" s="272"/>
      <c r="F58" s="415"/>
      <c r="G58" s="415"/>
      <c r="H58" s="415"/>
      <c r="I58" s="415"/>
      <c r="J58" s="415"/>
      <c r="K58" s="415"/>
      <c r="L58" s="415"/>
      <c r="M58" s="416"/>
      <c r="N58" s="274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273"/>
      <c r="D59" s="273"/>
      <c r="E59" s="273"/>
      <c r="F59" s="415"/>
      <c r="G59" s="415"/>
      <c r="H59" s="415"/>
      <c r="I59" s="415"/>
      <c r="J59" s="415"/>
      <c r="K59" s="415"/>
      <c r="L59" s="415"/>
      <c r="M59" s="416"/>
      <c r="N59" s="274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276"/>
      <c r="D60" s="276"/>
      <c r="E60" s="276"/>
      <c r="F60" s="423"/>
      <c r="G60" s="423"/>
      <c r="H60" s="423"/>
      <c r="I60" s="423"/>
      <c r="J60" s="423"/>
      <c r="K60" s="423"/>
      <c r="L60" s="423"/>
      <c r="M60" s="424"/>
      <c r="N60" s="275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743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277" t="s">
        <v>2</v>
      </c>
      <c r="D62" s="277" t="s">
        <v>38</v>
      </c>
      <c r="E62" s="277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277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/>
      <c r="D63" s="280"/>
      <c r="E63" s="278"/>
      <c r="F63" s="434"/>
      <c r="G63" s="434"/>
      <c r="H63" s="434"/>
      <c r="I63" s="434"/>
      <c r="J63" s="434"/>
      <c r="K63" s="435"/>
      <c r="L63" s="436"/>
      <c r="M63" s="54"/>
      <c r="N63" s="434"/>
      <c r="O63" s="434"/>
      <c r="P63" s="437"/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/>
      <c r="D64" s="280"/>
      <c r="E64" s="278"/>
      <c r="F64" s="434"/>
      <c r="G64" s="434"/>
      <c r="H64" s="434"/>
      <c r="I64" s="434"/>
      <c r="J64" s="434"/>
      <c r="K64" s="434"/>
      <c r="L64" s="434"/>
      <c r="M64" s="54"/>
      <c r="N64" s="434"/>
      <c r="O64" s="434"/>
      <c r="P64" s="437"/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/>
      <c r="D65" s="280"/>
      <c r="E65" s="278"/>
      <c r="F65" s="434"/>
      <c r="G65" s="434"/>
      <c r="H65" s="434"/>
      <c r="I65" s="434"/>
      <c r="J65" s="434"/>
      <c r="K65" s="434"/>
      <c r="L65" s="434"/>
      <c r="M65" s="54"/>
      <c r="N65" s="434"/>
      <c r="O65" s="434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/>
      <c r="D66" s="280"/>
      <c r="E66" s="278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280"/>
      <c r="E67" s="278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280"/>
      <c r="E68" s="278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280"/>
      <c r="E69" s="278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280"/>
      <c r="E70" s="278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744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279" t="s">
        <v>2</v>
      </c>
      <c r="D72" s="279" t="s">
        <v>38</v>
      </c>
      <c r="E72" s="279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281" t="s">
        <v>62</v>
      </c>
      <c r="D73" s="281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280" t="s">
        <v>135</v>
      </c>
      <c r="D74" s="280"/>
      <c r="E74" s="35" t="s">
        <v>121</v>
      </c>
      <c r="F74" s="447" t="s">
        <v>274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1">A74+1</f>
        <v>3</v>
      </c>
      <c r="B75" s="447"/>
      <c r="C75" s="280" t="s">
        <v>62</v>
      </c>
      <c r="D75" s="280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1"/>
        <v>4</v>
      </c>
      <c r="B76" s="447"/>
      <c r="C76" s="280" t="s">
        <v>62</v>
      </c>
      <c r="D76" s="280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1"/>
        <v>5</v>
      </c>
      <c r="B77" s="447"/>
      <c r="C77" s="280" t="s">
        <v>62</v>
      </c>
      <c r="D77" s="280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1"/>
        <v>6</v>
      </c>
      <c r="B78" s="447"/>
      <c r="C78" s="280" t="s">
        <v>135</v>
      </c>
      <c r="D78" s="280"/>
      <c r="E78" s="35" t="s">
        <v>121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1"/>
        <v>7</v>
      </c>
      <c r="B79" s="447"/>
      <c r="C79" s="280"/>
      <c r="D79" s="280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1"/>
        <v>8</v>
      </c>
      <c r="B80" s="447"/>
      <c r="C80" s="280"/>
      <c r="D80" s="280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1"/>
        <v>9</v>
      </c>
      <c r="B81" s="447"/>
      <c r="C81" s="280"/>
      <c r="D81" s="280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745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K6" sqref="K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808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624</v>
      </c>
      <c r="F6" s="12" t="s">
        <v>625</v>
      </c>
      <c r="G6" s="36">
        <v>1</v>
      </c>
      <c r="H6" s="38">
        <v>25</v>
      </c>
      <c r="I6" s="7">
        <v>60000</v>
      </c>
      <c r="J6" s="14">
        <v>4210</v>
      </c>
      <c r="K6" s="15">
        <f>L6+3451+4945+5014</f>
        <v>17616</v>
      </c>
      <c r="L6" s="15">
        <f>2466+1740</f>
        <v>4206</v>
      </c>
      <c r="M6" s="16">
        <f t="shared" ref="M6:M21" si="0">L6-N6</f>
        <v>4206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23</v>
      </c>
      <c r="Q6" s="43">
        <f t="shared" ref="Q6:Q21" si="3">SUM(R6:AA6)</f>
        <v>1</v>
      </c>
      <c r="R6" s="7"/>
      <c r="S6" s="6"/>
      <c r="T6" s="17"/>
      <c r="U6" s="17"/>
      <c r="V6" s="18">
        <v>1</v>
      </c>
      <c r="W6" s="19"/>
      <c r="X6" s="17"/>
      <c r="Y6" s="20"/>
      <c r="Z6" s="20"/>
      <c r="AA6" s="21"/>
      <c r="AB6" s="8">
        <f t="shared" ref="AB6:AB21" si="4">IF(J6=0,"0",(L6/J6))</f>
        <v>0.99904988123515437</v>
      </c>
      <c r="AC6" s="9">
        <f t="shared" ref="AC6:AC21" si="5">IF(P6=0,"0",(P6/24))</f>
        <v>0.95833333333333337</v>
      </c>
      <c r="AD6" s="10">
        <f t="shared" ref="AD6:AD21" si="6">AC6*AB6*(1-O6)</f>
        <v>0.9574228028503563</v>
      </c>
      <c r="AE6" s="39">
        <f t="shared" ref="AE6:AE21" si="7">$AD$22</f>
        <v>0.39375207992082634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37" t="s">
        <v>746</v>
      </c>
      <c r="D7" s="55" t="s">
        <v>747</v>
      </c>
      <c r="E7" s="57" t="s">
        <v>748</v>
      </c>
      <c r="F7" s="33" t="s">
        <v>749</v>
      </c>
      <c r="G7" s="36">
        <v>2</v>
      </c>
      <c r="H7" s="38">
        <v>25</v>
      </c>
      <c r="I7" s="7">
        <v>2000</v>
      </c>
      <c r="J7" s="5">
        <v>2320</v>
      </c>
      <c r="K7" s="15">
        <f>L7</f>
        <v>2312</v>
      </c>
      <c r="L7" s="15">
        <f>548*2+608*2</f>
        <v>2312</v>
      </c>
      <c r="M7" s="16">
        <f t="shared" si="0"/>
        <v>2312</v>
      </c>
      <c r="N7" s="16">
        <v>0</v>
      </c>
      <c r="O7" s="62">
        <f t="shared" si="1"/>
        <v>0</v>
      </c>
      <c r="P7" s="42">
        <f t="shared" si="2"/>
        <v>8</v>
      </c>
      <c r="Q7" s="43">
        <f t="shared" si="3"/>
        <v>16</v>
      </c>
      <c r="R7" s="7"/>
      <c r="S7" s="6"/>
      <c r="T7" s="17"/>
      <c r="U7" s="17"/>
      <c r="V7" s="18"/>
      <c r="W7" s="19">
        <v>16</v>
      </c>
      <c r="X7" s="17"/>
      <c r="Y7" s="20"/>
      <c r="Z7" s="20"/>
      <c r="AA7" s="21"/>
      <c r="AB7" s="8">
        <f t="shared" si="4"/>
        <v>0.99655172413793103</v>
      </c>
      <c r="AC7" s="9">
        <f t="shared" si="5"/>
        <v>0.33333333333333331</v>
      </c>
      <c r="AD7" s="10">
        <f t="shared" si="6"/>
        <v>0.33218390804597697</v>
      </c>
      <c r="AE7" s="39">
        <f t="shared" si="7"/>
        <v>0.39375207992082634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746</v>
      </c>
      <c r="D8" s="55" t="s">
        <v>750</v>
      </c>
      <c r="E8" s="57" t="s">
        <v>751</v>
      </c>
      <c r="F8" s="33" t="s">
        <v>752</v>
      </c>
      <c r="G8" s="36">
        <v>1</v>
      </c>
      <c r="H8" s="38">
        <v>35</v>
      </c>
      <c r="I8" s="7">
        <v>2000</v>
      </c>
      <c r="J8" s="14">
        <v>2140</v>
      </c>
      <c r="K8" s="15">
        <f>L8</f>
        <v>2135</v>
      </c>
      <c r="L8" s="15">
        <f>977+1158</f>
        <v>2135</v>
      </c>
      <c r="M8" s="16">
        <f t="shared" si="0"/>
        <v>2135</v>
      </c>
      <c r="N8" s="16">
        <v>0</v>
      </c>
      <c r="O8" s="62">
        <f t="shared" si="1"/>
        <v>0</v>
      </c>
      <c r="P8" s="42">
        <f t="shared" si="2"/>
        <v>12</v>
      </c>
      <c r="Q8" s="43">
        <f t="shared" si="3"/>
        <v>12</v>
      </c>
      <c r="R8" s="7"/>
      <c r="S8" s="6"/>
      <c r="T8" s="17"/>
      <c r="U8" s="17"/>
      <c r="V8" s="18"/>
      <c r="W8" s="19">
        <v>12</v>
      </c>
      <c r="X8" s="17"/>
      <c r="Y8" s="20"/>
      <c r="Z8" s="20"/>
      <c r="AA8" s="21"/>
      <c r="AB8" s="8">
        <f t="shared" si="4"/>
        <v>0.99766355140186913</v>
      </c>
      <c r="AC8" s="9">
        <f t="shared" si="5"/>
        <v>0.5</v>
      </c>
      <c r="AD8" s="10">
        <f t="shared" si="6"/>
        <v>0.49883177570093457</v>
      </c>
      <c r="AE8" s="39">
        <f t="shared" si="7"/>
        <v>0.39375207992082634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698</v>
      </c>
      <c r="E9" s="57" t="s">
        <v>699</v>
      </c>
      <c r="F9" s="12" t="s">
        <v>700</v>
      </c>
      <c r="G9" s="12">
        <v>1</v>
      </c>
      <c r="H9" s="13">
        <v>25</v>
      </c>
      <c r="I9" s="34">
        <v>8000</v>
      </c>
      <c r="J9" s="5">
        <v>590</v>
      </c>
      <c r="K9" s="15">
        <f>L9+2849</f>
        <v>3431</v>
      </c>
      <c r="L9" s="15">
        <f>582</f>
        <v>582</v>
      </c>
      <c r="M9" s="16">
        <f t="shared" si="0"/>
        <v>582</v>
      </c>
      <c r="N9" s="16">
        <v>0</v>
      </c>
      <c r="O9" s="62">
        <f t="shared" si="1"/>
        <v>0</v>
      </c>
      <c r="P9" s="42">
        <f t="shared" si="2"/>
        <v>3</v>
      </c>
      <c r="Q9" s="43">
        <f t="shared" si="3"/>
        <v>21</v>
      </c>
      <c r="R9" s="7"/>
      <c r="S9" s="6"/>
      <c r="T9" s="17"/>
      <c r="U9" s="17"/>
      <c r="V9" s="18"/>
      <c r="W9" s="19">
        <v>21</v>
      </c>
      <c r="X9" s="17"/>
      <c r="Y9" s="20"/>
      <c r="Z9" s="20"/>
      <c r="AA9" s="21"/>
      <c r="AB9" s="8">
        <f t="shared" si="4"/>
        <v>0.98644067796610169</v>
      </c>
      <c r="AC9" s="9">
        <f t="shared" si="5"/>
        <v>0.125</v>
      </c>
      <c r="AD9" s="10">
        <f t="shared" si="6"/>
        <v>0.12330508474576271</v>
      </c>
      <c r="AE9" s="39">
        <f t="shared" si="7"/>
        <v>0.39375207992082634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122</v>
      </c>
      <c r="D10" s="55" t="s">
        <v>753</v>
      </c>
      <c r="E10" s="57" t="s">
        <v>754</v>
      </c>
      <c r="F10" s="12" t="s">
        <v>755</v>
      </c>
      <c r="G10" s="12">
        <v>1</v>
      </c>
      <c r="H10" s="13">
        <v>25</v>
      </c>
      <c r="I10" s="34">
        <v>6500</v>
      </c>
      <c r="J10" s="5">
        <v>2220</v>
      </c>
      <c r="K10" s="15">
        <f>L10</f>
        <v>2211</v>
      </c>
      <c r="L10" s="15">
        <f>2211</f>
        <v>2211</v>
      </c>
      <c r="M10" s="16">
        <f t="shared" ref="M10" si="9">L10-N10</f>
        <v>2211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13</v>
      </c>
      <c r="Q10" s="43">
        <f t="shared" ref="Q10" si="12">SUM(R10:AA10)</f>
        <v>11</v>
      </c>
      <c r="R10" s="7"/>
      <c r="S10" s="6">
        <v>11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0.99594594594594599</v>
      </c>
      <c r="AC10" s="9">
        <f t="shared" ref="AC10" si="14">IF(P10=0,"0",(P10/24))</f>
        <v>0.54166666666666663</v>
      </c>
      <c r="AD10" s="10">
        <f t="shared" ref="AD10" si="15">AC10*AB10*(1-O10)</f>
        <v>0.53947072072072066</v>
      </c>
      <c r="AE10" s="39">
        <f t="shared" si="7"/>
        <v>0.39375207992082634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59</v>
      </c>
      <c r="C11" s="37" t="s">
        <v>746</v>
      </c>
      <c r="D11" s="55" t="s">
        <v>756</v>
      </c>
      <c r="E11" s="57" t="s">
        <v>757</v>
      </c>
      <c r="F11" s="12" t="s">
        <v>755</v>
      </c>
      <c r="G11" s="12">
        <v>1</v>
      </c>
      <c r="H11" s="13">
        <v>25</v>
      </c>
      <c r="I11" s="34">
        <v>8400</v>
      </c>
      <c r="J11" s="5">
        <v>3310</v>
      </c>
      <c r="K11" s="15">
        <f>L11</f>
        <v>3307</v>
      </c>
      <c r="L11" s="15">
        <f>952+2355</f>
        <v>3307</v>
      </c>
      <c r="M11" s="16">
        <f t="shared" si="0"/>
        <v>3307</v>
      </c>
      <c r="N11" s="16">
        <v>0</v>
      </c>
      <c r="O11" s="62">
        <f t="shared" si="1"/>
        <v>0</v>
      </c>
      <c r="P11" s="42">
        <f t="shared" si="2"/>
        <v>21</v>
      </c>
      <c r="Q11" s="43">
        <f t="shared" si="3"/>
        <v>3</v>
      </c>
      <c r="R11" s="7"/>
      <c r="S11" s="6">
        <v>3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0.99909365558912389</v>
      </c>
      <c r="AC11" s="9">
        <f t="shared" si="5"/>
        <v>0.875</v>
      </c>
      <c r="AD11" s="10">
        <f t="shared" si="6"/>
        <v>0.87420694864048343</v>
      </c>
      <c r="AE11" s="39">
        <f t="shared" si="7"/>
        <v>0.39375207992082634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122</v>
      </c>
      <c r="D12" s="55" t="s">
        <v>361</v>
      </c>
      <c r="E12" s="56" t="s">
        <v>386</v>
      </c>
      <c r="F12" s="12" t="s">
        <v>367</v>
      </c>
      <c r="G12" s="12">
        <v>1</v>
      </c>
      <c r="H12" s="13">
        <v>25</v>
      </c>
      <c r="I12" s="34">
        <v>5000</v>
      </c>
      <c r="J12" s="14">
        <v>4840</v>
      </c>
      <c r="K12" s="15">
        <f>L12+4062+5380+4839</f>
        <v>14281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0.39375207992082634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746</v>
      </c>
      <c r="D13" s="55" t="s">
        <v>758</v>
      </c>
      <c r="E13" s="57" t="s">
        <v>759</v>
      </c>
      <c r="F13" s="12" t="s">
        <v>760</v>
      </c>
      <c r="G13" s="12">
        <v>1</v>
      </c>
      <c r="H13" s="13">
        <v>25</v>
      </c>
      <c r="I13" s="34">
        <v>8600</v>
      </c>
      <c r="J13" s="5">
        <v>1650</v>
      </c>
      <c r="K13" s="15">
        <f>L13</f>
        <v>1650</v>
      </c>
      <c r="L13" s="15">
        <f>450+1200</f>
        <v>1650</v>
      </c>
      <c r="M13" s="16">
        <f t="shared" si="0"/>
        <v>1650</v>
      </c>
      <c r="N13" s="16">
        <v>0</v>
      </c>
      <c r="O13" s="62">
        <f t="shared" si="1"/>
        <v>0</v>
      </c>
      <c r="P13" s="42">
        <f t="shared" si="2"/>
        <v>9</v>
      </c>
      <c r="Q13" s="43">
        <f t="shared" si="3"/>
        <v>15</v>
      </c>
      <c r="R13" s="7"/>
      <c r="S13" s="6"/>
      <c r="T13" s="17"/>
      <c r="U13" s="17"/>
      <c r="V13" s="18"/>
      <c r="W13" s="19">
        <v>15</v>
      </c>
      <c r="X13" s="17"/>
      <c r="Y13" s="20"/>
      <c r="Z13" s="20"/>
      <c r="AA13" s="21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9">
        <f t="shared" si="7"/>
        <v>0.39375207992082634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761</v>
      </c>
      <c r="D14" s="55" t="s">
        <v>762</v>
      </c>
      <c r="E14" s="57" t="s">
        <v>763</v>
      </c>
      <c r="F14" s="12" t="s">
        <v>760</v>
      </c>
      <c r="G14" s="12">
        <v>1</v>
      </c>
      <c r="H14" s="13">
        <v>25</v>
      </c>
      <c r="I14" s="7">
        <v>1000</v>
      </c>
      <c r="J14" s="14">
        <v>1110</v>
      </c>
      <c r="K14" s="15">
        <f>L14</f>
        <v>1109</v>
      </c>
      <c r="L14" s="15">
        <f>1109</f>
        <v>1109</v>
      </c>
      <c r="M14" s="16">
        <f t="shared" si="0"/>
        <v>1109</v>
      </c>
      <c r="N14" s="16">
        <v>0</v>
      </c>
      <c r="O14" s="62">
        <f t="shared" si="1"/>
        <v>0</v>
      </c>
      <c r="P14" s="42">
        <f t="shared" si="2"/>
        <v>7</v>
      </c>
      <c r="Q14" s="43">
        <f t="shared" si="3"/>
        <v>17</v>
      </c>
      <c r="R14" s="7"/>
      <c r="S14" s="6"/>
      <c r="T14" s="17"/>
      <c r="U14" s="17"/>
      <c r="V14" s="18"/>
      <c r="W14" s="19">
        <v>17</v>
      </c>
      <c r="X14" s="17"/>
      <c r="Y14" s="20"/>
      <c r="Z14" s="20"/>
      <c r="AA14" s="21"/>
      <c r="AB14" s="8">
        <f t="shared" si="4"/>
        <v>0.99909909909909911</v>
      </c>
      <c r="AC14" s="9">
        <f t="shared" si="5"/>
        <v>0.29166666666666669</v>
      </c>
      <c r="AD14" s="10">
        <f t="shared" si="6"/>
        <v>0.29140390390390392</v>
      </c>
      <c r="AE14" s="39">
        <f t="shared" si="7"/>
        <v>0.39375207992082634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703</v>
      </c>
      <c r="D15" s="55" t="s">
        <v>704</v>
      </c>
      <c r="E15" s="57" t="s">
        <v>725</v>
      </c>
      <c r="F15" s="33" t="s">
        <v>705</v>
      </c>
      <c r="G15" s="36">
        <v>1</v>
      </c>
      <c r="H15" s="38">
        <v>35</v>
      </c>
      <c r="I15" s="7">
        <v>500</v>
      </c>
      <c r="J15" s="5">
        <v>877</v>
      </c>
      <c r="K15" s="15">
        <f>L15+877</f>
        <v>877</v>
      </c>
      <c r="L15" s="15">
        <v>0</v>
      </c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0.39375207992082634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293</v>
      </c>
      <c r="D16" s="55" t="s">
        <v>294</v>
      </c>
      <c r="E16" s="57"/>
      <c r="F16" s="12" t="s">
        <v>295</v>
      </c>
      <c r="G16" s="12">
        <v>3</v>
      </c>
      <c r="H16" s="13">
        <v>12</v>
      </c>
      <c r="I16" s="34">
        <v>60000</v>
      </c>
      <c r="J16" s="5">
        <v>25070</v>
      </c>
      <c r="K16" s="15">
        <f>L16+23046+22200+25068</f>
        <v>70314</v>
      </c>
      <c r="L16" s="15">
        <v>0</v>
      </c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0.39375207992082634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135</v>
      </c>
      <c r="D17" s="55" t="s">
        <v>509</v>
      </c>
      <c r="E17" s="56" t="s">
        <v>588</v>
      </c>
      <c r="F17" s="12">
        <v>7301</v>
      </c>
      <c r="G17" s="36">
        <v>1</v>
      </c>
      <c r="H17" s="38">
        <v>25</v>
      </c>
      <c r="I17" s="7">
        <v>60000</v>
      </c>
      <c r="J17" s="14">
        <v>4410</v>
      </c>
      <c r="K17" s="15">
        <f>L17+2811+5412+5384+3882</f>
        <v>21892</v>
      </c>
      <c r="L17" s="15">
        <f>2696+1707</f>
        <v>4403</v>
      </c>
      <c r="M17" s="16">
        <f t="shared" si="0"/>
        <v>4403</v>
      </c>
      <c r="N17" s="16">
        <v>0</v>
      </c>
      <c r="O17" s="62">
        <f t="shared" si="1"/>
        <v>0</v>
      </c>
      <c r="P17" s="42">
        <f t="shared" si="2"/>
        <v>23</v>
      </c>
      <c r="Q17" s="43">
        <f t="shared" si="3"/>
        <v>1</v>
      </c>
      <c r="R17" s="7"/>
      <c r="S17" s="6"/>
      <c r="T17" s="17"/>
      <c r="U17" s="17"/>
      <c r="V17" s="18">
        <v>1</v>
      </c>
      <c r="W17" s="19"/>
      <c r="X17" s="17"/>
      <c r="Y17" s="20"/>
      <c r="Z17" s="20"/>
      <c r="AA17" s="21"/>
      <c r="AB17" s="8">
        <f t="shared" si="4"/>
        <v>0.99841269841269842</v>
      </c>
      <c r="AC17" s="9">
        <f t="shared" si="5"/>
        <v>0.95833333333333337</v>
      </c>
      <c r="AD17" s="10">
        <f t="shared" si="6"/>
        <v>0.95681216931216939</v>
      </c>
      <c r="AE17" s="39">
        <f t="shared" si="7"/>
        <v>0.39375207992082634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467</v>
      </c>
      <c r="E18" s="56" t="s">
        <v>468</v>
      </c>
      <c r="F18" s="12">
        <v>8301</v>
      </c>
      <c r="G18" s="12">
        <v>1</v>
      </c>
      <c r="H18" s="13">
        <v>25</v>
      </c>
      <c r="I18" s="34">
        <v>2000</v>
      </c>
      <c r="J18" s="5">
        <v>3040</v>
      </c>
      <c r="K18" s="15">
        <f>L18+3032</f>
        <v>3032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0.39375207992082634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276</v>
      </c>
      <c r="E19" s="56" t="s">
        <v>631</v>
      </c>
      <c r="F19" s="33" t="s">
        <v>229</v>
      </c>
      <c r="G19" s="36">
        <v>1</v>
      </c>
      <c r="H19" s="38">
        <v>25</v>
      </c>
      <c r="I19" s="7">
        <v>300</v>
      </c>
      <c r="J19" s="5">
        <v>350</v>
      </c>
      <c r="K19" s="15">
        <f>L19+350</f>
        <v>350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0.39375207992082634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135</v>
      </c>
      <c r="D20" s="55" t="s">
        <v>58</v>
      </c>
      <c r="E20" s="57" t="s">
        <v>590</v>
      </c>
      <c r="F20" s="33" t="s">
        <v>591</v>
      </c>
      <c r="G20" s="36">
        <v>1</v>
      </c>
      <c r="H20" s="38">
        <v>25</v>
      </c>
      <c r="I20" s="34">
        <v>60000</v>
      </c>
      <c r="J20" s="5">
        <v>4170</v>
      </c>
      <c r="K20" s="15">
        <f>L20+2028+3807+3338+3450</f>
        <v>16790</v>
      </c>
      <c r="L20" s="15">
        <f>2585+1582</f>
        <v>4167</v>
      </c>
      <c r="M20" s="16">
        <f t="shared" si="0"/>
        <v>4167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>
        <v>1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0.99928057553956839</v>
      </c>
      <c r="AC20" s="9">
        <f t="shared" si="5"/>
        <v>0.95833333333333337</v>
      </c>
      <c r="AD20" s="10">
        <f t="shared" si="6"/>
        <v>0.95764388489208641</v>
      </c>
      <c r="AE20" s="39">
        <f t="shared" si="7"/>
        <v>0.39375207992082634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764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39180</v>
      </c>
      <c r="K21" s="15">
        <f>L21</f>
        <v>0</v>
      </c>
      <c r="L21" s="15">
        <v>0</v>
      </c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0.39375207992082634</v>
      </c>
      <c r="AF21" s="94">
        <f t="shared" si="8"/>
        <v>15</v>
      </c>
    </row>
    <row r="22" spans="1:32" ht="31.5" customHeight="1" thickBot="1">
      <c r="A22" s="386" t="s">
        <v>34</v>
      </c>
      <c r="B22" s="387"/>
      <c r="C22" s="387"/>
      <c r="D22" s="387"/>
      <c r="E22" s="387"/>
      <c r="F22" s="387"/>
      <c r="G22" s="387"/>
      <c r="H22" s="388"/>
      <c r="I22" s="25">
        <f t="shared" ref="I22:N22" si="17">SUM(I6:I21)</f>
        <v>484300</v>
      </c>
      <c r="J22" s="22">
        <f t="shared" si="17"/>
        <v>99487</v>
      </c>
      <c r="K22" s="23">
        <f t="shared" si="17"/>
        <v>161307</v>
      </c>
      <c r="L22" s="24">
        <f t="shared" si="17"/>
        <v>26082</v>
      </c>
      <c r="M22" s="23">
        <f t="shared" si="17"/>
        <v>26082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142</v>
      </c>
      <c r="Q22" s="46">
        <f t="shared" si="18"/>
        <v>242</v>
      </c>
      <c r="R22" s="26">
        <f t="shared" si="18"/>
        <v>0</v>
      </c>
      <c r="S22" s="27">
        <f t="shared" si="18"/>
        <v>39</v>
      </c>
      <c r="T22" s="27">
        <f t="shared" si="18"/>
        <v>0</v>
      </c>
      <c r="U22" s="27">
        <f t="shared" si="18"/>
        <v>0</v>
      </c>
      <c r="V22" s="28">
        <f t="shared" si="18"/>
        <v>2</v>
      </c>
      <c r="W22" s="29">
        <f t="shared" si="18"/>
        <v>201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0.66476918728849943</v>
      </c>
      <c r="AC22" s="4">
        <f>SUM(AC6:AC21)/15</f>
        <v>0.39444444444444443</v>
      </c>
      <c r="AD22" s="4">
        <f>SUM(AD6:AD21)/15</f>
        <v>0.39375207992082634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9" t="s">
        <v>46</v>
      </c>
      <c r="B49" s="389"/>
      <c r="C49" s="389"/>
      <c r="D49" s="389"/>
      <c r="E49" s="38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90" t="s">
        <v>765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2"/>
      <c r="N50" s="393" t="s">
        <v>778</v>
      </c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/>
      <c r="AC50" s="394"/>
      <c r="AD50" s="395"/>
    </row>
    <row r="51" spans="1:32" ht="27" customHeight="1">
      <c r="A51" s="396" t="s">
        <v>2</v>
      </c>
      <c r="B51" s="397"/>
      <c r="C51" s="292" t="s">
        <v>47</v>
      </c>
      <c r="D51" s="292" t="s">
        <v>48</v>
      </c>
      <c r="E51" s="292" t="s">
        <v>113</v>
      </c>
      <c r="F51" s="397" t="s">
        <v>112</v>
      </c>
      <c r="G51" s="397"/>
      <c r="H51" s="397"/>
      <c r="I51" s="397"/>
      <c r="J51" s="397"/>
      <c r="K51" s="397"/>
      <c r="L51" s="397"/>
      <c r="M51" s="398"/>
      <c r="N51" s="73" t="s">
        <v>117</v>
      </c>
      <c r="O51" s="292" t="s">
        <v>47</v>
      </c>
      <c r="P51" s="399" t="s">
        <v>48</v>
      </c>
      <c r="Q51" s="400"/>
      <c r="R51" s="399" t="s">
        <v>39</v>
      </c>
      <c r="S51" s="401"/>
      <c r="T51" s="401"/>
      <c r="U51" s="400"/>
      <c r="V51" s="399" t="s">
        <v>49</v>
      </c>
      <c r="W51" s="401"/>
      <c r="X51" s="401"/>
      <c r="Y51" s="401"/>
      <c r="Z51" s="401"/>
      <c r="AA51" s="401"/>
      <c r="AB51" s="401"/>
      <c r="AC51" s="401"/>
      <c r="AD51" s="402"/>
    </row>
    <row r="52" spans="1:32" ht="27" customHeight="1">
      <c r="A52" s="413" t="s">
        <v>707</v>
      </c>
      <c r="B52" s="414"/>
      <c r="C52" s="291" t="s">
        <v>766</v>
      </c>
      <c r="D52" s="288" t="s">
        <v>767</v>
      </c>
      <c r="E52" s="291" t="s">
        <v>748</v>
      </c>
      <c r="F52" s="415" t="s">
        <v>774</v>
      </c>
      <c r="G52" s="415"/>
      <c r="H52" s="415"/>
      <c r="I52" s="415"/>
      <c r="J52" s="415"/>
      <c r="K52" s="415"/>
      <c r="L52" s="415"/>
      <c r="M52" s="416"/>
      <c r="N52" s="287" t="s">
        <v>727</v>
      </c>
      <c r="O52" s="74" t="s">
        <v>728</v>
      </c>
      <c r="P52" s="417" t="s">
        <v>750</v>
      </c>
      <c r="Q52" s="418"/>
      <c r="R52" s="419" t="s">
        <v>783</v>
      </c>
      <c r="S52" s="419"/>
      <c r="T52" s="419"/>
      <c r="U52" s="419"/>
      <c r="V52" s="415" t="s">
        <v>678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707</v>
      </c>
      <c r="B53" s="414"/>
      <c r="C53" s="291" t="s">
        <v>768</v>
      </c>
      <c r="D53" s="288" t="s">
        <v>769</v>
      </c>
      <c r="E53" s="291" t="s">
        <v>751</v>
      </c>
      <c r="F53" s="415" t="s">
        <v>774</v>
      </c>
      <c r="G53" s="415"/>
      <c r="H53" s="415"/>
      <c r="I53" s="415"/>
      <c r="J53" s="415"/>
      <c r="K53" s="415"/>
      <c r="L53" s="415"/>
      <c r="M53" s="416"/>
      <c r="N53" s="287" t="s">
        <v>122</v>
      </c>
      <c r="O53" s="74" t="s">
        <v>772</v>
      </c>
      <c r="P53" s="419" t="s">
        <v>735</v>
      </c>
      <c r="Q53" s="419"/>
      <c r="R53" s="419" t="s">
        <v>736</v>
      </c>
      <c r="S53" s="419"/>
      <c r="T53" s="419"/>
      <c r="U53" s="419"/>
      <c r="V53" s="415" t="s">
        <v>784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135</v>
      </c>
      <c r="B54" s="414"/>
      <c r="C54" s="291" t="s">
        <v>599</v>
      </c>
      <c r="D54" s="288" t="s">
        <v>58</v>
      </c>
      <c r="E54" s="291" t="s">
        <v>590</v>
      </c>
      <c r="F54" s="415" t="s">
        <v>770</v>
      </c>
      <c r="G54" s="415"/>
      <c r="H54" s="415"/>
      <c r="I54" s="415"/>
      <c r="J54" s="415"/>
      <c r="K54" s="415"/>
      <c r="L54" s="415"/>
      <c r="M54" s="416"/>
      <c r="N54" s="287" t="s">
        <v>122</v>
      </c>
      <c r="O54" s="74" t="s">
        <v>711</v>
      </c>
      <c r="P54" s="419" t="s">
        <v>735</v>
      </c>
      <c r="Q54" s="419"/>
      <c r="R54" s="419" t="s">
        <v>785</v>
      </c>
      <c r="S54" s="419"/>
      <c r="T54" s="419"/>
      <c r="U54" s="419"/>
      <c r="V54" s="415" t="s">
        <v>786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771</v>
      </c>
      <c r="B55" s="414"/>
      <c r="C55" s="291" t="s">
        <v>772</v>
      </c>
      <c r="D55" s="288" t="s">
        <v>773</v>
      </c>
      <c r="E55" s="291" t="s">
        <v>759</v>
      </c>
      <c r="F55" s="415" t="s">
        <v>775</v>
      </c>
      <c r="G55" s="415"/>
      <c r="H55" s="415"/>
      <c r="I55" s="415"/>
      <c r="J55" s="415"/>
      <c r="K55" s="415"/>
      <c r="L55" s="415"/>
      <c r="M55" s="416"/>
      <c r="N55" s="287" t="s">
        <v>122</v>
      </c>
      <c r="O55" s="74" t="s">
        <v>787</v>
      </c>
      <c r="P55" s="417" t="s">
        <v>788</v>
      </c>
      <c r="Q55" s="418"/>
      <c r="R55" s="419" t="s">
        <v>789</v>
      </c>
      <c r="S55" s="419"/>
      <c r="T55" s="419"/>
      <c r="U55" s="419"/>
      <c r="V55" s="415" t="s">
        <v>786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122</v>
      </c>
      <c r="B56" s="414"/>
      <c r="C56" s="291" t="s">
        <v>776</v>
      </c>
      <c r="D56" s="288" t="s">
        <v>753</v>
      </c>
      <c r="E56" s="291" t="s">
        <v>757</v>
      </c>
      <c r="F56" s="415" t="s">
        <v>774</v>
      </c>
      <c r="G56" s="415"/>
      <c r="H56" s="415"/>
      <c r="I56" s="415"/>
      <c r="J56" s="415"/>
      <c r="K56" s="415"/>
      <c r="L56" s="415"/>
      <c r="M56" s="416"/>
      <c r="N56" s="287" t="s">
        <v>718</v>
      </c>
      <c r="O56" s="74" t="s">
        <v>723</v>
      </c>
      <c r="P56" s="417" t="s">
        <v>730</v>
      </c>
      <c r="Q56" s="418"/>
      <c r="R56" s="419" t="s">
        <v>740</v>
      </c>
      <c r="S56" s="419"/>
      <c r="T56" s="419"/>
      <c r="U56" s="419"/>
      <c r="V56" s="415" t="s">
        <v>784</v>
      </c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13" t="s">
        <v>746</v>
      </c>
      <c r="B57" s="414"/>
      <c r="C57" s="291" t="s">
        <v>777</v>
      </c>
      <c r="D57" s="288" t="s">
        <v>753</v>
      </c>
      <c r="E57" s="291" t="s">
        <v>754</v>
      </c>
      <c r="F57" s="415" t="s">
        <v>774</v>
      </c>
      <c r="G57" s="415"/>
      <c r="H57" s="415"/>
      <c r="I57" s="415"/>
      <c r="J57" s="415"/>
      <c r="K57" s="415"/>
      <c r="L57" s="415"/>
      <c r="M57" s="416"/>
      <c r="N57" s="287" t="s">
        <v>779</v>
      </c>
      <c r="O57" s="74" t="s">
        <v>780</v>
      </c>
      <c r="P57" s="419" t="s">
        <v>781</v>
      </c>
      <c r="Q57" s="419"/>
      <c r="R57" s="419"/>
      <c r="S57" s="419"/>
      <c r="T57" s="419"/>
      <c r="U57" s="419"/>
      <c r="V57" s="415" t="s">
        <v>804</v>
      </c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20" t="s">
        <v>779</v>
      </c>
      <c r="B58" s="419"/>
      <c r="C58" s="288" t="s">
        <v>780</v>
      </c>
      <c r="D58" s="288" t="s">
        <v>781</v>
      </c>
      <c r="E58" s="291"/>
      <c r="F58" s="415" t="s">
        <v>782</v>
      </c>
      <c r="G58" s="415"/>
      <c r="H58" s="415"/>
      <c r="I58" s="415"/>
      <c r="J58" s="415"/>
      <c r="K58" s="415"/>
      <c r="L58" s="415"/>
      <c r="M58" s="416"/>
      <c r="N58" s="287"/>
      <c r="O58" s="74"/>
      <c r="P58" s="417"/>
      <c r="Q58" s="418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13"/>
      <c r="B59" s="414"/>
      <c r="C59" s="291"/>
      <c r="D59" s="288"/>
      <c r="E59" s="291"/>
      <c r="F59" s="415"/>
      <c r="G59" s="415"/>
      <c r="H59" s="415"/>
      <c r="I59" s="415"/>
      <c r="J59" s="415"/>
      <c r="K59" s="415"/>
      <c r="L59" s="415"/>
      <c r="M59" s="416"/>
      <c r="N59" s="287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20"/>
      <c r="B60" s="419"/>
      <c r="C60" s="288"/>
      <c r="D60" s="288"/>
      <c r="E60" s="288"/>
      <c r="F60" s="415"/>
      <c r="G60" s="415"/>
      <c r="H60" s="415"/>
      <c r="I60" s="415"/>
      <c r="J60" s="415"/>
      <c r="K60" s="415"/>
      <c r="L60" s="415"/>
      <c r="M60" s="416"/>
      <c r="N60" s="287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  <c r="AF60" s="94">
        <f>8*3000</f>
        <v>24000</v>
      </c>
    </row>
    <row r="61" spans="1:32" ht="27" customHeight="1" thickBot="1">
      <c r="A61" s="421"/>
      <c r="B61" s="422"/>
      <c r="C61" s="290"/>
      <c r="D61" s="290"/>
      <c r="E61" s="290"/>
      <c r="F61" s="423"/>
      <c r="G61" s="423"/>
      <c r="H61" s="423"/>
      <c r="I61" s="423"/>
      <c r="J61" s="423"/>
      <c r="K61" s="423"/>
      <c r="L61" s="423"/>
      <c r="M61" s="424"/>
      <c r="N61" s="289"/>
      <c r="O61" s="121"/>
      <c r="P61" s="422"/>
      <c r="Q61" s="422"/>
      <c r="R61" s="422"/>
      <c r="S61" s="422"/>
      <c r="T61" s="422"/>
      <c r="U61" s="422"/>
      <c r="V61" s="423"/>
      <c r="W61" s="423"/>
      <c r="X61" s="423"/>
      <c r="Y61" s="423"/>
      <c r="Z61" s="423"/>
      <c r="AA61" s="423"/>
      <c r="AB61" s="423"/>
      <c r="AC61" s="423"/>
      <c r="AD61" s="424"/>
      <c r="AF61" s="94">
        <f>16*3000</f>
        <v>48000</v>
      </c>
    </row>
    <row r="62" spans="1:32" ht="27.75" thickBot="1">
      <c r="A62" s="425" t="s">
        <v>790</v>
      </c>
      <c r="B62" s="425"/>
      <c r="C62" s="425"/>
      <c r="D62" s="425"/>
      <c r="E62" s="425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6" t="s">
        <v>118</v>
      </c>
      <c r="B63" s="427"/>
      <c r="C63" s="286" t="s">
        <v>2</v>
      </c>
      <c r="D63" s="286" t="s">
        <v>38</v>
      </c>
      <c r="E63" s="286" t="s">
        <v>3</v>
      </c>
      <c r="F63" s="427" t="s">
        <v>115</v>
      </c>
      <c r="G63" s="427"/>
      <c r="H63" s="427"/>
      <c r="I63" s="427"/>
      <c r="J63" s="427"/>
      <c r="K63" s="427" t="s">
        <v>40</v>
      </c>
      <c r="L63" s="427"/>
      <c r="M63" s="286" t="s">
        <v>41</v>
      </c>
      <c r="N63" s="427" t="s">
        <v>42</v>
      </c>
      <c r="O63" s="427"/>
      <c r="P63" s="428" t="s">
        <v>43</v>
      </c>
      <c r="Q63" s="429"/>
      <c r="R63" s="428" t="s">
        <v>44</v>
      </c>
      <c r="S63" s="430"/>
      <c r="T63" s="430"/>
      <c r="U63" s="430"/>
      <c r="V63" s="430"/>
      <c r="W63" s="430"/>
      <c r="X63" s="430"/>
      <c r="Y63" s="430"/>
      <c r="Z63" s="430"/>
      <c r="AA63" s="429"/>
      <c r="AB63" s="427" t="s">
        <v>45</v>
      </c>
      <c r="AC63" s="427"/>
      <c r="AD63" s="431"/>
      <c r="AF63" s="94">
        <f>SUM(AF60:AF62)</f>
        <v>96000</v>
      </c>
    </row>
    <row r="64" spans="1:32" ht="26.25" customHeight="1">
      <c r="A64" s="432">
        <v>1</v>
      </c>
      <c r="B64" s="433"/>
      <c r="C64" s="123" t="s">
        <v>180</v>
      </c>
      <c r="D64" s="282"/>
      <c r="E64" s="284" t="s">
        <v>791</v>
      </c>
      <c r="F64" s="434" t="s">
        <v>792</v>
      </c>
      <c r="G64" s="434"/>
      <c r="H64" s="434"/>
      <c r="I64" s="434"/>
      <c r="J64" s="434"/>
      <c r="K64" s="435" t="s">
        <v>793</v>
      </c>
      <c r="L64" s="436"/>
      <c r="M64" s="54" t="s">
        <v>794</v>
      </c>
      <c r="N64" s="434">
        <v>6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2</v>
      </c>
      <c r="B65" s="433"/>
      <c r="C65" s="123" t="s">
        <v>795</v>
      </c>
      <c r="D65" s="282"/>
      <c r="E65" s="284" t="s">
        <v>796</v>
      </c>
      <c r="F65" s="434" t="s">
        <v>797</v>
      </c>
      <c r="G65" s="434"/>
      <c r="H65" s="434"/>
      <c r="I65" s="434"/>
      <c r="J65" s="434"/>
      <c r="K65" s="434" t="s">
        <v>798</v>
      </c>
      <c r="L65" s="434"/>
      <c r="M65" s="54" t="s">
        <v>794</v>
      </c>
      <c r="N65" s="434">
        <v>12</v>
      </c>
      <c r="O65" s="434"/>
      <c r="P65" s="437">
        <v>50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3</v>
      </c>
      <c r="B66" s="433"/>
      <c r="C66" s="123" t="s">
        <v>746</v>
      </c>
      <c r="D66" s="282"/>
      <c r="E66" s="284" t="s">
        <v>773</v>
      </c>
      <c r="F66" s="434" t="s">
        <v>799</v>
      </c>
      <c r="G66" s="434"/>
      <c r="H66" s="434"/>
      <c r="I66" s="434"/>
      <c r="J66" s="434"/>
      <c r="K66" s="434" t="s">
        <v>800</v>
      </c>
      <c r="L66" s="434"/>
      <c r="M66" s="54" t="s">
        <v>794</v>
      </c>
      <c r="N66" s="434">
        <v>13</v>
      </c>
      <c r="O66" s="434"/>
      <c r="P66" s="437">
        <v>30</v>
      </c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4</v>
      </c>
      <c r="B67" s="433"/>
      <c r="C67" s="123" t="s">
        <v>746</v>
      </c>
      <c r="D67" s="282"/>
      <c r="E67" s="284" t="s">
        <v>801</v>
      </c>
      <c r="F67" s="434" t="s">
        <v>754</v>
      </c>
      <c r="G67" s="434"/>
      <c r="H67" s="434"/>
      <c r="I67" s="434"/>
      <c r="J67" s="434"/>
      <c r="K67" s="434" t="s">
        <v>802</v>
      </c>
      <c r="L67" s="434"/>
      <c r="M67" s="54" t="s">
        <v>794</v>
      </c>
      <c r="N67" s="434">
        <v>13</v>
      </c>
      <c r="O67" s="434"/>
      <c r="P67" s="437">
        <v>30</v>
      </c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5</v>
      </c>
      <c r="B68" s="433"/>
      <c r="C68" s="123" t="s">
        <v>746</v>
      </c>
      <c r="D68" s="282"/>
      <c r="E68" s="284" t="s">
        <v>758</v>
      </c>
      <c r="F68" s="434" t="s">
        <v>803</v>
      </c>
      <c r="G68" s="434"/>
      <c r="H68" s="434"/>
      <c r="I68" s="434"/>
      <c r="J68" s="434"/>
      <c r="K68" s="434" t="s">
        <v>800</v>
      </c>
      <c r="L68" s="434"/>
      <c r="M68" s="54" t="s">
        <v>794</v>
      </c>
      <c r="N68" s="434">
        <v>13</v>
      </c>
      <c r="O68" s="434"/>
      <c r="P68" s="437">
        <v>50</v>
      </c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6</v>
      </c>
      <c r="B69" s="433"/>
      <c r="C69" s="123"/>
      <c r="D69" s="282"/>
      <c r="E69" s="284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7</v>
      </c>
      <c r="B70" s="433"/>
      <c r="C70" s="123"/>
      <c r="D70" s="282"/>
      <c r="E70" s="284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8</v>
      </c>
      <c r="B71" s="433"/>
      <c r="C71" s="123"/>
      <c r="D71" s="282"/>
      <c r="E71" s="284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 thickBot="1">
      <c r="A72" s="439" t="s">
        <v>805</v>
      </c>
      <c r="B72" s="439"/>
      <c r="C72" s="439"/>
      <c r="D72" s="439"/>
      <c r="E72" s="439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40" t="s">
        <v>118</v>
      </c>
      <c r="B73" s="441"/>
      <c r="C73" s="285" t="s">
        <v>2</v>
      </c>
      <c r="D73" s="285" t="s">
        <v>38</v>
      </c>
      <c r="E73" s="285" t="s">
        <v>3</v>
      </c>
      <c r="F73" s="441" t="s">
        <v>39</v>
      </c>
      <c r="G73" s="441"/>
      <c r="H73" s="441"/>
      <c r="I73" s="441"/>
      <c r="J73" s="441"/>
      <c r="K73" s="442" t="s">
        <v>60</v>
      </c>
      <c r="L73" s="443"/>
      <c r="M73" s="443"/>
      <c r="N73" s="443"/>
      <c r="O73" s="443"/>
      <c r="P73" s="443"/>
      <c r="Q73" s="443"/>
      <c r="R73" s="443"/>
      <c r="S73" s="444"/>
      <c r="T73" s="441" t="s">
        <v>50</v>
      </c>
      <c r="U73" s="441"/>
      <c r="V73" s="442" t="s">
        <v>51</v>
      </c>
      <c r="W73" s="444"/>
      <c r="X73" s="443" t="s">
        <v>52</v>
      </c>
      <c r="Y73" s="443"/>
      <c r="Z73" s="443"/>
      <c r="AA73" s="443"/>
      <c r="AB73" s="443"/>
      <c r="AC73" s="443"/>
      <c r="AD73" s="445"/>
      <c r="AF73" s="53"/>
    </row>
    <row r="74" spans="1:32" ht="33.75" customHeight="1">
      <c r="A74" s="454">
        <v>1</v>
      </c>
      <c r="B74" s="455"/>
      <c r="C74" s="283" t="s">
        <v>62</v>
      </c>
      <c r="D74" s="283"/>
      <c r="E74" s="71" t="s">
        <v>58</v>
      </c>
      <c r="F74" s="456" t="s">
        <v>63</v>
      </c>
      <c r="G74" s="457"/>
      <c r="H74" s="457"/>
      <c r="I74" s="457"/>
      <c r="J74" s="458"/>
      <c r="K74" s="459" t="s">
        <v>61</v>
      </c>
      <c r="L74" s="460"/>
      <c r="M74" s="460"/>
      <c r="N74" s="460"/>
      <c r="O74" s="460"/>
      <c r="P74" s="460"/>
      <c r="Q74" s="460"/>
      <c r="R74" s="460"/>
      <c r="S74" s="461"/>
      <c r="T74" s="462">
        <v>41791</v>
      </c>
      <c r="U74" s="463"/>
      <c r="V74" s="464"/>
      <c r="W74" s="464"/>
      <c r="X74" s="465"/>
      <c r="Y74" s="465"/>
      <c r="Z74" s="465"/>
      <c r="AA74" s="465"/>
      <c r="AB74" s="465"/>
      <c r="AC74" s="465"/>
      <c r="AD74" s="466"/>
      <c r="AF74" s="53"/>
    </row>
    <row r="75" spans="1:32" ht="30" customHeight="1">
      <c r="A75" s="446">
        <f>A74+1</f>
        <v>2</v>
      </c>
      <c r="B75" s="447"/>
      <c r="C75" s="282" t="s">
        <v>135</v>
      </c>
      <c r="D75" s="282"/>
      <c r="E75" s="35" t="s">
        <v>121</v>
      </c>
      <c r="F75" s="447" t="s">
        <v>274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42779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ref="A76:A82" si="19">A75+1</f>
        <v>3</v>
      </c>
      <c r="B76" s="447"/>
      <c r="C76" s="282" t="s">
        <v>62</v>
      </c>
      <c r="D76" s="282"/>
      <c r="E76" s="35" t="s">
        <v>121</v>
      </c>
      <c r="F76" s="447" t="s">
        <v>127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9"/>
        <v>4</v>
      </c>
      <c r="B77" s="447"/>
      <c r="C77" s="282" t="s">
        <v>62</v>
      </c>
      <c r="D77" s="282"/>
      <c r="E77" s="35" t="s">
        <v>121</v>
      </c>
      <c r="F77" s="447" t="s">
        <v>126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9"/>
        <v>5</v>
      </c>
      <c r="B78" s="447"/>
      <c r="C78" s="282" t="s">
        <v>62</v>
      </c>
      <c r="D78" s="282"/>
      <c r="E78" s="35" t="s">
        <v>58</v>
      </c>
      <c r="F78" s="447" t="s">
        <v>128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9"/>
        <v>6</v>
      </c>
      <c r="B79" s="447"/>
      <c r="C79" s="282" t="s">
        <v>135</v>
      </c>
      <c r="D79" s="282"/>
      <c r="E79" s="35" t="s">
        <v>121</v>
      </c>
      <c r="F79" s="447" t="s">
        <v>149</v>
      </c>
      <c r="G79" s="447"/>
      <c r="H79" s="447"/>
      <c r="I79" s="447"/>
      <c r="J79" s="447"/>
      <c r="K79" s="448" t="s">
        <v>133</v>
      </c>
      <c r="L79" s="449"/>
      <c r="M79" s="449"/>
      <c r="N79" s="449"/>
      <c r="O79" s="449"/>
      <c r="P79" s="449"/>
      <c r="Q79" s="449"/>
      <c r="R79" s="449"/>
      <c r="S79" s="450"/>
      <c r="T79" s="451">
        <v>42770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9"/>
        <v>7</v>
      </c>
      <c r="B80" s="447"/>
      <c r="C80" s="282"/>
      <c r="D80" s="282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9"/>
        <v>8</v>
      </c>
      <c r="B81" s="447"/>
      <c r="C81" s="282"/>
      <c r="D81" s="282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19"/>
        <v>9</v>
      </c>
      <c r="B82" s="447"/>
      <c r="C82" s="282"/>
      <c r="D82" s="282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6" thickBot="1">
      <c r="A83" s="439" t="s">
        <v>806</v>
      </c>
      <c r="B83" s="439"/>
      <c r="C83" s="439"/>
      <c r="D83" s="439"/>
      <c r="E83" s="439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7" t="s">
        <v>37</v>
      </c>
      <c r="B84" s="468"/>
      <c r="C84" s="468" t="s">
        <v>53</v>
      </c>
      <c r="D84" s="468"/>
      <c r="E84" s="468" t="s">
        <v>54</v>
      </c>
      <c r="F84" s="468"/>
      <c r="G84" s="468"/>
      <c r="H84" s="468"/>
      <c r="I84" s="468"/>
      <c r="J84" s="468"/>
      <c r="K84" s="468" t="s">
        <v>55</v>
      </c>
      <c r="L84" s="468"/>
      <c r="M84" s="468"/>
      <c r="N84" s="468"/>
      <c r="O84" s="468"/>
      <c r="P84" s="468"/>
      <c r="Q84" s="468"/>
      <c r="R84" s="468"/>
      <c r="S84" s="468"/>
      <c r="T84" s="468" t="s">
        <v>56</v>
      </c>
      <c r="U84" s="468"/>
      <c r="V84" s="468" t="s">
        <v>57</v>
      </c>
      <c r="W84" s="468"/>
      <c r="X84" s="468"/>
      <c r="Y84" s="468" t="s">
        <v>52</v>
      </c>
      <c r="Z84" s="468"/>
      <c r="AA84" s="468"/>
      <c r="AB84" s="468"/>
      <c r="AC84" s="468"/>
      <c r="AD84" s="469"/>
      <c r="AF84" s="53"/>
    </row>
    <row r="85" spans="1:32" ht="30.75" customHeight="1">
      <c r="A85" s="470">
        <v>1</v>
      </c>
      <c r="B85" s="471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>
      <c r="A86" s="446">
        <v>2</v>
      </c>
      <c r="B86" s="447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 thickBot="1">
      <c r="A87" s="476">
        <v>3</v>
      </c>
      <c r="B87" s="477"/>
      <c r="C87" s="477"/>
      <c r="D87" s="477"/>
      <c r="E87" s="477"/>
      <c r="F87" s="477"/>
      <c r="G87" s="477"/>
      <c r="H87" s="477"/>
      <c r="I87" s="477"/>
      <c r="J87" s="477"/>
      <c r="K87" s="477"/>
      <c r="L87" s="477"/>
      <c r="M87" s="477"/>
      <c r="N87" s="477"/>
      <c r="O87" s="477"/>
      <c r="P87" s="477"/>
      <c r="Q87" s="477"/>
      <c r="R87" s="477"/>
      <c r="S87" s="477"/>
      <c r="T87" s="477"/>
      <c r="U87" s="477"/>
      <c r="V87" s="477"/>
      <c r="W87" s="477"/>
      <c r="X87" s="477"/>
      <c r="Y87" s="478"/>
      <c r="Z87" s="478"/>
      <c r="AA87" s="478"/>
      <c r="AB87" s="478"/>
      <c r="AC87" s="478"/>
      <c r="AD87" s="479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6" zoomScale="72" zoomScaleNormal="72" zoomScaleSheetLayoutView="70" workbookViewId="0">
      <selection activeCell="C64" sqref="C64:Q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807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624</v>
      </c>
      <c r="F6" s="12" t="s">
        <v>292</v>
      </c>
      <c r="G6" s="36">
        <v>1</v>
      </c>
      <c r="H6" s="38">
        <v>25</v>
      </c>
      <c r="I6" s="7">
        <v>60000</v>
      </c>
      <c r="J6" s="14">
        <v>4870</v>
      </c>
      <c r="K6" s="15">
        <f>L6+3451+4945+5014+4206</f>
        <v>22486</v>
      </c>
      <c r="L6" s="15">
        <f>2420+2450</f>
        <v>4870</v>
      </c>
      <c r="M6" s="16">
        <f t="shared" ref="M6:M21" si="0">L6-N6</f>
        <v>4870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9">
        <f t="shared" ref="AE6:AE14" si="7">$AD$22</f>
        <v>0.50478284251741035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746</v>
      </c>
      <c r="D7" s="55" t="s">
        <v>167</v>
      </c>
      <c r="E7" s="57" t="s">
        <v>809</v>
      </c>
      <c r="F7" s="33" t="s">
        <v>292</v>
      </c>
      <c r="G7" s="36">
        <v>1</v>
      </c>
      <c r="H7" s="38">
        <v>25</v>
      </c>
      <c r="I7" s="7">
        <v>1650</v>
      </c>
      <c r="J7" s="5">
        <v>1770</v>
      </c>
      <c r="K7" s="15">
        <f>L7</f>
        <v>1763</v>
      </c>
      <c r="L7" s="15">
        <f>1225+538</f>
        <v>1763</v>
      </c>
      <c r="M7" s="16">
        <f t="shared" si="0"/>
        <v>1763</v>
      </c>
      <c r="N7" s="16">
        <v>0</v>
      </c>
      <c r="O7" s="62">
        <f t="shared" si="1"/>
        <v>0</v>
      </c>
      <c r="P7" s="42">
        <f t="shared" si="2"/>
        <v>9</v>
      </c>
      <c r="Q7" s="43">
        <f t="shared" si="3"/>
        <v>15</v>
      </c>
      <c r="R7" s="7"/>
      <c r="S7" s="6"/>
      <c r="T7" s="17"/>
      <c r="U7" s="17"/>
      <c r="V7" s="18"/>
      <c r="W7" s="19">
        <v>15</v>
      </c>
      <c r="X7" s="17"/>
      <c r="Y7" s="20"/>
      <c r="Z7" s="20"/>
      <c r="AA7" s="21"/>
      <c r="AB7" s="8">
        <f t="shared" si="4"/>
        <v>0.99604519774011302</v>
      </c>
      <c r="AC7" s="9">
        <f t="shared" si="5"/>
        <v>0.375</v>
      </c>
      <c r="AD7" s="10">
        <f t="shared" si="6"/>
        <v>0.37351694915254241</v>
      </c>
      <c r="AE7" s="39">
        <f t="shared" si="7"/>
        <v>0.50478284251741035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746</v>
      </c>
      <c r="D8" s="55" t="s">
        <v>167</v>
      </c>
      <c r="E8" s="57" t="s">
        <v>566</v>
      </c>
      <c r="F8" s="33" t="s">
        <v>705</v>
      </c>
      <c r="G8" s="36">
        <v>1</v>
      </c>
      <c r="H8" s="38">
        <v>35</v>
      </c>
      <c r="I8" s="7">
        <v>2000</v>
      </c>
      <c r="J8" s="14">
        <v>2140</v>
      </c>
      <c r="K8" s="15">
        <f>L8+2135</f>
        <v>2135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0.50478284251741035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753</v>
      </c>
      <c r="E9" s="57" t="s">
        <v>754</v>
      </c>
      <c r="F9" s="12" t="s">
        <v>755</v>
      </c>
      <c r="G9" s="12">
        <v>1</v>
      </c>
      <c r="H9" s="13">
        <v>25</v>
      </c>
      <c r="I9" s="34">
        <v>6500</v>
      </c>
      <c r="J9" s="5">
        <v>5000</v>
      </c>
      <c r="K9" s="15">
        <f>L9+2211</f>
        <v>7204</v>
      </c>
      <c r="L9" s="15">
        <f>2465+2528</f>
        <v>4993</v>
      </c>
      <c r="M9" s="16">
        <f t="shared" si="0"/>
        <v>4993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0.99860000000000004</v>
      </c>
      <c r="AC9" s="9">
        <f t="shared" si="5"/>
        <v>1</v>
      </c>
      <c r="AD9" s="10">
        <f t="shared" si="6"/>
        <v>0.99860000000000004</v>
      </c>
      <c r="AE9" s="39">
        <f t="shared" si="7"/>
        <v>0.50478284251741035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746</v>
      </c>
      <c r="D10" s="55" t="s">
        <v>756</v>
      </c>
      <c r="E10" s="57" t="s">
        <v>737</v>
      </c>
      <c r="F10" s="12" t="s">
        <v>755</v>
      </c>
      <c r="G10" s="12">
        <v>1</v>
      </c>
      <c r="H10" s="13">
        <v>25</v>
      </c>
      <c r="I10" s="34">
        <v>8400</v>
      </c>
      <c r="J10" s="5">
        <v>1250</v>
      </c>
      <c r="K10" s="15">
        <f>L10+3307</f>
        <v>4554</v>
      </c>
      <c r="L10" s="15">
        <v>1247</v>
      </c>
      <c r="M10" s="16">
        <f t="shared" si="0"/>
        <v>1247</v>
      </c>
      <c r="N10" s="16">
        <v>0</v>
      </c>
      <c r="O10" s="62">
        <f t="shared" si="1"/>
        <v>0</v>
      </c>
      <c r="P10" s="42">
        <f t="shared" si="2"/>
        <v>7</v>
      </c>
      <c r="Q10" s="43">
        <f t="shared" si="3"/>
        <v>17</v>
      </c>
      <c r="R10" s="7"/>
      <c r="S10" s="6"/>
      <c r="T10" s="17"/>
      <c r="U10" s="17"/>
      <c r="V10" s="18"/>
      <c r="W10" s="19">
        <v>17</v>
      </c>
      <c r="X10" s="17"/>
      <c r="Y10" s="20"/>
      <c r="Z10" s="20"/>
      <c r="AA10" s="21"/>
      <c r="AB10" s="8">
        <f t="shared" si="4"/>
        <v>0.99760000000000004</v>
      </c>
      <c r="AC10" s="9">
        <f t="shared" si="5"/>
        <v>0.29166666666666669</v>
      </c>
      <c r="AD10" s="10">
        <f t="shared" si="6"/>
        <v>0.29096666666666671</v>
      </c>
      <c r="AE10" s="39">
        <f t="shared" si="7"/>
        <v>0.50478284251741035</v>
      </c>
      <c r="AF10" s="94">
        <f t="shared" si="8"/>
        <v>5</v>
      </c>
    </row>
    <row r="11" spans="1:32" ht="27" customHeight="1">
      <c r="A11" s="110">
        <v>5</v>
      </c>
      <c r="B11" s="11" t="s">
        <v>59</v>
      </c>
      <c r="C11" s="37" t="s">
        <v>746</v>
      </c>
      <c r="D11" s="55" t="s">
        <v>810</v>
      </c>
      <c r="E11" s="57" t="s">
        <v>811</v>
      </c>
      <c r="F11" s="12" t="s">
        <v>812</v>
      </c>
      <c r="G11" s="12">
        <v>1</v>
      </c>
      <c r="H11" s="13">
        <v>25</v>
      </c>
      <c r="I11" s="34">
        <v>6500</v>
      </c>
      <c r="J11" s="5">
        <v>2200</v>
      </c>
      <c r="K11" s="15">
        <f>L11</f>
        <v>2193</v>
      </c>
      <c r="L11" s="15">
        <v>2193</v>
      </c>
      <c r="M11" s="16">
        <f t="shared" ref="M11" si="9">L11-N11</f>
        <v>2193</v>
      </c>
      <c r="N11" s="16">
        <v>0</v>
      </c>
      <c r="O11" s="62">
        <f t="shared" ref="O11" si="10">IF(L11=0,"0",N11/L11)</f>
        <v>0</v>
      </c>
      <c r="P11" s="42">
        <f t="shared" ref="P11" si="11">IF(L11=0,"0",(24-Q11))</f>
        <v>14</v>
      </c>
      <c r="Q11" s="43">
        <f t="shared" ref="Q11" si="12">SUM(R11:AA11)</f>
        <v>10</v>
      </c>
      <c r="R11" s="7"/>
      <c r="S11" s="6">
        <v>10</v>
      </c>
      <c r="T11" s="17"/>
      <c r="U11" s="17"/>
      <c r="V11" s="18"/>
      <c r="W11" s="19"/>
      <c r="X11" s="17"/>
      <c r="Y11" s="20"/>
      <c r="Z11" s="20"/>
      <c r="AA11" s="21"/>
      <c r="AB11" s="8">
        <f t="shared" ref="AB11" si="13">IF(J11=0,"0",(L11/J11))</f>
        <v>0.99681818181818183</v>
      </c>
      <c r="AC11" s="9">
        <f t="shared" ref="AC11" si="14">IF(P11=0,"0",(P11/24))</f>
        <v>0.58333333333333337</v>
      </c>
      <c r="AD11" s="10">
        <f t="shared" ref="AD11" si="15">AC11*AB11*(1-O11)</f>
        <v>0.58147727272727279</v>
      </c>
      <c r="AE11" s="39">
        <f t="shared" si="7"/>
        <v>0.50478284251741035</v>
      </c>
      <c r="AF11" s="94">
        <f t="shared" ref="AF11" si="16">A11</f>
        <v>5</v>
      </c>
    </row>
    <row r="12" spans="1:32" ht="27" customHeight="1">
      <c r="A12" s="110">
        <v>6</v>
      </c>
      <c r="B12" s="11" t="s">
        <v>59</v>
      </c>
      <c r="C12" s="11" t="s">
        <v>124</v>
      </c>
      <c r="D12" s="55" t="s">
        <v>813</v>
      </c>
      <c r="E12" s="56" t="s">
        <v>814</v>
      </c>
      <c r="F12" s="12" t="s">
        <v>130</v>
      </c>
      <c r="G12" s="12">
        <v>1</v>
      </c>
      <c r="H12" s="13">
        <v>25</v>
      </c>
      <c r="I12" s="34">
        <v>35000</v>
      </c>
      <c r="J12" s="14">
        <v>1620</v>
      </c>
      <c r="K12" s="15">
        <f>L12</f>
        <v>1619</v>
      </c>
      <c r="L12" s="15">
        <f>1435+184</f>
        <v>1619</v>
      </c>
      <c r="M12" s="16">
        <f t="shared" si="0"/>
        <v>1619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>
        <v>16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0.99938271604938267</v>
      </c>
      <c r="AC12" s="9">
        <f t="shared" si="5"/>
        <v>0.33333333333333331</v>
      </c>
      <c r="AD12" s="10">
        <f t="shared" si="6"/>
        <v>0.33312757201646087</v>
      </c>
      <c r="AE12" s="39">
        <f t="shared" si="7"/>
        <v>0.50478284251741035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746</v>
      </c>
      <c r="D13" s="55" t="s">
        <v>758</v>
      </c>
      <c r="E13" s="57" t="s">
        <v>736</v>
      </c>
      <c r="F13" s="12" t="s">
        <v>760</v>
      </c>
      <c r="G13" s="12">
        <v>1</v>
      </c>
      <c r="H13" s="13">
        <v>25</v>
      </c>
      <c r="I13" s="34">
        <v>8600</v>
      </c>
      <c r="J13" s="5">
        <v>3250</v>
      </c>
      <c r="K13" s="15">
        <f>L13+1650</f>
        <v>4891</v>
      </c>
      <c r="L13" s="15">
        <f>2404+837</f>
        <v>3241</v>
      </c>
      <c r="M13" s="16">
        <f t="shared" si="0"/>
        <v>3241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>
        <v>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0.99723076923076925</v>
      </c>
      <c r="AC13" s="9">
        <f t="shared" si="5"/>
        <v>0.79166666666666663</v>
      </c>
      <c r="AD13" s="10">
        <f t="shared" si="6"/>
        <v>0.78947435897435891</v>
      </c>
      <c r="AE13" s="39">
        <f t="shared" si="7"/>
        <v>0.50478284251741035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761</v>
      </c>
      <c r="D14" s="55" t="s">
        <v>762</v>
      </c>
      <c r="E14" s="57" t="s">
        <v>763</v>
      </c>
      <c r="F14" s="12" t="s">
        <v>760</v>
      </c>
      <c r="G14" s="12">
        <v>1</v>
      </c>
      <c r="H14" s="13">
        <v>25</v>
      </c>
      <c r="I14" s="7">
        <v>1000</v>
      </c>
      <c r="J14" s="14">
        <v>1110</v>
      </c>
      <c r="K14" s="15">
        <f>L14+1109</f>
        <v>1109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0.50478284251741035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135</v>
      </c>
      <c r="D15" s="55" t="s">
        <v>267</v>
      </c>
      <c r="E15" s="57" t="s">
        <v>630</v>
      </c>
      <c r="F15" s="33" t="s">
        <v>158</v>
      </c>
      <c r="G15" s="36">
        <v>1</v>
      </c>
      <c r="H15" s="38">
        <v>25</v>
      </c>
      <c r="I15" s="7">
        <v>60000</v>
      </c>
      <c r="J15" s="5">
        <v>3630</v>
      </c>
      <c r="K15" s="15">
        <f>L15+3986+4493</f>
        <v>12101</v>
      </c>
      <c r="L15" s="15">
        <f>2585+1037</f>
        <v>3622</v>
      </c>
      <c r="M15" s="16">
        <f t="shared" si="0"/>
        <v>3622</v>
      </c>
      <c r="N15" s="16">
        <v>0</v>
      </c>
      <c r="O15" s="62">
        <f t="shared" si="1"/>
        <v>0</v>
      </c>
      <c r="P15" s="42">
        <f t="shared" si="2"/>
        <v>20</v>
      </c>
      <c r="Q15" s="43">
        <f t="shared" si="3"/>
        <v>4</v>
      </c>
      <c r="R15" s="7"/>
      <c r="S15" s="6">
        <v>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0.99779614325068866</v>
      </c>
      <c r="AC15" s="9">
        <f t="shared" si="5"/>
        <v>0.83333333333333337</v>
      </c>
      <c r="AD15" s="10">
        <f t="shared" si="6"/>
        <v>0.83149678604224053</v>
      </c>
      <c r="AE15" s="39">
        <f t="shared" ref="AE15" si="17">$AD$20</f>
        <v>0.49950248756218907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293</v>
      </c>
      <c r="D16" s="55" t="s">
        <v>294</v>
      </c>
      <c r="E16" s="57"/>
      <c r="F16" s="12" t="s">
        <v>295</v>
      </c>
      <c r="G16" s="12">
        <v>3</v>
      </c>
      <c r="H16" s="13">
        <v>12</v>
      </c>
      <c r="I16" s="34">
        <v>60000</v>
      </c>
      <c r="J16" s="5">
        <v>25070</v>
      </c>
      <c r="K16" s="15">
        <f>L16+23046+22200+25068</f>
        <v>70314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ref="AE16:AE21" si="18">$AD$22</f>
        <v>0.50478284251741035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135</v>
      </c>
      <c r="D17" s="55" t="s">
        <v>240</v>
      </c>
      <c r="E17" s="56" t="s">
        <v>588</v>
      </c>
      <c r="F17" s="12">
        <v>7301</v>
      </c>
      <c r="G17" s="36">
        <v>1</v>
      </c>
      <c r="H17" s="38">
        <v>25</v>
      </c>
      <c r="I17" s="7">
        <v>60000</v>
      </c>
      <c r="J17" s="14">
        <v>5250</v>
      </c>
      <c r="K17" s="15">
        <f>L17+2811+5412+5384+3882+4403</f>
        <v>27135</v>
      </c>
      <c r="L17" s="15">
        <f>2612+2631</f>
        <v>5243</v>
      </c>
      <c r="M17" s="16">
        <f t="shared" si="0"/>
        <v>5243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0.9986666666666667</v>
      </c>
      <c r="AC17" s="9">
        <f t="shared" si="5"/>
        <v>1</v>
      </c>
      <c r="AD17" s="10">
        <f t="shared" si="6"/>
        <v>0.9986666666666667</v>
      </c>
      <c r="AE17" s="39">
        <f t="shared" si="18"/>
        <v>0.50478284251741035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467</v>
      </c>
      <c r="E18" s="56" t="s">
        <v>468</v>
      </c>
      <c r="F18" s="12">
        <v>8301</v>
      </c>
      <c r="G18" s="12">
        <v>1</v>
      </c>
      <c r="H18" s="13">
        <v>25</v>
      </c>
      <c r="I18" s="34">
        <v>2000</v>
      </c>
      <c r="J18" s="5">
        <v>3040</v>
      </c>
      <c r="K18" s="15">
        <f>L18+3032</f>
        <v>3032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18"/>
        <v>0.50478284251741035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276</v>
      </c>
      <c r="E19" s="56" t="s">
        <v>631</v>
      </c>
      <c r="F19" s="33" t="s">
        <v>229</v>
      </c>
      <c r="G19" s="36">
        <v>1</v>
      </c>
      <c r="H19" s="38">
        <v>25</v>
      </c>
      <c r="I19" s="7">
        <v>300</v>
      </c>
      <c r="J19" s="5">
        <v>350</v>
      </c>
      <c r="K19" s="15">
        <f>L19+350</f>
        <v>350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18"/>
        <v>0.50478284251741035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135</v>
      </c>
      <c r="D20" s="55" t="s">
        <v>58</v>
      </c>
      <c r="E20" s="57" t="s">
        <v>590</v>
      </c>
      <c r="F20" s="33" t="s">
        <v>591</v>
      </c>
      <c r="G20" s="36">
        <v>1</v>
      </c>
      <c r="H20" s="38">
        <v>25</v>
      </c>
      <c r="I20" s="34">
        <v>60000</v>
      </c>
      <c r="J20" s="5">
        <v>2010</v>
      </c>
      <c r="K20" s="15">
        <f>L20+2028+3807+3338+3450+4167</f>
        <v>18798</v>
      </c>
      <c r="L20" s="15">
        <f>2008</f>
        <v>2008</v>
      </c>
      <c r="M20" s="16">
        <f t="shared" si="0"/>
        <v>2008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>
        <v>12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0.99900497512437814</v>
      </c>
      <c r="AC20" s="9">
        <f t="shared" si="5"/>
        <v>0.5</v>
      </c>
      <c r="AD20" s="10">
        <f t="shared" si="6"/>
        <v>0.49950248756218907</v>
      </c>
      <c r="AE20" s="39">
        <f t="shared" si="18"/>
        <v>0.50478284251741035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764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40640</v>
      </c>
      <c r="K21" s="15">
        <f>L21</f>
        <v>40636</v>
      </c>
      <c r="L21" s="15">
        <f>6394*4+3765*4</f>
        <v>40636</v>
      </c>
      <c r="M21" s="16">
        <f t="shared" si="0"/>
        <v>40636</v>
      </c>
      <c r="N21" s="16">
        <v>0</v>
      </c>
      <c r="O21" s="62">
        <f t="shared" si="1"/>
        <v>0</v>
      </c>
      <c r="P21" s="42">
        <f t="shared" si="2"/>
        <v>21</v>
      </c>
      <c r="Q21" s="43">
        <f t="shared" si="3"/>
        <v>3</v>
      </c>
      <c r="R21" s="7"/>
      <c r="S21" s="6">
        <v>3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0.99990157480314956</v>
      </c>
      <c r="AC21" s="9">
        <f t="shared" si="5"/>
        <v>0.875</v>
      </c>
      <c r="AD21" s="10">
        <f t="shared" si="6"/>
        <v>0.87491387795275588</v>
      </c>
      <c r="AE21" s="39">
        <f t="shared" si="18"/>
        <v>0.50478284251741035</v>
      </c>
      <c r="AF21" s="94">
        <f t="shared" si="8"/>
        <v>15</v>
      </c>
    </row>
    <row r="22" spans="1:32" ht="31.5" customHeight="1" thickBot="1">
      <c r="A22" s="386" t="s">
        <v>34</v>
      </c>
      <c r="B22" s="387"/>
      <c r="C22" s="387"/>
      <c r="D22" s="387"/>
      <c r="E22" s="387"/>
      <c r="F22" s="387"/>
      <c r="G22" s="387"/>
      <c r="H22" s="388"/>
      <c r="I22" s="25">
        <f t="shared" ref="I22:N22" si="19">SUM(I6:I21)</f>
        <v>571950</v>
      </c>
      <c r="J22" s="22">
        <f t="shared" si="19"/>
        <v>103200</v>
      </c>
      <c r="K22" s="23">
        <f t="shared" si="19"/>
        <v>220320</v>
      </c>
      <c r="L22" s="24">
        <f t="shared" si="19"/>
        <v>71435</v>
      </c>
      <c r="M22" s="23">
        <f t="shared" si="19"/>
        <v>71435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182</v>
      </c>
      <c r="Q22" s="46">
        <f t="shared" si="20"/>
        <v>202</v>
      </c>
      <c r="R22" s="26">
        <f t="shared" si="20"/>
        <v>0</v>
      </c>
      <c r="S22" s="27">
        <f t="shared" si="20"/>
        <v>50</v>
      </c>
      <c r="T22" s="27">
        <f t="shared" si="20"/>
        <v>0</v>
      </c>
      <c r="U22" s="27">
        <f t="shared" si="20"/>
        <v>0</v>
      </c>
      <c r="V22" s="28">
        <f t="shared" si="20"/>
        <v>0</v>
      </c>
      <c r="W22" s="29">
        <f t="shared" si="20"/>
        <v>152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0.73206974831222205</v>
      </c>
      <c r="AC22" s="4">
        <f>SUM(AC6:AC21)/15</f>
        <v>0.50555555555555554</v>
      </c>
      <c r="AD22" s="4">
        <f>SUM(AD6:AD21)/15</f>
        <v>0.50478284251741035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89" t="s">
        <v>46</v>
      </c>
      <c r="B49" s="389"/>
      <c r="C49" s="389"/>
      <c r="D49" s="389"/>
      <c r="E49" s="38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90" t="s">
        <v>815</v>
      </c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2"/>
      <c r="N50" s="393" t="s">
        <v>828</v>
      </c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/>
      <c r="AC50" s="394"/>
      <c r="AD50" s="395"/>
    </row>
    <row r="51" spans="1:32" ht="27" customHeight="1">
      <c r="A51" s="396" t="s">
        <v>2</v>
      </c>
      <c r="B51" s="397"/>
      <c r="C51" s="295" t="s">
        <v>47</v>
      </c>
      <c r="D51" s="295" t="s">
        <v>48</v>
      </c>
      <c r="E51" s="295" t="s">
        <v>113</v>
      </c>
      <c r="F51" s="397" t="s">
        <v>112</v>
      </c>
      <c r="G51" s="397"/>
      <c r="H51" s="397"/>
      <c r="I51" s="397"/>
      <c r="J51" s="397"/>
      <c r="K51" s="397"/>
      <c r="L51" s="397"/>
      <c r="M51" s="398"/>
      <c r="N51" s="73" t="s">
        <v>117</v>
      </c>
      <c r="O51" s="295" t="s">
        <v>47</v>
      </c>
      <c r="P51" s="399" t="s">
        <v>48</v>
      </c>
      <c r="Q51" s="400"/>
      <c r="R51" s="399" t="s">
        <v>39</v>
      </c>
      <c r="S51" s="401"/>
      <c r="T51" s="401"/>
      <c r="U51" s="400"/>
      <c r="V51" s="399" t="s">
        <v>49</v>
      </c>
      <c r="W51" s="401"/>
      <c r="X51" s="401"/>
      <c r="Y51" s="401"/>
      <c r="Z51" s="401"/>
      <c r="AA51" s="401"/>
      <c r="AB51" s="401"/>
      <c r="AC51" s="401"/>
      <c r="AD51" s="402"/>
    </row>
    <row r="52" spans="1:32" ht="27" customHeight="1">
      <c r="A52" s="413" t="s">
        <v>122</v>
      </c>
      <c r="B52" s="414"/>
      <c r="C52" s="296" t="s">
        <v>259</v>
      </c>
      <c r="D52" s="297" t="s">
        <v>816</v>
      </c>
      <c r="E52" s="296" t="s">
        <v>817</v>
      </c>
      <c r="F52" s="415" t="s">
        <v>774</v>
      </c>
      <c r="G52" s="415"/>
      <c r="H52" s="415"/>
      <c r="I52" s="415"/>
      <c r="J52" s="415"/>
      <c r="K52" s="415"/>
      <c r="L52" s="415"/>
      <c r="M52" s="416"/>
      <c r="N52" s="298" t="s">
        <v>727</v>
      </c>
      <c r="O52" s="74" t="s">
        <v>728</v>
      </c>
      <c r="P52" s="417" t="s">
        <v>829</v>
      </c>
      <c r="Q52" s="418"/>
      <c r="R52" s="419" t="s">
        <v>830</v>
      </c>
      <c r="S52" s="419"/>
      <c r="T52" s="419"/>
      <c r="U52" s="419"/>
      <c r="V52" s="415" t="s">
        <v>175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122</v>
      </c>
      <c r="B53" s="414"/>
      <c r="C53" s="296" t="s">
        <v>262</v>
      </c>
      <c r="D53" s="297" t="s">
        <v>810</v>
      </c>
      <c r="E53" s="296" t="s">
        <v>811</v>
      </c>
      <c r="F53" s="415" t="s">
        <v>818</v>
      </c>
      <c r="G53" s="415"/>
      <c r="H53" s="415"/>
      <c r="I53" s="415"/>
      <c r="J53" s="415"/>
      <c r="K53" s="415"/>
      <c r="L53" s="415"/>
      <c r="M53" s="416"/>
      <c r="N53" s="298" t="s">
        <v>122</v>
      </c>
      <c r="O53" s="74" t="s">
        <v>262</v>
      </c>
      <c r="P53" s="419" t="s">
        <v>206</v>
      </c>
      <c r="Q53" s="419"/>
      <c r="R53" s="419" t="s">
        <v>785</v>
      </c>
      <c r="S53" s="419"/>
      <c r="T53" s="419"/>
      <c r="U53" s="419"/>
      <c r="V53" s="415" t="s">
        <v>689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135</v>
      </c>
      <c r="B54" s="414"/>
      <c r="C54" s="296" t="s">
        <v>599</v>
      </c>
      <c r="D54" s="297" t="s">
        <v>58</v>
      </c>
      <c r="E54" s="296" t="s">
        <v>590</v>
      </c>
      <c r="F54" s="415" t="s">
        <v>819</v>
      </c>
      <c r="G54" s="415"/>
      <c r="H54" s="415"/>
      <c r="I54" s="415"/>
      <c r="J54" s="415"/>
      <c r="K54" s="415"/>
      <c r="L54" s="415"/>
      <c r="M54" s="416"/>
      <c r="N54" s="298" t="s">
        <v>831</v>
      </c>
      <c r="O54" s="74" t="s">
        <v>208</v>
      </c>
      <c r="P54" s="419" t="s">
        <v>810</v>
      </c>
      <c r="Q54" s="419"/>
      <c r="R54" s="419" t="s">
        <v>832</v>
      </c>
      <c r="S54" s="419"/>
      <c r="T54" s="419"/>
      <c r="U54" s="419"/>
      <c r="V54" s="415" t="s">
        <v>833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122</v>
      </c>
      <c r="B55" s="414"/>
      <c r="C55" s="296" t="s">
        <v>312</v>
      </c>
      <c r="D55" s="297" t="s">
        <v>758</v>
      </c>
      <c r="E55" s="296" t="s">
        <v>736</v>
      </c>
      <c r="F55" s="415" t="s">
        <v>820</v>
      </c>
      <c r="G55" s="415"/>
      <c r="H55" s="415"/>
      <c r="I55" s="415"/>
      <c r="J55" s="415"/>
      <c r="K55" s="415"/>
      <c r="L55" s="415"/>
      <c r="M55" s="416"/>
      <c r="N55" s="298" t="s">
        <v>140</v>
      </c>
      <c r="O55" s="74" t="s">
        <v>492</v>
      </c>
      <c r="P55" s="417" t="s">
        <v>810</v>
      </c>
      <c r="Q55" s="418"/>
      <c r="R55" s="419" t="s">
        <v>834</v>
      </c>
      <c r="S55" s="419"/>
      <c r="T55" s="419"/>
      <c r="U55" s="419"/>
      <c r="V55" s="415" t="s">
        <v>175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20" t="s">
        <v>562</v>
      </c>
      <c r="B56" s="419"/>
      <c r="C56" s="297" t="s">
        <v>563</v>
      </c>
      <c r="D56" s="297" t="s">
        <v>781</v>
      </c>
      <c r="E56" s="296"/>
      <c r="F56" s="415" t="s">
        <v>820</v>
      </c>
      <c r="G56" s="415"/>
      <c r="H56" s="415"/>
      <c r="I56" s="415"/>
      <c r="J56" s="415"/>
      <c r="K56" s="415"/>
      <c r="L56" s="415"/>
      <c r="M56" s="416"/>
      <c r="N56" s="298" t="s">
        <v>124</v>
      </c>
      <c r="O56" s="74" t="s">
        <v>714</v>
      </c>
      <c r="P56" s="417" t="s">
        <v>813</v>
      </c>
      <c r="Q56" s="418"/>
      <c r="R56" s="419" t="s">
        <v>835</v>
      </c>
      <c r="S56" s="419"/>
      <c r="T56" s="419"/>
      <c r="U56" s="419"/>
      <c r="V56" s="415" t="s">
        <v>175</v>
      </c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13" t="s">
        <v>821</v>
      </c>
      <c r="B57" s="414"/>
      <c r="C57" s="296" t="s">
        <v>822</v>
      </c>
      <c r="D57" s="297" t="s">
        <v>823</v>
      </c>
      <c r="E57" s="296" t="s">
        <v>824</v>
      </c>
      <c r="F57" s="415" t="s">
        <v>689</v>
      </c>
      <c r="G57" s="415"/>
      <c r="H57" s="415"/>
      <c r="I57" s="415"/>
      <c r="J57" s="415"/>
      <c r="K57" s="415"/>
      <c r="L57" s="415"/>
      <c r="M57" s="416"/>
      <c r="N57" s="298"/>
      <c r="O57" s="74"/>
      <c r="P57" s="419"/>
      <c r="Q57" s="419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20" t="s">
        <v>825</v>
      </c>
      <c r="B58" s="419"/>
      <c r="C58" s="297" t="s">
        <v>347</v>
      </c>
      <c r="D58" s="297" t="s">
        <v>826</v>
      </c>
      <c r="E58" s="296" t="s">
        <v>814</v>
      </c>
      <c r="F58" s="415" t="s">
        <v>827</v>
      </c>
      <c r="G58" s="415"/>
      <c r="H58" s="415"/>
      <c r="I58" s="415"/>
      <c r="J58" s="415"/>
      <c r="K58" s="415"/>
      <c r="L58" s="415"/>
      <c r="M58" s="416"/>
      <c r="N58" s="298"/>
      <c r="O58" s="74"/>
      <c r="P58" s="417"/>
      <c r="Q58" s="418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13"/>
      <c r="B59" s="414"/>
      <c r="C59" s="296"/>
      <c r="D59" s="297"/>
      <c r="E59" s="296"/>
      <c r="F59" s="415"/>
      <c r="G59" s="415"/>
      <c r="H59" s="415"/>
      <c r="I59" s="415"/>
      <c r="J59" s="415"/>
      <c r="K59" s="415"/>
      <c r="L59" s="415"/>
      <c r="M59" s="416"/>
      <c r="N59" s="298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20"/>
      <c r="B60" s="419"/>
      <c r="C60" s="297"/>
      <c r="D60" s="297"/>
      <c r="E60" s="297"/>
      <c r="F60" s="415"/>
      <c r="G60" s="415"/>
      <c r="H60" s="415"/>
      <c r="I60" s="415"/>
      <c r="J60" s="415"/>
      <c r="K60" s="415"/>
      <c r="L60" s="415"/>
      <c r="M60" s="416"/>
      <c r="N60" s="298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  <c r="AF60" s="94">
        <f>8*3000</f>
        <v>24000</v>
      </c>
    </row>
    <row r="61" spans="1:32" ht="27" customHeight="1" thickBot="1">
      <c r="A61" s="421"/>
      <c r="B61" s="422"/>
      <c r="C61" s="300"/>
      <c r="D61" s="300"/>
      <c r="E61" s="300"/>
      <c r="F61" s="423"/>
      <c r="G61" s="423"/>
      <c r="H61" s="423"/>
      <c r="I61" s="423"/>
      <c r="J61" s="423"/>
      <c r="K61" s="423"/>
      <c r="L61" s="423"/>
      <c r="M61" s="424"/>
      <c r="N61" s="299"/>
      <c r="O61" s="121"/>
      <c r="P61" s="422"/>
      <c r="Q61" s="422"/>
      <c r="R61" s="422"/>
      <c r="S61" s="422"/>
      <c r="T61" s="422"/>
      <c r="U61" s="422"/>
      <c r="V61" s="423"/>
      <c r="W61" s="423"/>
      <c r="X61" s="423"/>
      <c r="Y61" s="423"/>
      <c r="Z61" s="423"/>
      <c r="AA61" s="423"/>
      <c r="AB61" s="423"/>
      <c r="AC61" s="423"/>
      <c r="AD61" s="424"/>
      <c r="AF61" s="94">
        <f>16*3000</f>
        <v>48000</v>
      </c>
    </row>
    <row r="62" spans="1:32" ht="27.75" thickBot="1">
      <c r="A62" s="425" t="s">
        <v>836</v>
      </c>
      <c r="B62" s="425"/>
      <c r="C62" s="425"/>
      <c r="D62" s="425"/>
      <c r="E62" s="425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26" t="s">
        <v>118</v>
      </c>
      <c r="B63" s="427"/>
      <c r="C63" s="301" t="s">
        <v>2</v>
      </c>
      <c r="D63" s="301" t="s">
        <v>38</v>
      </c>
      <c r="E63" s="301" t="s">
        <v>3</v>
      </c>
      <c r="F63" s="427" t="s">
        <v>115</v>
      </c>
      <c r="G63" s="427"/>
      <c r="H63" s="427"/>
      <c r="I63" s="427"/>
      <c r="J63" s="427"/>
      <c r="K63" s="427" t="s">
        <v>40</v>
      </c>
      <c r="L63" s="427"/>
      <c r="M63" s="301" t="s">
        <v>41</v>
      </c>
      <c r="N63" s="427" t="s">
        <v>42</v>
      </c>
      <c r="O63" s="427"/>
      <c r="P63" s="428" t="s">
        <v>43</v>
      </c>
      <c r="Q63" s="429"/>
      <c r="R63" s="428" t="s">
        <v>44</v>
      </c>
      <c r="S63" s="430"/>
      <c r="T63" s="430"/>
      <c r="U63" s="430"/>
      <c r="V63" s="430"/>
      <c r="W63" s="430"/>
      <c r="X63" s="430"/>
      <c r="Y63" s="430"/>
      <c r="Z63" s="430"/>
      <c r="AA63" s="429"/>
      <c r="AB63" s="427" t="s">
        <v>45</v>
      </c>
      <c r="AC63" s="427"/>
      <c r="AD63" s="431"/>
      <c r="AF63" s="94">
        <f>SUM(AF60:AF62)</f>
        <v>96000</v>
      </c>
    </row>
    <row r="64" spans="1:32" ht="26.25" customHeight="1">
      <c r="A64" s="432">
        <v>1</v>
      </c>
      <c r="B64" s="433"/>
      <c r="C64" s="123" t="s">
        <v>659</v>
      </c>
      <c r="D64" s="304"/>
      <c r="E64" s="302" t="s">
        <v>660</v>
      </c>
      <c r="F64" s="434" t="s">
        <v>661</v>
      </c>
      <c r="G64" s="434"/>
      <c r="H64" s="434"/>
      <c r="I64" s="434"/>
      <c r="J64" s="434"/>
      <c r="K64" s="435" t="s">
        <v>662</v>
      </c>
      <c r="L64" s="436"/>
      <c r="M64" s="54" t="s">
        <v>837</v>
      </c>
      <c r="N64" s="434">
        <v>3</v>
      </c>
      <c r="O64" s="434"/>
      <c r="P64" s="437">
        <v>20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2</v>
      </c>
      <c r="B65" s="433"/>
      <c r="C65" s="123" t="s">
        <v>659</v>
      </c>
      <c r="D65" s="304"/>
      <c r="E65" s="302" t="s">
        <v>660</v>
      </c>
      <c r="F65" s="434" t="s">
        <v>664</v>
      </c>
      <c r="G65" s="434"/>
      <c r="H65" s="434"/>
      <c r="I65" s="434"/>
      <c r="J65" s="434"/>
      <c r="K65" s="480" t="s">
        <v>662</v>
      </c>
      <c r="L65" s="481"/>
      <c r="M65" s="54" t="s">
        <v>234</v>
      </c>
      <c r="N65" s="434">
        <v>3</v>
      </c>
      <c r="O65" s="434"/>
      <c r="P65" s="437">
        <v>20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3</v>
      </c>
      <c r="B66" s="433"/>
      <c r="C66" s="123" t="s">
        <v>746</v>
      </c>
      <c r="D66" s="304"/>
      <c r="E66" s="302" t="s">
        <v>801</v>
      </c>
      <c r="F66" s="434" t="s">
        <v>838</v>
      </c>
      <c r="G66" s="434"/>
      <c r="H66" s="434"/>
      <c r="I66" s="434"/>
      <c r="J66" s="434"/>
      <c r="K66" s="434" t="s">
        <v>802</v>
      </c>
      <c r="L66" s="434"/>
      <c r="M66" s="54" t="s">
        <v>794</v>
      </c>
      <c r="N66" s="434">
        <v>13</v>
      </c>
      <c r="O66" s="434"/>
      <c r="P66" s="437">
        <v>50</v>
      </c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4</v>
      </c>
      <c r="B67" s="433"/>
      <c r="C67" s="123"/>
      <c r="D67" s="304"/>
      <c r="E67" s="302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5</v>
      </c>
      <c r="B68" s="433"/>
      <c r="C68" s="123"/>
      <c r="D68" s="304"/>
      <c r="E68" s="302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6</v>
      </c>
      <c r="B69" s="433"/>
      <c r="C69" s="123"/>
      <c r="D69" s="304"/>
      <c r="E69" s="302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7</v>
      </c>
      <c r="B70" s="433"/>
      <c r="C70" s="123"/>
      <c r="D70" s="304"/>
      <c r="E70" s="302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8</v>
      </c>
      <c r="B71" s="433"/>
      <c r="C71" s="123"/>
      <c r="D71" s="304"/>
      <c r="E71" s="302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 thickBot="1">
      <c r="A72" s="439" t="s">
        <v>839</v>
      </c>
      <c r="B72" s="439"/>
      <c r="C72" s="439"/>
      <c r="D72" s="439"/>
      <c r="E72" s="439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40" t="s">
        <v>118</v>
      </c>
      <c r="B73" s="441"/>
      <c r="C73" s="303" t="s">
        <v>2</v>
      </c>
      <c r="D73" s="303" t="s">
        <v>38</v>
      </c>
      <c r="E73" s="303" t="s">
        <v>3</v>
      </c>
      <c r="F73" s="441" t="s">
        <v>39</v>
      </c>
      <c r="G73" s="441"/>
      <c r="H73" s="441"/>
      <c r="I73" s="441"/>
      <c r="J73" s="441"/>
      <c r="K73" s="442" t="s">
        <v>60</v>
      </c>
      <c r="L73" s="443"/>
      <c r="M73" s="443"/>
      <c r="N73" s="443"/>
      <c r="O73" s="443"/>
      <c r="P73" s="443"/>
      <c r="Q73" s="443"/>
      <c r="R73" s="443"/>
      <c r="S73" s="444"/>
      <c r="T73" s="441" t="s">
        <v>50</v>
      </c>
      <c r="U73" s="441"/>
      <c r="V73" s="442" t="s">
        <v>51</v>
      </c>
      <c r="W73" s="444"/>
      <c r="X73" s="443" t="s">
        <v>52</v>
      </c>
      <c r="Y73" s="443"/>
      <c r="Z73" s="443"/>
      <c r="AA73" s="443"/>
      <c r="AB73" s="443"/>
      <c r="AC73" s="443"/>
      <c r="AD73" s="445"/>
      <c r="AF73" s="53"/>
    </row>
    <row r="74" spans="1:32" ht="33.75" customHeight="1">
      <c r="A74" s="454">
        <v>1</v>
      </c>
      <c r="B74" s="455"/>
      <c r="C74" s="305" t="s">
        <v>62</v>
      </c>
      <c r="D74" s="305"/>
      <c r="E74" s="71" t="s">
        <v>58</v>
      </c>
      <c r="F74" s="456" t="s">
        <v>63</v>
      </c>
      <c r="G74" s="457"/>
      <c r="H74" s="457"/>
      <c r="I74" s="457"/>
      <c r="J74" s="458"/>
      <c r="K74" s="459" t="s">
        <v>61</v>
      </c>
      <c r="L74" s="460"/>
      <c r="M74" s="460"/>
      <c r="N74" s="460"/>
      <c r="O74" s="460"/>
      <c r="P74" s="460"/>
      <c r="Q74" s="460"/>
      <c r="R74" s="460"/>
      <c r="S74" s="461"/>
      <c r="T74" s="462">
        <v>41791</v>
      </c>
      <c r="U74" s="463"/>
      <c r="V74" s="464"/>
      <c r="W74" s="464"/>
      <c r="X74" s="465"/>
      <c r="Y74" s="465"/>
      <c r="Z74" s="465"/>
      <c r="AA74" s="465"/>
      <c r="AB74" s="465"/>
      <c r="AC74" s="465"/>
      <c r="AD74" s="466"/>
      <c r="AF74" s="53"/>
    </row>
    <row r="75" spans="1:32" ht="30" customHeight="1">
      <c r="A75" s="446">
        <f>A74+1</f>
        <v>2</v>
      </c>
      <c r="B75" s="447"/>
      <c r="C75" s="304" t="s">
        <v>135</v>
      </c>
      <c r="D75" s="304"/>
      <c r="E75" s="35" t="s">
        <v>121</v>
      </c>
      <c r="F75" s="447" t="s">
        <v>274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42779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ref="A76:A82" si="21">A75+1</f>
        <v>3</v>
      </c>
      <c r="B76" s="447"/>
      <c r="C76" s="304" t="s">
        <v>62</v>
      </c>
      <c r="D76" s="304"/>
      <c r="E76" s="35" t="s">
        <v>121</v>
      </c>
      <c r="F76" s="447" t="s">
        <v>127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21"/>
        <v>4</v>
      </c>
      <c r="B77" s="447"/>
      <c r="C77" s="304" t="s">
        <v>62</v>
      </c>
      <c r="D77" s="304"/>
      <c r="E77" s="35" t="s">
        <v>121</v>
      </c>
      <c r="F77" s="447" t="s">
        <v>126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21"/>
        <v>5</v>
      </c>
      <c r="B78" s="447"/>
      <c r="C78" s="304" t="s">
        <v>62</v>
      </c>
      <c r="D78" s="304"/>
      <c r="E78" s="35" t="s">
        <v>58</v>
      </c>
      <c r="F78" s="447" t="s">
        <v>128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21"/>
        <v>6</v>
      </c>
      <c r="B79" s="447"/>
      <c r="C79" s="304" t="s">
        <v>135</v>
      </c>
      <c r="D79" s="304"/>
      <c r="E79" s="35" t="s">
        <v>121</v>
      </c>
      <c r="F79" s="447" t="s">
        <v>149</v>
      </c>
      <c r="G79" s="447"/>
      <c r="H79" s="447"/>
      <c r="I79" s="447"/>
      <c r="J79" s="447"/>
      <c r="K79" s="448" t="s">
        <v>133</v>
      </c>
      <c r="L79" s="449"/>
      <c r="M79" s="449"/>
      <c r="N79" s="449"/>
      <c r="O79" s="449"/>
      <c r="P79" s="449"/>
      <c r="Q79" s="449"/>
      <c r="R79" s="449"/>
      <c r="S79" s="450"/>
      <c r="T79" s="451">
        <v>42770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21"/>
        <v>7</v>
      </c>
      <c r="B80" s="447"/>
      <c r="C80" s="304"/>
      <c r="D80" s="304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21"/>
        <v>8</v>
      </c>
      <c r="B81" s="447"/>
      <c r="C81" s="304"/>
      <c r="D81" s="304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21"/>
        <v>9</v>
      </c>
      <c r="B82" s="447"/>
      <c r="C82" s="304"/>
      <c r="D82" s="304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6" thickBot="1">
      <c r="A83" s="439" t="s">
        <v>840</v>
      </c>
      <c r="B83" s="439"/>
      <c r="C83" s="439"/>
      <c r="D83" s="439"/>
      <c r="E83" s="439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7" t="s">
        <v>37</v>
      </c>
      <c r="B84" s="468"/>
      <c r="C84" s="468" t="s">
        <v>53</v>
      </c>
      <c r="D84" s="468"/>
      <c r="E84" s="468" t="s">
        <v>54</v>
      </c>
      <c r="F84" s="468"/>
      <c r="G84" s="468"/>
      <c r="H84" s="468"/>
      <c r="I84" s="468"/>
      <c r="J84" s="468"/>
      <c r="K84" s="468" t="s">
        <v>55</v>
      </c>
      <c r="L84" s="468"/>
      <c r="M84" s="468"/>
      <c r="N84" s="468"/>
      <c r="O84" s="468"/>
      <c r="P84" s="468"/>
      <c r="Q84" s="468"/>
      <c r="R84" s="468"/>
      <c r="S84" s="468"/>
      <c r="T84" s="468" t="s">
        <v>56</v>
      </c>
      <c r="U84" s="468"/>
      <c r="V84" s="468" t="s">
        <v>57</v>
      </c>
      <c r="W84" s="468"/>
      <c r="X84" s="468"/>
      <c r="Y84" s="468" t="s">
        <v>52</v>
      </c>
      <c r="Z84" s="468"/>
      <c r="AA84" s="468"/>
      <c r="AB84" s="468"/>
      <c r="AC84" s="468"/>
      <c r="AD84" s="469"/>
      <c r="AF84" s="53"/>
    </row>
    <row r="85" spans="1:32" ht="30.75" customHeight="1">
      <c r="A85" s="470">
        <v>1</v>
      </c>
      <c r="B85" s="471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>
      <c r="A86" s="446">
        <v>2</v>
      </c>
      <c r="B86" s="447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 thickBot="1">
      <c r="A87" s="476">
        <v>3</v>
      </c>
      <c r="B87" s="477"/>
      <c r="C87" s="477"/>
      <c r="D87" s="477"/>
      <c r="E87" s="477"/>
      <c r="F87" s="477"/>
      <c r="G87" s="477"/>
      <c r="H87" s="477"/>
      <c r="I87" s="477"/>
      <c r="J87" s="477"/>
      <c r="K87" s="477"/>
      <c r="L87" s="477"/>
      <c r="M87" s="477"/>
      <c r="N87" s="477"/>
      <c r="O87" s="477"/>
      <c r="P87" s="477"/>
      <c r="Q87" s="477"/>
      <c r="R87" s="477"/>
      <c r="S87" s="477"/>
      <c r="T87" s="477"/>
      <c r="U87" s="477"/>
      <c r="V87" s="477"/>
      <c r="W87" s="477"/>
      <c r="X87" s="477"/>
      <c r="Y87" s="478"/>
      <c r="Z87" s="478"/>
      <c r="AA87" s="478"/>
      <c r="AB87" s="478"/>
      <c r="AC87" s="478"/>
      <c r="AD87" s="479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841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624</v>
      </c>
      <c r="F6" s="12" t="s">
        <v>292</v>
      </c>
      <c r="G6" s="36">
        <v>1</v>
      </c>
      <c r="H6" s="38">
        <v>25</v>
      </c>
      <c r="I6" s="7">
        <v>60000</v>
      </c>
      <c r="J6" s="14">
        <v>4920</v>
      </c>
      <c r="K6" s="15">
        <f>L6+3451+4945+5014+4206+4870</f>
        <v>27406</v>
      </c>
      <c r="L6" s="15">
        <f>2405+2515</f>
        <v>4920</v>
      </c>
      <c r="M6" s="16">
        <f t="shared" ref="M6:M22" si="0">L6-N6</f>
        <v>4920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24</v>
      </c>
      <c r="Q6" s="43">
        <f t="shared" ref="Q6:Q22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9">
        <f t="shared" ref="AE6:AE15" si="7">$AD$23</f>
        <v>0.51598231777784009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746</v>
      </c>
      <c r="D7" s="55" t="s">
        <v>842</v>
      </c>
      <c r="E7" s="57" t="s">
        <v>843</v>
      </c>
      <c r="F7" s="33" t="s">
        <v>844</v>
      </c>
      <c r="G7" s="36">
        <v>1</v>
      </c>
      <c r="H7" s="38">
        <v>25</v>
      </c>
      <c r="I7" s="7">
        <v>7500</v>
      </c>
      <c r="J7" s="5">
        <v>3790</v>
      </c>
      <c r="K7" s="15">
        <f>L7</f>
        <v>3788</v>
      </c>
      <c r="L7" s="15">
        <f>1609+2179</f>
        <v>3788</v>
      </c>
      <c r="M7" s="16">
        <f t="shared" si="0"/>
        <v>3788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/>
      <c r="T7" s="17">
        <v>2</v>
      </c>
      <c r="U7" s="17"/>
      <c r="V7" s="18"/>
      <c r="W7" s="19"/>
      <c r="X7" s="17"/>
      <c r="Y7" s="20"/>
      <c r="Z7" s="20"/>
      <c r="AA7" s="21"/>
      <c r="AB7" s="8">
        <f t="shared" si="4"/>
        <v>0.99947229551451189</v>
      </c>
      <c r="AC7" s="9">
        <f t="shared" si="5"/>
        <v>0.91666666666666663</v>
      </c>
      <c r="AD7" s="10">
        <f t="shared" si="6"/>
        <v>0.91618293755496916</v>
      </c>
      <c r="AE7" s="39">
        <f t="shared" si="7"/>
        <v>0.51598231777784009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746</v>
      </c>
      <c r="D8" s="55" t="s">
        <v>167</v>
      </c>
      <c r="E8" s="57" t="s">
        <v>566</v>
      </c>
      <c r="F8" s="33" t="s">
        <v>705</v>
      </c>
      <c r="G8" s="36">
        <v>1</v>
      </c>
      <c r="H8" s="38">
        <v>35</v>
      </c>
      <c r="I8" s="7">
        <v>2000</v>
      </c>
      <c r="J8" s="14">
        <v>2140</v>
      </c>
      <c r="K8" s="15">
        <f>L8+2135</f>
        <v>2135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0.51598231777784009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753</v>
      </c>
      <c r="E9" s="57" t="s">
        <v>754</v>
      </c>
      <c r="F9" s="12" t="s">
        <v>755</v>
      </c>
      <c r="G9" s="12">
        <v>1</v>
      </c>
      <c r="H9" s="13">
        <v>25</v>
      </c>
      <c r="I9" s="34">
        <v>6500</v>
      </c>
      <c r="J9" s="5">
        <v>1260</v>
      </c>
      <c r="K9" s="15">
        <f>L9+2211+4993</f>
        <v>8460</v>
      </c>
      <c r="L9" s="15">
        <v>1256</v>
      </c>
      <c r="M9" s="16">
        <f t="shared" si="0"/>
        <v>1256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0.99682539682539684</v>
      </c>
      <c r="AC9" s="9">
        <f t="shared" si="5"/>
        <v>0.16666666666666666</v>
      </c>
      <c r="AD9" s="10">
        <f t="shared" si="6"/>
        <v>0.16613756613756614</v>
      </c>
      <c r="AE9" s="39">
        <f t="shared" si="7"/>
        <v>0.51598231777784009</v>
      </c>
      <c r="AF9" s="94">
        <f t="shared" si="8"/>
        <v>4</v>
      </c>
    </row>
    <row r="10" spans="1:32" ht="27" customHeight="1">
      <c r="A10" s="110">
        <v>4</v>
      </c>
      <c r="B10" s="11" t="s">
        <v>59</v>
      </c>
      <c r="C10" s="37" t="s">
        <v>845</v>
      </c>
      <c r="D10" s="55" t="s">
        <v>846</v>
      </c>
      <c r="E10" s="57" t="s">
        <v>847</v>
      </c>
      <c r="F10" s="12" t="s">
        <v>848</v>
      </c>
      <c r="G10" s="12">
        <v>2</v>
      </c>
      <c r="H10" s="13">
        <v>25</v>
      </c>
      <c r="I10" s="34">
        <v>1000</v>
      </c>
      <c r="J10" s="5">
        <v>1360</v>
      </c>
      <c r="K10" s="15">
        <f>L10</f>
        <v>1360</v>
      </c>
      <c r="L10" s="15">
        <f>680*2</f>
        <v>1360</v>
      </c>
      <c r="M10" s="16">
        <f t="shared" ref="M10" si="9">L10-N10</f>
        <v>1360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4</v>
      </c>
      <c r="Q10" s="43">
        <f t="shared" ref="Q10" si="12">SUM(R10:AA10)</f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0.16666666666666666</v>
      </c>
      <c r="AD10" s="10">
        <f t="shared" ref="AD10" si="15">AC10*AB10*(1-O10)</f>
        <v>0.16666666666666666</v>
      </c>
      <c r="AE10" s="39">
        <f t="shared" si="7"/>
        <v>0.51598231777784009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59</v>
      </c>
      <c r="C11" s="37" t="s">
        <v>746</v>
      </c>
      <c r="D11" s="55" t="s">
        <v>810</v>
      </c>
      <c r="E11" s="57" t="s">
        <v>811</v>
      </c>
      <c r="F11" s="12" t="s">
        <v>812</v>
      </c>
      <c r="G11" s="12">
        <v>1</v>
      </c>
      <c r="H11" s="13">
        <v>25</v>
      </c>
      <c r="I11" s="34">
        <v>6500</v>
      </c>
      <c r="J11" s="5">
        <v>2030</v>
      </c>
      <c r="K11" s="15">
        <f>L11+2193</f>
        <v>4215</v>
      </c>
      <c r="L11" s="15">
        <f>2022</f>
        <v>2022</v>
      </c>
      <c r="M11" s="16">
        <f t="shared" si="0"/>
        <v>2022</v>
      </c>
      <c r="N11" s="16">
        <v>0</v>
      </c>
      <c r="O11" s="62">
        <f t="shared" si="1"/>
        <v>0</v>
      </c>
      <c r="P11" s="42">
        <f t="shared" si="2"/>
        <v>12</v>
      </c>
      <c r="Q11" s="43">
        <f t="shared" si="3"/>
        <v>12</v>
      </c>
      <c r="R11" s="7"/>
      <c r="S11" s="6">
        <v>12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0.99605911330049257</v>
      </c>
      <c r="AC11" s="9">
        <f t="shared" si="5"/>
        <v>0.5</v>
      </c>
      <c r="AD11" s="10">
        <f t="shared" si="6"/>
        <v>0.49802955665024629</v>
      </c>
      <c r="AE11" s="39">
        <f t="shared" si="7"/>
        <v>0.51598231777784009</v>
      </c>
      <c r="AF11" s="94">
        <f t="shared" si="8"/>
        <v>5</v>
      </c>
    </row>
    <row r="12" spans="1:32" ht="27" customHeight="1">
      <c r="A12" s="110">
        <v>6</v>
      </c>
      <c r="B12" s="11" t="s">
        <v>59</v>
      </c>
      <c r="C12" s="11" t="s">
        <v>124</v>
      </c>
      <c r="D12" s="55" t="s">
        <v>813</v>
      </c>
      <c r="E12" s="56" t="s">
        <v>814</v>
      </c>
      <c r="F12" s="12" t="s">
        <v>130</v>
      </c>
      <c r="G12" s="12">
        <v>1</v>
      </c>
      <c r="H12" s="13">
        <v>25</v>
      </c>
      <c r="I12" s="34">
        <v>35000</v>
      </c>
      <c r="J12" s="14">
        <v>1620</v>
      </c>
      <c r="K12" s="15">
        <f>L12+1619</f>
        <v>1619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0.51598231777784009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746</v>
      </c>
      <c r="D13" s="55" t="s">
        <v>758</v>
      </c>
      <c r="E13" s="57" t="s">
        <v>736</v>
      </c>
      <c r="F13" s="12" t="s">
        <v>760</v>
      </c>
      <c r="G13" s="12">
        <v>1</v>
      </c>
      <c r="H13" s="13">
        <v>25</v>
      </c>
      <c r="I13" s="34">
        <v>8600</v>
      </c>
      <c r="J13" s="5">
        <v>1960</v>
      </c>
      <c r="K13" s="15">
        <f>L13+1650+3241</f>
        <v>6851</v>
      </c>
      <c r="L13" s="15">
        <v>1960</v>
      </c>
      <c r="M13" s="16">
        <f t="shared" si="0"/>
        <v>1960</v>
      </c>
      <c r="N13" s="16">
        <v>0</v>
      </c>
      <c r="O13" s="62">
        <f t="shared" si="1"/>
        <v>0</v>
      </c>
      <c r="P13" s="42">
        <f t="shared" si="2"/>
        <v>7</v>
      </c>
      <c r="Q13" s="43">
        <f t="shared" si="3"/>
        <v>17</v>
      </c>
      <c r="R13" s="7"/>
      <c r="S13" s="6"/>
      <c r="T13" s="17"/>
      <c r="U13" s="17"/>
      <c r="V13" s="18"/>
      <c r="W13" s="19">
        <v>17</v>
      </c>
      <c r="X13" s="17"/>
      <c r="Y13" s="20"/>
      <c r="Z13" s="20"/>
      <c r="AA13" s="21"/>
      <c r="AB13" s="8">
        <f t="shared" si="4"/>
        <v>1</v>
      </c>
      <c r="AC13" s="9">
        <f t="shared" si="5"/>
        <v>0.29166666666666669</v>
      </c>
      <c r="AD13" s="10">
        <f t="shared" si="6"/>
        <v>0.29166666666666669</v>
      </c>
      <c r="AE13" s="39">
        <f t="shared" si="7"/>
        <v>0.51598231777784009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761</v>
      </c>
      <c r="D14" s="55" t="s">
        <v>849</v>
      </c>
      <c r="E14" s="57" t="s">
        <v>850</v>
      </c>
      <c r="F14" s="12" t="s">
        <v>760</v>
      </c>
      <c r="G14" s="12">
        <v>2</v>
      </c>
      <c r="H14" s="13">
        <v>25</v>
      </c>
      <c r="I14" s="7">
        <v>1000</v>
      </c>
      <c r="J14" s="14">
        <v>1790</v>
      </c>
      <c r="K14" s="15">
        <f>L14</f>
        <v>1788</v>
      </c>
      <c r="L14" s="15">
        <f>894*2</f>
        <v>1788</v>
      </c>
      <c r="M14" s="16">
        <f t="shared" si="0"/>
        <v>1788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0.99888268156424576</v>
      </c>
      <c r="AC14" s="9">
        <f t="shared" si="5"/>
        <v>0.25</v>
      </c>
      <c r="AD14" s="10">
        <f t="shared" si="6"/>
        <v>0.24972067039106144</v>
      </c>
      <c r="AE14" s="39">
        <f t="shared" si="7"/>
        <v>0.51598231777784009</v>
      </c>
      <c r="AF14" s="94">
        <f t="shared" si="8"/>
        <v>8</v>
      </c>
    </row>
    <row r="15" spans="1:32" ht="27" customHeight="1">
      <c r="A15" s="110">
        <v>8</v>
      </c>
      <c r="B15" s="11" t="s">
        <v>59</v>
      </c>
      <c r="C15" s="11" t="s">
        <v>761</v>
      </c>
      <c r="D15" s="55" t="s">
        <v>851</v>
      </c>
      <c r="E15" s="57" t="s">
        <v>852</v>
      </c>
      <c r="F15" s="12">
        <v>7301</v>
      </c>
      <c r="G15" s="12">
        <v>2</v>
      </c>
      <c r="H15" s="13">
        <v>25</v>
      </c>
      <c r="I15" s="7">
        <v>1000</v>
      </c>
      <c r="J15" s="14">
        <v>1250</v>
      </c>
      <c r="K15" s="15">
        <f>L15</f>
        <v>1242</v>
      </c>
      <c r="L15" s="15">
        <f>621*2</f>
        <v>1242</v>
      </c>
      <c r="M15" s="16">
        <f t="shared" ref="M15" si="17">L15-N15</f>
        <v>1242</v>
      </c>
      <c r="N15" s="16">
        <v>0</v>
      </c>
      <c r="O15" s="62">
        <f t="shared" ref="O15" si="18">IF(L15=0,"0",N15/L15)</f>
        <v>0</v>
      </c>
      <c r="P15" s="42">
        <f t="shared" ref="P15" si="19">IF(L15=0,"0",(24-Q15))</f>
        <v>4</v>
      </c>
      <c r="Q15" s="43">
        <f t="shared" ref="Q15" si="20">SUM(R15:AA15)</f>
        <v>20</v>
      </c>
      <c r="R15" s="7"/>
      <c r="S15" s="6"/>
      <c r="T15" s="17"/>
      <c r="U15" s="17"/>
      <c r="V15" s="18"/>
      <c r="W15" s="19">
        <v>20</v>
      </c>
      <c r="X15" s="17"/>
      <c r="Y15" s="20"/>
      <c r="Z15" s="20"/>
      <c r="AA15" s="21"/>
      <c r="AB15" s="8">
        <f t="shared" ref="AB15" si="21">IF(J15=0,"0",(L15/J15))</f>
        <v>0.99360000000000004</v>
      </c>
      <c r="AC15" s="9">
        <f t="shared" ref="AC15" si="22">IF(P15=0,"0",(P15/24))</f>
        <v>0.16666666666666666</v>
      </c>
      <c r="AD15" s="10">
        <f t="shared" ref="AD15" si="23">AC15*AB15*(1-O15)</f>
        <v>0.1656</v>
      </c>
      <c r="AE15" s="39">
        <f t="shared" si="7"/>
        <v>0.51598231777784009</v>
      </c>
      <c r="AF15" s="94">
        <f t="shared" ref="AF15" si="24">A15</f>
        <v>8</v>
      </c>
    </row>
    <row r="16" spans="1:32" ht="27" customHeight="1">
      <c r="A16" s="109">
        <v>9</v>
      </c>
      <c r="B16" s="11" t="s">
        <v>59</v>
      </c>
      <c r="C16" s="37" t="s">
        <v>135</v>
      </c>
      <c r="D16" s="55" t="s">
        <v>267</v>
      </c>
      <c r="E16" s="57" t="s">
        <v>630</v>
      </c>
      <c r="F16" s="33" t="s">
        <v>158</v>
      </c>
      <c r="G16" s="36">
        <v>1</v>
      </c>
      <c r="H16" s="38">
        <v>25</v>
      </c>
      <c r="I16" s="7">
        <v>60000</v>
      </c>
      <c r="J16" s="5">
        <v>5290</v>
      </c>
      <c r="K16" s="15">
        <f>L16+3986+4493+3622</f>
        <v>17389</v>
      </c>
      <c r="L16" s="15">
        <f>2633+2655</f>
        <v>5288</v>
      </c>
      <c r="M16" s="16">
        <f t="shared" si="0"/>
        <v>5288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0.99962192816635165</v>
      </c>
      <c r="AC16" s="9">
        <f t="shared" si="5"/>
        <v>1</v>
      </c>
      <c r="AD16" s="10">
        <f t="shared" si="6"/>
        <v>0.99962192816635165</v>
      </c>
      <c r="AE16" s="39">
        <f t="shared" ref="AE16" si="25">$AD$21</f>
        <v>0.53961834733893554</v>
      </c>
      <c r="AF16" s="94">
        <f t="shared" si="8"/>
        <v>9</v>
      </c>
    </row>
    <row r="17" spans="1:32" ht="27" customHeight="1">
      <c r="A17" s="109">
        <v>10</v>
      </c>
      <c r="B17" s="11" t="s">
        <v>59</v>
      </c>
      <c r="C17" s="37" t="s">
        <v>293</v>
      </c>
      <c r="D17" s="55" t="s">
        <v>294</v>
      </c>
      <c r="E17" s="57"/>
      <c r="F17" s="12" t="s">
        <v>295</v>
      </c>
      <c r="G17" s="12">
        <v>3</v>
      </c>
      <c r="H17" s="13">
        <v>12</v>
      </c>
      <c r="I17" s="34">
        <v>60000</v>
      </c>
      <c r="J17" s="5">
        <v>25070</v>
      </c>
      <c r="K17" s="15">
        <f>L17+23046+22200+25068</f>
        <v>70314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ref="AE17:AE22" si="26">$AD$23</f>
        <v>0.51598231777784009</v>
      </c>
      <c r="AF17" s="94">
        <f t="shared" si="8"/>
        <v>10</v>
      </c>
    </row>
    <row r="18" spans="1:32" ht="27" customHeight="1">
      <c r="A18" s="109">
        <v>11</v>
      </c>
      <c r="B18" s="11" t="s">
        <v>59</v>
      </c>
      <c r="C18" s="11" t="s">
        <v>135</v>
      </c>
      <c r="D18" s="55" t="s">
        <v>240</v>
      </c>
      <c r="E18" s="56" t="s">
        <v>588</v>
      </c>
      <c r="F18" s="12">
        <v>7301</v>
      </c>
      <c r="G18" s="36">
        <v>1</v>
      </c>
      <c r="H18" s="38">
        <v>25</v>
      </c>
      <c r="I18" s="7">
        <v>60000</v>
      </c>
      <c r="J18" s="14">
        <v>5680</v>
      </c>
      <c r="K18" s="15">
        <f>L18+2811+5412+5384+3882+4403+5243</f>
        <v>32808</v>
      </c>
      <c r="L18" s="15">
        <f>2764+2909</f>
        <v>5673</v>
      </c>
      <c r="M18" s="16">
        <f t="shared" si="0"/>
        <v>5673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0.99876760563380285</v>
      </c>
      <c r="AC18" s="9">
        <f t="shared" si="5"/>
        <v>1</v>
      </c>
      <c r="AD18" s="10">
        <f t="shared" si="6"/>
        <v>0.99876760563380285</v>
      </c>
      <c r="AE18" s="39">
        <f t="shared" si="26"/>
        <v>0.51598231777784009</v>
      </c>
      <c r="AF18" s="94">
        <f t="shared" si="8"/>
        <v>11</v>
      </c>
    </row>
    <row r="19" spans="1:32" ht="27" customHeight="1">
      <c r="A19" s="109">
        <v>12</v>
      </c>
      <c r="B19" s="11" t="s">
        <v>59</v>
      </c>
      <c r="C19" s="37" t="s">
        <v>169</v>
      </c>
      <c r="D19" s="55" t="s">
        <v>853</v>
      </c>
      <c r="E19" s="56" t="s">
        <v>854</v>
      </c>
      <c r="F19" s="12" t="s">
        <v>855</v>
      </c>
      <c r="G19" s="12">
        <v>1</v>
      </c>
      <c r="H19" s="13">
        <v>25</v>
      </c>
      <c r="I19" s="34">
        <v>1000</v>
      </c>
      <c r="J19" s="5">
        <v>1370</v>
      </c>
      <c r="K19" s="15">
        <f>L19</f>
        <v>1368</v>
      </c>
      <c r="L19" s="15">
        <f>684*2</f>
        <v>1368</v>
      </c>
      <c r="M19" s="16">
        <f t="shared" si="0"/>
        <v>1368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/>
      <c r="T19" s="17"/>
      <c r="U19" s="17"/>
      <c r="V19" s="18"/>
      <c r="W19" s="19">
        <v>20</v>
      </c>
      <c r="X19" s="17"/>
      <c r="Y19" s="20"/>
      <c r="Z19" s="20"/>
      <c r="AA19" s="21"/>
      <c r="AB19" s="8">
        <f t="shared" si="4"/>
        <v>0.99854014598540142</v>
      </c>
      <c r="AC19" s="9">
        <f t="shared" si="5"/>
        <v>0.16666666666666666</v>
      </c>
      <c r="AD19" s="10">
        <f t="shared" si="6"/>
        <v>0.16642335766423355</v>
      </c>
      <c r="AE19" s="39">
        <f t="shared" si="26"/>
        <v>0.51598231777784009</v>
      </c>
      <c r="AF19" s="94">
        <f t="shared" si="8"/>
        <v>12</v>
      </c>
    </row>
    <row r="20" spans="1:32" ht="27" customHeight="1">
      <c r="A20" s="110">
        <v>13</v>
      </c>
      <c r="B20" s="11" t="s">
        <v>59</v>
      </c>
      <c r="C20" s="37" t="s">
        <v>122</v>
      </c>
      <c r="D20" s="55" t="s">
        <v>856</v>
      </c>
      <c r="E20" s="56" t="s">
        <v>857</v>
      </c>
      <c r="F20" s="33" t="s">
        <v>858</v>
      </c>
      <c r="G20" s="36">
        <v>1</v>
      </c>
      <c r="H20" s="38">
        <v>25</v>
      </c>
      <c r="I20" s="7">
        <v>1650</v>
      </c>
      <c r="J20" s="5">
        <v>1860</v>
      </c>
      <c r="K20" s="15">
        <f>L20</f>
        <v>1854</v>
      </c>
      <c r="L20" s="15">
        <f>1854</f>
        <v>1854</v>
      </c>
      <c r="M20" s="16">
        <f t="shared" si="0"/>
        <v>1854</v>
      </c>
      <c r="N20" s="16">
        <v>0</v>
      </c>
      <c r="O20" s="62">
        <f t="shared" si="1"/>
        <v>0</v>
      </c>
      <c r="P20" s="42">
        <f t="shared" si="2"/>
        <v>14</v>
      </c>
      <c r="Q20" s="43">
        <f t="shared" si="3"/>
        <v>10</v>
      </c>
      <c r="R20" s="7"/>
      <c r="S20" s="6"/>
      <c r="T20" s="17"/>
      <c r="U20" s="17"/>
      <c r="V20" s="18"/>
      <c r="W20" s="19">
        <v>10</v>
      </c>
      <c r="X20" s="17"/>
      <c r="Y20" s="20"/>
      <c r="Z20" s="20"/>
      <c r="AA20" s="21"/>
      <c r="AB20" s="8">
        <f t="shared" si="4"/>
        <v>0.99677419354838714</v>
      </c>
      <c r="AC20" s="9">
        <f t="shared" si="5"/>
        <v>0.58333333333333337</v>
      </c>
      <c r="AD20" s="10">
        <f t="shared" si="6"/>
        <v>0.58145161290322589</v>
      </c>
      <c r="AE20" s="39">
        <f t="shared" si="26"/>
        <v>0.51598231777784009</v>
      </c>
      <c r="AF20" s="94">
        <f t="shared" si="8"/>
        <v>13</v>
      </c>
    </row>
    <row r="21" spans="1:32" ht="27" customHeight="1">
      <c r="A21" s="110">
        <v>14</v>
      </c>
      <c r="B21" s="11" t="s">
        <v>59</v>
      </c>
      <c r="C21" s="37" t="s">
        <v>135</v>
      </c>
      <c r="D21" s="55" t="s">
        <v>58</v>
      </c>
      <c r="E21" s="57" t="s">
        <v>590</v>
      </c>
      <c r="F21" s="33" t="s">
        <v>591</v>
      </c>
      <c r="G21" s="36">
        <v>1</v>
      </c>
      <c r="H21" s="38">
        <v>25</v>
      </c>
      <c r="I21" s="34">
        <v>60000</v>
      </c>
      <c r="J21" s="5">
        <v>2380</v>
      </c>
      <c r="K21" s="15">
        <f>L21+2028+3807+3338+3450+4167+2008</f>
        <v>21169</v>
      </c>
      <c r="L21" s="15">
        <f>712+1659</f>
        <v>2371</v>
      </c>
      <c r="M21" s="16">
        <f t="shared" si="0"/>
        <v>2371</v>
      </c>
      <c r="N21" s="16">
        <v>0</v>
      </c>
      <c r="O21" s="62">
        <f t="shared" si="1"/>
        <v>0</v>
      </c>
      <c r="P21" s="42">
        <f t="shared" si="2"/>
        <v>13</v>
      </c>
      <c r="Q21" s="43">
        <f t="shared" si="3"/>
        <v>11</v>
      </c>
      <c r="R21" s="7"/>
      <c r="S21" s="6">
        <v>11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0.996218487394958</v>
      </c>
      <c r="AC21" s="9">
        <f t="shared" si="5"/>
        <v>0.54166666666666663</v>
      </c>
      <c r="AD21" s="10">
        <f t="shared" si="6"/>
        <v>0.53961834733893554</v>
      </c>
      <c r="AE21" s="39">
        <f t="shared" si="26"/>
        <v>0.51598231777784009</v>
      </c>
      <c r="AF21" s="94">
        <f t="shared" si="8"/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 t="s">
        <v>764</v>
      </c>
      <c r="E22" s="56"/>
      <c r="F22" s="12" t="s">
        <v>120</v>
      </c>
      <c r="G22" s="12">
        <v>4</v>
      </c>
      <c r="H22" s="38">
        <v>20</v>
      </c>
      <c r="I22" s="7">
        <v>200000</v>
      </c>
      <c r="J22" s="14">
        <v>52580</v>
      </c>
      <c r="K22" s="15">
        <f>L22+40636</f>
        <v>93208</v>
      </c>
      <c r="L22" s="15">
        <f>6384*4+6759*4</f>
        <v>52572</v>
      </c>
      <c r="M22" s="16">
        <f t="shared" si="0"/>
        <v>52572</v>
      </c>
      <c r="N22" s="16">
        <v>0</v>
      </c>
      <c r="O22" s="62">
        <f t="shared" si="1"/>
        <v>0</v>
      </c>
      <c r="P22" s="42">
        <f t="shared" si="2"/>
        <v>24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0.99984785089387596</v>
      </c>
      <c r="AC22" s="9">
        <f t="shared" si="5"/>
        <v>1</v>
      </c>
      <c r="AD22" s="10">
        <f t="shared" si="6"/>
        <v>0.99984785089387596</v>
      </c>
      <c r="AE22" s="39">
        <f t="shared" si="26"/>
        <v>0.51598231777784009</v>
      </c>
      <c r="AF22" s="94">
        <f t="shared" si="8"/>
        <v>15</v>
      </c>
    </row>
    <row r="23" spans="1:32" ht="31.5" customHeight="1" thickBot="1">
      <c r="A23" s="386" t="s">
        <v>34</v>
      </c>
      <c r="B23" s="387"/>
      <c r="C23" s="387"/>
      <c r="D23" s="387"/>
      <c r="E23" s="387"/>
      <c r="F23" s="387"/>
      <c r="G23" s="387"/>
      <c r="H23" s="388"/>
      <c r="I23" s="25">
        <f t="shared" ref="I23:N23" si="27">SUM(I6:I22)</f>
        <v>571750</v>
      </c>
      <c r="J23" s="22">
        <f t="shared" si="27"/>
        <v>116350</v>
      </c>
      <c r="K23" s="23">
        <f t="shared" si="27"/>
        <v>296974</v>
      </c>
      <c r="L23" s="24">
        <f t="shared" si="27"/>
        <v>87462</v>
      </c>
      <c r="M23" s="23">
        <f t="shared" si="27"/>
        <v>87462</v>
      </c>
      <c r="N23" s="24">
        <f t="shared" si="27"/>
        <v>0</v>
      </c>
      <c r="O23" s="44">
        <f t="shared" si="1"/>
        <v>0</v>
      </c>
      <c r="P23" s="45">
        <f t="shared" ref="P23:AA23" si="28">SUM(P6:P22)</f>
        <v>186</v>
      </c>
      <c r="Q23" s="46">
        <f t="shared" si="28"/>
        <v>222</v>
      </c>
      <c r="R23" s="26">
        <f t="shared" si="28"/>
        <v>0</v>
      </c>
      <c r="S23" s="27">
        <f t="shared" si="28"/>
        <v>47</v>
      </c>
      <c r="T23" s="27">
        <f t="shared" si="28"/>
        <v>2</v>
      </c>
      <c r="U23" s="27">
        <f t="shared" si="28"/>
        <v>0</v>
      </c>
      <c r="V23" s="28">
        <f t="shared" si="28"/>
        <v>0</v>
      </c>
      <c r="W23" s="29">
        <f t="shared" si="28"/>
        <v>173</v>
      </c>
      <c r="X23" s="30">
        <f t="shared" si="28"/>
        <v>0</v>
      </c>
      <c r="Y23" s="30">
        <f t="shared" si="28"/>
        <v>0</v>
      </c>
      <c r="Z23" s="30">
        <f t="shared" si="28"/>
        <v>0</v>
      </c>
      <c r="AA23" s="30">
        <f t="shared" si="28"/>
        <v>0</v>
      </c>
      <c r="AB23" s="31">
        <f>SUM(AB6:AB22)/15</f>
        <v>0.93164064658849499</v>
      </c>
      <c r="AC23" s="4">
        <f>SUM(AC6:AC22)/15</f>
        <v>0.51666666666666661</v>
      </c>
      <c r="AD23" s="4">
        <f>SUM(AD6:AD22)/15</f>
        <v>0.51598231777784009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89" t="s">
        <v>46</v>
      </c>
      <c r="B50" s="389"/>
      <c r="C50" s="389"/>
      <c r="D50" s="389"/>
      <c r="E50" s="389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90" t="s">
        <v>859</v>
      </c>
      <c r="B51" s="391"/>
      <c r="C51" s="391"/>
      <c r="D51" s="391"/>
      <c r="E51" s="391"/>
      <c r="F51" s="391"/>
      <c r="G51" s="391"/>
      <c r="H51" s="391"/>
      <c r="I51" s="391"/>
      <c r="J51" s="391"/>
      <c r="K51" s="391"/>
      <c r="L51" s="391"/>
      <c r="M51" s="392"/>
      <c r="N51" s="393" t="s">
        <v>871</v>
      </c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394"/>
      <c r="AA51" s="394"/>
      <c r="AB51" s="394"/>
      <c r="AC51" s="394"/>
      <c r="AD51" s="395"/>
    </row>
    <row r="52" spans="1:32" ht="27" customHeight="1">
      <c r="A52" s="396" t="s">
        <v>2</v>
      </c>
      <c r="B52" s="397"/>
      <c r="C52" s="316" t="s">
        <v>47</v>
      </c>
      <c r="D52" s="316" t="s">
        <v>48</v>
      </c>
      <c r="E52" s="316" t="s">
        <v>113</v>
      </c>
      <c r="F52" s="397" t="s">
        <v>112</v>
      </c>
      <c r="G52" s="397"/>
      <c r="H52" s="397"/>
      <c r="I52" s="397"/>
      <c r="J52" s="397"/>
      <c r="K52" s="397"/>
      <c r="L52" s="397"/>
      <c r="M52" s="398"/>
      <c r="N52" s="73" t="s">
        <v>117</v>
      </c>
      <c r="O52" s="316" t="s">
        <v>47</v>
      </c>
      <c r="P52" s="399" t="s">
        <v>48</v>
      </c>
      <c r="Q52" s="400"/>
      <c r="R52" s="399" t="s">
        <v>39</v>
      </c>
      <c r="S52" s="401"/>
      <c r="T52" s="401"/>
      <c r="U52" s="400"/>
      <c r="V52" s="399" t="s">
        <v>49</v>
      </c>
      <c r="W52" s="401"/>
      <c r="X52" s="401"/>
      <c r="Y52" s="401"/>
      <c r="Z52" s="401"/>
      <c r="AA52" s="401"/>
      <c r="AB52" s="401"/>
      <c r="AC52" s="401"/>
      <c r="AD52" s="402"/>
    </row>
    <row r="53" spans="1:32" ht="27" customHeight="1">
      <c r="A53" s="413" t="s">
        <v>122</v>
      </c>
      <c r="B53" s="414"/>
      <c r="C53" s="315" t="s">
        <v>262</v>
      </c>
      <c r="D53" s="312" t="s">
        <v>810</v>
      </c>
      <c r="E53" s="315" t="s">
        <v>811</v>
      </c>
      <c r="F53" s="415" t="s">
        <v>860</v>
      </c>
      <c r="G53" s="415"/>
      <c r="H53" s="415"/>
      <c r="I53" s="415"/>
      <c r="J53" s="415"/>
      <c r="K53" s="415"/>
      <c r="L53" s="415"/>
      <c r="M53" s="416"/>
      <c r="N53" s="311" t="s">
        <v>140</v>
      </c>
      <c r="O53" s="74" t="s">
        <v>492</v>
      </c>
      <c r="P53" s="417" t="s">
        <v>810</v>
      </c>
      <c r="Q53" s="418"/>
      <c r="R53" s="419" t="s">
        <v>834</v>
      </c>
      <c r="S53" s="419"/>
      <c r="T53" s="419"/>
      <c r="U53" s="419"/>
      <c r="V53" s="415" t="s">
        <v>872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135</v>
      </c>
      <c r="B54" s="414"/>
      <c r="C54" s="315" t="s">
        <v>599</v>
      </c>
      <c r="D54" s="312" t="s">
        <v>58</v>
      </c>
      <c r="E54" s="315" t="s">
        <v>590</v>
      </c>
      <c r="F54" s="415" t="s">
        <v>861</v>
      </c>
      <c r="G54" s="415"/>
      <c r="H54" s="415"/>
      <c r="I54" s="415"/>
      <c r="J54" s="415"/>
      <c r="K54" s="415"/>
      <c r="L54" s="415"/>
      <c r="M54" s="416"/>
      <c r="N54" s="311" t="s">
        <v>863</v>
      </c>
      <c r="O54" s="74" t="s">
        <v>208</v>
      </c>
      <c r="P54" s="419" t="s">
        <v>849</v>
      </c>
      <c r="Q54" s="419"/>
      <c r="R54" s="419" t="s">
        <v>873</v>
      </c>
      <c r="S54" s="419"/>
      <c r="T54" s="419"/>
      <c r="U54" s="419"/>
      <c r="V54" s="415" t="s">
        <v>865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13" t="s">
        <v>863</v>
      </c>
      <c r="B55" s="414"/>
      <c r="C55" s="315" t="s">
        <v>443</v>
      </c>
      <c r="D55" s="312" t="s">
        <v>864</v>
      </c>
      <c r="E55" s="315" t="s">
        <v>862</v>
      </c>
      <c r="F55" s="415" t="s">
        <v>865</v>
      </c>
      <c r="G55" s="415"/>
      <c r="H55" s="415"/>
      <c r="I55" s="415"/>
      <c r="J55" s="415"/>
      <c r="K55" s="415"/>
      <c r="L55" s="415"/>
      <c r="M55" s="416"/>
      <c r="N55" s="311" t="s">
        <v>180</v>
      </c>
      <c r="O55" s="74" t="s">
        <v>875</v>
      </c>
      <c r="P55" s="419" t="s">
        <v>866</v>
      </c>
      <c r="Q55" s="419"/>
      <c r="R55" s="419" t="s">
        <v>874</v>
      </c>
      <c r="S55" s="419"/>
      <c r="T55" s="419"/>
      <c r="U55" s="419"/>
      <c r="V55" s="415" t="s">
        <v>446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169</v>
      </c>
      <c r="B56" s="414"/>
      <c r="C56" s="315" t="s">
        <v>208</v>
      </c>
      <c r="D56" s="312" t="s">
        <v>849</v>
      </c>
      <c r="E56" s="315" t="s">
        <v>832</v>
      </c>
      <c r="F56" s="415" t="s">
        <v>170</v>
      </c>
      <c r="G56" s="415"/>
      <c r="H56" s="415"/>
      <c r="I56" s="415"/>
      <c r="J56" s="415"/>
      <c r="K56" s="415"/>
      <c r="L56" s="415"/>
      <c r="M56" s="416"/>
      <c r="N56" s="311" t="s">
        <v>180</v>
      </c>
      <c r="O56" s="74" t="s">
        <v>877</v>
      </c>
      <c r="P56" s="417" t="s">
        <v>864</v>
      </c>
      <c r="Q56" s="418"/>
      <c r="R56" s="419" t="s">
        <v>876</v>
      </c>
      <c r="S56" s="419"/>
      <c r="T56" s="419"/>
      <c r="U56" s="419"/>
      <c r="V56" s="415" t="s">
        <v>170</v>
      </c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 t="s">
        <v>169</v>
      </c>
      <c r="B57" s="419"/>
      <c r="C57" s="312" t="s">
        <v>208</v>
      </c>
      <c r="D57" s="312" t="s">
        <v>866</v>
      </c>
      <c r="E57" s="315" t="s">
        <v>852</v>
      </c>
      <c r="F57" s="415" t="s">
        <v>170</v>
      </c>
      <c r="G57" s="415"/>
      <c r="H57" s="415"/>
      <c r="I57" s="415"/>
      <c r="J57" s="415"/>
      <c r="K57" s="415"/>
      <c r="L57" s="415"/>
      <c r="M57" s="416"/>
      <c r="N57" s="311" t="s">
        <v>879</v>
      </c>
      <c r="O57" s="74" t="s">
        <v>869</v>
      </c>
      <c r="P57" s="417"/>
      <c r="Q57" s="418"/>
      <c r="R57" s="419" t="s">
        <v>878</v>
      </c>
      <c r="S57" s="419"/>
      <c r="T57" s="419"/>
      <c r="U57" s="419"/>
      <c r="V57" s="415" t="s">
        <v>170</v>
      </c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 t="s">
        <v>169</v>
      </c>
      <c r="B58" s="414"/>
      <c r="C58" s="315" t="s">
        <v>483</v>
      </c>
      <c r="D58" s="312" t="s">
        <v>867</v>
      </c>
      <c r="E58" s="315" t="s">
        <v>854</v>
      </c>
      <c r="F58" s="415" t="s">
        <v>170</v>
      </c>
      <c r="G58" s="415"/>
      <c r="H58" s="415"/>
      <c r="I58" s="415"/>
      <c r="J58" s="415"/>
      <c r="K58" s="415"/>
      <c r="L58" s="415"/>
      <c r="M58" s="416"/>
      <c r="N58" s="311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 t="s">
        <v>868</v>
      </c>
      <c r="B59" s="419"/>
      <c r="C59" s="312" t="s">
        <v>869</v>
      </c>
      <c r="D59" s="312" t="s">
        <v>870</v>
      </c>
      <c r="E59" s="315" t="s">
        <v>838</v>
      </c>
      <c r="F59" s="415" t="s">
        <v>170</v>
      </c>
      <c r="G59" s="415"/>
      <c r="H59" s="415"/>
      <c r="I59" s="415"/>
      <c r="J59" s="415"/>
      <c r="K59" s="415"/>
      <c r="L59" s="415"/>
      <c r="M59" s="416"/>
      <c r="N59" s="311"/>
      <c r="O59" s="74"/>
      <c r="P59" s="417"/>
      <c r="Q59" s="418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</row>
    <row r="60" spans="1:32" ht="27" customHeight="1">
      <c r="A60" s="413"/>
      <c r="B60" s="414"/>
      <c r="C60" s="315"/>
      <c r="D60" s="312"/>
      <c r="E60" s="315"/>
      <c r="F60" s="415"/>
      <c r="G60" s="415"/>
      <c r="H60" s="415"/>
      <c r="I60" s="415"/>
      <c r="J60" s="415"/>
      <c r="K60" s="415"/>
      <c r="L60" s="415"/>
      <c r="M60" s="416"/>
      <c r="N60" s="311"/>
      <c r="O60" s="74"/>
      <c r="P60" s="419"/>
      <c r="Q60" s="419"/>
      <c r="R60" s="419"/>
      <c r="S60" s="419"/>
      <c r="T60" s="419"/>
      <c r="U60" s="419"/>
      <c r="V60" s="415"/>
      <c r="W60" s="415"/>
      <c r="X60" s="415"/>
      <c r="Y60" s="415"/>
      <c r="Z60" s="415"/>
      <c r="AA60" s="415"/>
      <c r="AB60" s="415"/>
      <c r="AC60" s="415"/>
      <c r="AD60" s="416"/>
    </row>
    <row r="61" spans="1:32" ht="27" customHeight="1">
      <c r="A61" s="420"/>
      <c r="B61" s="419"/>
      <c r="C61" s="312"/>
      <c r="D61" s="312"/>
      <c r="E61" s="312"/>
      <c r="F61" s="415"/>
      <c r="G61" s="415"/>
      <c r="H61" s="415"/>
      <c r="I61" s="415"/>
      <c r="J61" s="415"/>
      <c r="K61" s="415"/>
      <c r="L61" s="415"/>
      <c r="M61" s="416"/>
      <c r="N61" s="311"/>
      <c r="O61" s="74"/>
      <c r="P61" s="419"/>
      <c r="Q61" s="419"/>
      <c r="R61" s="419"/>
      <c r="S61" s="419"/>
      <c r="T61" s="419"/>
      <c r="U61" s="419"/>
      <c r="V61" s="415"/>
      <c r="W61" s="415"/>
      <c r="X61" s="415"/>
      <c r="Y61" s="415"/>
      <c r="Z61" s="415"/>
      <c r="AA61" s="415"/>
      <c r="AB61" s="415"/>
      <c r="AC61" s="415"/>
      <c r="AD61" s="416"/>
      <c r="AF61" s="94">
        <f>8*3000</f>
        <v>24000</v>
      </c>
    </row>
    <row r="62" spans="1:32" ht="27" customHeight="1" thickBot="1">
      <c r="A62" s="421"/>
      <c r="B62" s="422"/>
      <c r="C62" s="314"/>
      <c r="D62" s="314"/>
      <c r="E62" s="314"/>
      <c r="F62" s="423"/>
      <c r="G62" s="423"/>
      <c r="H62" s="423"/>
      <c r="I62" s="423"/>
      <c r="J62" s="423"/>
      <c r="K62" s="423"/>
      <c r="L62" s="423"/>
      <c r="M62" s="424"/>
      <c r="N62" s="313"/>
      <c r="O62" s="121"/>
      <c r="P62" s="422"/>
      <c r="Q62" s="422"/>
      <c r="R62" s="422"/>
      <c r="S62" s="422"/>
      <c r="T62" s="422"/>
      <c r="U62" s="422"/>
      <c r="V62" s="423"/>
      <c r="W62" s="423"/>
      <c r="X62" s="423"/>
      <c r="Y62" s="423"/>
      <c r="Z62" s="423"/>
      <c r="AA62" s="423"/>
      <c r="AB62" s="423"/>
      <c r="AC62" s="423"/>
      <c r="AD62" s="424"/>
      <c r="AF62" s="94">
        <f>16*3000</f>
        <v>48000</v>
      </c>
    </row>
    <row r="63" spans="1:32" ht="27.75" thickBot="1">
      <c r="A63" s="425" t="s">
        <v>880</v>
      </c>
      <c r="B63" s="425"/>
      <c r="C63" s="425"/>
      <c r="D63" s="425"/>
      <c r="E63" s="425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26" t="s">
        <v>118</v>
      </c>
      <c r="B64" s="427"/>
      <c r="C64" s="310" t="s">
        <v>2</v>
      </c>
      <c r="D64" s="310" t="s">
        <v>38</v>
      </c>
      <c r="E64" s="310" t="s">
        <v>3</v>
      </c>
      <c r="F64" s="427" t="s">
        <v>115</v>
      </c>
      <c r="G64" s="427"/>
      <c r="H64" s="427"/>
      <c r="I64" s="427"/>
      <c r="J64" s="427"/>
      <c r="K64" s="427" t="s">
        <v>40</v>
      </c>
      <c r="L64" s="427"/>
      <c r="M64" s="310" t="s">
        <v>41</v>
      </c>
      <c r="N64" s="427" t="s">
        <v>42</v>
      </c>
      <c r="O64" s="427"/>
      <c r="P64" s="428" t="s">
        <v>43</v>
      </c>
      <c r="Q64" s="429"/>
      <c r="R64" s="428" t="s">
        <v>44</v>
      </c>
      <c r="S64" s="430"/>
      <c r="T64" s="430"/>
      <c r="U64" s="430"/>
      <c r="V64" s="430"/>
      <c r="W64" s="430"/>
      <c r="X64" s="430"/>
      <c r="Y64" s="430"/>
      <c r="Z64" s="430"/>
      <c r="AA64" s="429"/>
      <c r="AB64" s="427" t="s">
        <v>45</v>
      </c>
      <c r="AC64" s="427"/>
      <c r="AD64" s="431"/>
      <c r="AF64" s="94">
        <f>SUM(AF61:AF63)</f>
        <v>96000</v>
      </c>
    </row>
    <row r="65" spans="1:32" ht="26.25" customHeight="1">
      <c r="A65" s="432">
        <v>1</v>
      </c>
      <c r="B65" s="433"/>
      <c r="C65" s="123" t="s">
        <v>200</v>
      </c>
      <c r="D65" s="306"/>
      <c r="E65" s="308" t="s">
        <v>849</v>
      </c>
      <c r="F65" s="434" t="s">
        <v>881</v>
      </c>
      <c r="G65" s="434"/>
      <c r="H65" s="434"/>
      <c r="I65" s="434"/>
      <c r="J65" s="434"/>
      <c r="K65" s="435" t="s">
        <v>662</v>
      </c>
      <c r="L65" s="436"/>
      <c r="M65" s="54" t="s">
        <v>837</v>
      </c>
      <c r="N65" s="434">
        <v>5</v>
      </c>
      <c r="O65" s="434"/>
      <c r="P65" s="437">
        <v>10</v>
      </c>
      <c r="Q65" s="437"/>
      <c r="R65" s="415" t="s">
        <v>882</v>
      </c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</row>
    <row r="66" spans="1:32" ht="26.25" customHeight="1">
      <c r="A66" s="432">
        <v>2</v>
      </c>
      <c r="B66" s="433"/>
      <c r="C66" s="123" t="s">
        <v>200</v>
      </c>
      <c r="D66" s="306"/>
      <c r="E66" s="308" t="s">
        <v>191</v>
      </c>
      <c r="F66" s="434" t="s">
        <v>883</v>
      </c>
      <c r="G66" s="434"/>
      <c r="H66" s="434"/>
      <c r="I66" s="434"/>
      <c r="J66" s="434"/>
      <c r="K66" s="480" t="s">
        <v>884</v>
      </c>
      <c r="L66" s="481"/>
      <c r="M66" s="54" t="s">
        <v>885</v>
      </c>
      <c r="N66" s="434">
        <v>7</v>
      </c>
      <c r="O66" s="434"/>
      <c r="P66" s="437">
        <v>10</v>
      </c>
      <c r="Q66" s="437"/>
      <c r="R66" s="415" t="s">
        <v>886</v>
      </c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</row>
    <row r="67" spans="1:32" ht="26.25" customHeight="1">
      <c r="A67" s="432">
        <v>3</v>
      </c>
      <c r="B67" s="433"/>
      <c r="C67" s="123"/>
      <c r="D67" s="306"/>
      <c r="E67" s="308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4</v>
      </c>
      <c r="B68" s="433"/>
      <c r="C68" s="123"/>
      <c r="D68" s="306"/>
      <c r="E68" s="308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5</v>
      </c>
      <c r="B69" s="433"/>
      <c r="C69" s="123"/>
      <c r="D69" s="306"/>
      <c r="E69" s="308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6</v>
      </c>
      <c r="B70" s="433"/>
      <c r="C70" s="123"/>
      <c r="D70" s="306"/>
      <c r="E70" s="308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>
      <c r="A71" s="432">
        <v>7</v>
      </c>
      <c r="B71" s="433"/>
      <c r="C71" s="123"/>
      <c r="D71" s="306"/>
      <c r="E71" s="308"/>
      <c r="F71" s="434"/>
      <c r="G71" s="434"/>
      <c r="H71" s="434"/>
      <c r="I71" s="434"/>
      <c r="J71" s="434"/>
      <c r="K71" s="434"/>
      <c r="L71" s="434"/>
      <c r="M71" s="54"/>
      <c r="N71" s="434"/>
      <c r="O71" s="434"/>
      <c r="P71" s="437"/>
      <c r="Q71" s="437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34"/>
      <c r="AC71" s="434"/>
      <c r="AD71" s="438"/>
      <c r="AF71" s="53"/>
    </row>
    <row r="72" spans="1:32" ht="26.25" customHeight="1">
      <c r="A72" s="432">
        <v>8</v>
      </c>
      <c r="B72" s="433"/>
      <c r="C72" s="123"/>
      <c r="D72" s="306"/>
      <c r="E72" s="308"/>
      <c r="F72" s="434"/>
      <c r="G72" s="434"/>
      <c r="H72" s="434"/>
      <c r="I72" s="434"/>
      <c r="J72" s="434"/>
      <c r="K72" s="434"/>
      <c r="L72" s="434"/>
      <c r="M72" s="54"/>
      <c r="N72" s="434"/>
      <c r="O72" s="434"/>
      <c r="P72" s="437"/>
      <c r="Q72" s="437"/>
      <c r="R72" s="415"/>
      <c r="S72" s="415"/>
      <c r="T72" s="415"/>
      <c r="U72" s="415"/>
      <c r="V72" s="415"/>
      <c r="W72" s="415"/>
      <c r="X72" s="415"/>
      <c r="Y72" s="415"/>
      <c r="Z72" s="415"/>
      <c r="AA72" s="415"/>
      <c r="AB72" s="434"/>
      <c r="AC72" s="434"/>
      <c r="AD72" s="438"/>
      <c r="AF72" s="53"/>
    </row>
    <row r="73" spans="1:32" ht="26.25" customHeight="1" thickBot="1">
      <c r="A73" s="439" t="s">
        <v>887</v>
      </c>
      <c r="B73" s="439"/>
      <c r="C73" s="439"/>
      <c r="D73" s="439"/>
      <c r="E73" s="439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40" t="s">
        <v>118</v>
      </c>
      <c r="B74" s="441"/>
      <c r="C74" s="309" t="s">
        <v>2</v>
      </c>
      <c r="D74" s="309" t="s">
        <v>38</v>
      </c>
      <c r="E74" s="309" t="s">
        <v>3</v>
      </c>
      <c r="F74" s="441" t="s">
        <v>39</v>
      </c>
      <c r="G74" s="441"/>
      <c r="H74" s="441"/>
      <c r="I74" s="441"/>
      <c r="J74" s="441"/>
      <c r="K74" s="442" t="s">
        <v>60</v>
      </c>
      <c r="L74" s="443"/>
      <c r="M74" s="443"/>
      <c r="N74" s="443"/>
      <c r="O74" s="443"/>
      <c r="P74" s="443"/>
      <c r="Q74" s="443"/>
      <c r="R74" s="443"/>
      <c r="S74" s="444"/>
      <c r="T74" s="441" t="s">
        <v>50</v>
      </c>
      <c r="U74" s="441"/>
      <c r="V74" s="442" t="s">
        <v>51</v>
      </c>
      <c r="W74" s="444"/>
      <c r="X74" s="443" t="s">
        <v>52</v>
      </c>
      <c r="Y74" s="443"/>
      <c r="Z74" s="443"/>
      <c r="AA74" s="443"/>
      <c r="AB74" s="443"/>
      <c r="AC74" s="443"/>
      <c r="AD74" s="445"/>
      <c r="AF74" s="53"/>
    </row>
    <row r="75" spans="1:32" ht="33.75" customHeight="1">
      <c r="A75" s="454">
        <v>1</v>
      </c>
      <c r="B75" s="455"/>
      <c r="C75" s="307" t="s">
        <v>62</v>
      </c>
      <c r="D75" s="307"/>
      <c r="E75" s="71" t="s">
        <v>58</v>
      </c>
      <c r="F75" s="456" t="s">
        <v>63</v>
      </c>
      <c r="G75" s="457"/>
      <c r="H75" s="457"/>
      <c r="I75" s="457"/>
      <c r="J75" s="458"/>
      <c r="K75" s="459" t="s">
        <v>61</v>
      </c>
      <c r="L75" s="460"/>
      <c r="M75" s="460"/>
      <c r="N75" s="460"/>
      <c r="O75" s="460"/>
      <c r="P75" s="460"/>
      <c r="Q75" s="460"/>
      <c r="R75" s="460"/>
      <c r="S75" s="461"/>
      <c r="T75" s="462">
        <v>41791</v>
      </c>
      <c r="U75" s="463"/>
      <c r="V75" s="464"/>
      <c r="W75" s="464"/>
      <c r="X75" s="465"/>
      <c r="Y75" s="465"/>
      <c r="Z75" s="465"/>
      <c r="AA75" s="465"/>
      <c r="AB75" s="465"/>
      <c r="AC75" s="465"/>
      <c r="AD75" s="466"/>
      <c r="AF75" s="53"/>
    </row>
    <row r="76" spans="1:32" ht="30" customHeight="1">
      <c r="A76" s="446">
        <f>A75+1</f>
        <v>2</v>
      </c>
      <c r="B76" s="447"/>
      <c r="C76" s="306" t="s">
        <v>135</v>
      </c>
      <c r="D76" s="306"/>
      <c r="E76" s="35" t="s">
        <v>121</v>
      </c>
      <c r="F76" s="447" t="s">
        <v>274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42779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ref="A77:A83" si="29">A76+1</f>
        <v>3</v>
      </c>
      <c r="B77" s="447"/>
      <c r="C77" s="306" t="s">
        <v>62</v>
      </c>
      <c r="D77" s="306"/>
      <c r="E77" s="35" t="s">
        <v>121</v>
      </c>
      <c r="F77" s="447" t="s">
        <v>127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29"/>
        <v>4</v>
      </c>
      <c r="B78" s="447"/>
      <c r="C78" s="306" t="s">
        <v>62</v>
      </c>
      <c r="D78" s="306"/>
      <c r="E78" s="35" t="s">
        <v>121</v>
      </c>
      <c r="F78" s="447" t="s">
        <v>126</v>
      </c>
      <c r="G78" s="447"/>
      <c r="H78" s="447"/>
      <c r="I78" s="447"/>
      <c r="J78" s="447"/>
      <c r="K78" s="448" t="s">
        <v>61</v>
      </c>
      <c r="L78" s="449"/>
      <c r="M78" s="449"/>
      <c r="N78" s="449"/>
      <c r="O78" s="449"/>
      <c r="P78" s="449"/>
      <c r="Q78" s="449"/>
      <c r="R78" s="449"/>
      <c r="S78" s="450"/>
      <c r="T78" s="451">
        <v>42667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29"/>
        <v>5</v>
      </c>
      <c r="B79" s="447"/>
      <c r="C79" s="306" t="s">
        <v>62</v>
      </c>
      <c r="D79" s="306"/>
      <c r="E79" s="35" t="s">
        <v>58</v>
      </c>
      <c r="F79" s="447" t="s">
        <v>128</v>
      </c>
      <c r="G79" s="447"/>
      <c r="H79" s="447"/>
      <c r="I79" s="447"/>
      <c r="J79" s="447"/>
      <c r="K79" s="448" t="s">
        <v>61</v>
      </c>
      <c r="L79" s="449"/>
      <c r="M79" s="449"/>
      <c r="N79" s="449"/>
      <c r="O79" s="449"/>
      <c r="P79" s="449"/>
      <c r="Q79" s="449"/>
      <c r="R79" s="449"/>
      <c r="S79" s="450"/>
      <c r="T79" s="451">
        <v>42667</v>
      </c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29"/>
        <v>6</v>
      </c>
      <c r="B80" s="447"/>
      <c r="C80" s="306" t="s">
        <v>135</v>
      </c>
      <c r="D80" s="306"/>
      <c r="E80" s="35" t="s">
        <v>121</v>
      </c>
      <c r="F80" s="447" t="s">
        <v>149</v>
      </c>
      <c r="G80" s="447"/>
      <c r="H80" s="447"/>
      <c r="I80" s="447"/>
      <c r="J80" s="447"/>
      <c r="K80" s="448" t="s">
        <v>133</v>
      </c>
      <c r="L80" s="449"/>
      <c r="M80" s="449"/>
      <c r="N80" s="449"/>
      <c r="O80" s="449"/>
      <c r="P80" s="449"/>
      <c r="Q80" s="449"/>
      <c r="R80" s="449"/>
      <c r="S80" s="450"/>
      <c r="T80" s="451">
        <v>42770</v>
      </c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29"/>
        <v>7</v>
      </c>
      <c r="B81" s="447"/>
      <c r="C81" s="306"/>
      <c r="D81" s="306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0" customHeight="1">
      <c r="A82" s="446">
        <f t="shared" si="29"/>
        <v>8</v>
      </c>
      <c r="B82" s="447"/>
      <c r="C82" s="306"/>
      <c r="D82" s="306"/>
      <c r="E82" s="35"/>
      <c r="F82" s="447"/>
      <c r="G82" s="447"/>
      <c r="H82" s="447"/>
      <c r="I82" s="447"/>
      <c r="J82" s="447"/>
      <c r="K82" s="448"/>
      <c r="L82" s="449"/>
      <c r="M82" s="449"/>
      <c r="N82" s="449"/>
      <c r="O82" s="449"/>
      <c r="P82" s="449"/>
      <c r="Q82" s="449"/>
      <c r="R82" s="449"/>
      <c r="S82" s="450"/>
      <c r="T82" s="451"/>
      <c r="U82" s="451"/>
      <c r="V82" s="451"/>
      <c r="W82" s="451"/>
      <c r="X82" s="452"/>
      <c r="Y82" s="452"/>
      <c r="Z82" s="452"/>
      <c r="AA82" s="452"/>
      <c r="AB82" s="452"/>
      <c r="AC82" s="452"/>
      <c r="AD82" s="453"/>
      <c r="AF82" s="53"/>
    </row>
    <row r="83" spans="1:32" ht="30" customHeight="1">
      <c r="A83" s="446">
        <f t="shared" si="29"/>
        <v>9</v>
      </c>
      <c r="B83" s="447"/>
      <c r="C83" s="306"/>
      <c r="D83" s="306"/>
      <c r="E83" s="35"/>
      <c r="F83" s="447"/>
      <c r="G83" s="447"/>
      <c r="H83" s="447"/>
      <c r="I83" s="447"/>
      <c r="J83" s="447"/>
      <c r="K83" s="448"/>
      <c r="L83" s="449"/>
      <c r="M83" s="449"/>
      <c r="N83" s="449"/>
      <c r="O83" s="449"/>
      <c r="P83" s="449"/>
      <c r="Q83" s="449"/>
      <c r="R83" s="449"/>
      <c r="S83" s="450"/>
      <c r="T83" s="451"/>
      <c r="U83" s="451"/>
      <c r="V83" s="451"/>
      <c r="W83" s="451"/>
      <c r="X83" s="452"/>
      <c r="Y83" s="452"/>
      <c r="Z83" s="452"/>
      <c r="AA83" s="452"/>
      <c r="AB83" s="452"/>
      <c r="AC83" s="452"/>
      <c r="AD83" s="453"/>
      <c r="AF83" s="53"/>
    </row>
    <row r="84" spans="1:32" ht="36" thickBot="1">
      <c r="A84" s="439" t="s">
        <v>888</v>
      </c>
      <c r="B84" s="439"/>
      <c r="C84" s="439"/>
      <c r="D84" s="439"/>
      <c r="E84" s="439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67" t="s">
        <v>37</v>
      </c>
      <c r="B85" s="468"/>
      <c r="C85" s="468" t="s">
        <v>53</v>
      </c>
      <c r="D85" s="468"/>
      <c r="E85" s="468" t="s">
        <v>54</v>
      </c>
      <c r="F85" s="468"/>
      <c r="G85" s="468"/>
      <c r="H85" s="468"/>
      <c r="I85" s="468"/>
      <c r="J85" s="468"/>
      <c r="K85" s="468" t="s">
        <v>55</v>
      </c>
      <c r="L85" s="468"/>
      <c r="M85" s="468"/>
      <c r="N85" s="468"/>
      <c r="O85" s="468"/>
      <c r="P85" s="468"/>
      <c r="Q85" s="468"/>
      <c r="R85" s="468"/>
      <c r="S85" s="468"/>
      <c r="T85" s="468" t="s">
        <v>56</v>
      </c>
      <c r="U85" s="468"/>
      <c r="V85" s="468" t="s">
        <v>57</v>
      </c>
      <c r="W85" s="468"/>
      <c r="X85" s="468"/>
      <c r="Y85" s="468" t="s">
        <v>52</v>
      </c>
      <c r="Z85" s="468"/>
      <c r="AA85" s="468"/>
      <c r="AB85" s="468"/>
      <c r="AC85" s="468"/>
      <c r="AD85" s="469"/>
      <c r="AF85" s="53"/>
    </row>
    <row r="86" spans="1:32" ht="30.75" customHeight="1">
      <c r="A86" s="470">
        <v>1</v>
      </c>
      <c r="B86" s="471"/>
      <c r="C86" s="472"/>
      <c r="D86" s="472"/>
      <c r="E86" s="472"/>
      <c r="F86" s="472"/>
      <c r="G86" s="472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  <c r="U86" s="472"/>
      <c r="V86" s="473"/>
      <c r="W86" s="473"/>
      <c r="X86" s="473"/>
      <c r="Y86" s="474"/>
      <c r="Z86" s="474"/>
      <c r="AA86" s="474"/>
      <c r="AB86" s="474"/>
      <c r="AC86" s="474"/>
      <c r="AD86" s="475"/>
      <c r="AF86" s="53"/>
    </row>
    <row r="87" spans="1:32" ht="30.75" customHeight="1">
      <c r="A87" s="446">
        <v>2</v>
      </c>
      <c r="B87" s="447"/>
      <c r="C87" s="472"/>
      <c r="D87" s="472"/>
      <c r="E87" s="472"/>
      <c r="F87" s="472"/>
      <c r="G87" s="472"/>
      <c r="H87" s="472"/>
      <c r="I87" s="472"/>
      <c r="J87" s="472"/>
      <c r="K87" s="472"/>
      <c r="L87" s="472"/>
      <c r="M87" s="472"/>
      <c r="N87" s="472"/>
      <c r="O87" s="472"/>
      <c r="P87" s="472"/>
      <c r="Q87" s="472"/>
      <c r="R87" s="472"/>
      <c r="S87" s="472"/>
      <c r="T87" s="472"/>
      <c r="U87" s="472"/>
      <c r="V87" s="473"/>
      <c r="W87" s="473"/>
      <c r="X87" s="473"/>
      <c r="Y87" s="474"/>
      <c r="Z87" s="474"/>
      <c r="AA87" s="474"/>
      <c r="AB87" s="474"/>
      <c r="AC87" s="474"/>
      <c r="AD87" s="475"/>
      <c r="AF87" s="53"/>
    </row>
    <row r="88" spans="1:32" ht="30.75" customHeight="1" thickBot="1">
      <c r="A88" s="476">
        <v>3</v>
      </c>
      <c r="B88" s="477"/>
      <c r="C88" s="477"/>
      <c r="D88" s="477"/>
      <c r="E88" s="477"/>
      <c r="F88" s="477"/>
      <c r="G88" s="477"/>
      <c r="H88" s="477"/>
      <c r="I88" s="477"/>
      <c r="J88" s="477"/>
      <c r="K88" s="477"/>
      <c r="L88" s="477"/>
      <c r="M88" s="477"/>
      <c r="N88" s="477"/>
      <c r="O88" s="477"/>
      <c r="P88" s="477"/>
      <c r="Q88" s="477"/>
      <c r="R88" s="477"/>
      <c r="S88" s="477"/>
      <c r="T88" s="477"/>
      <c r="U88" s="477"/>
      <c r="V88" s="477"/>
      <c r="W88" s="477"/>
      <c r="X88" s="477"/>
      <c r="Y88" s="478"/>
      <c r="Z88" s="478"/>
      <c r="AA88" s="478"/>
      <c r="AB88" s="478"/>
      <c r="AC88" s="478"/>
      <c r="AD88" s="479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0" zoomScale="72" zoomScaleNormal="72" zoomScaleSheetLayoutView="70" workbookViewId="0">
      <selection activeCell="C64" sqref="C64:Q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889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624</v>
      </c>
      <c r="F6" s="12" t="s">
        <v>292</v>
      </c>
      <c r="G6" s="36">
        <v>1</v>
      </c>
      <c r="H6" s="38">
        <v>25</v>
      </c>
      <c r="I6" s="7">
        <v>60000</v>
      </c>
      <c r="J6" s="14">
        <v>1280</v>
      </c>
      <c r="K6" s="15">
        <f>L6+3451+4945+5014+4206+4870+4920</f>
        <v>28678</v>
      </c>
      <c r="L6" s="15">
        <f>1010+262</f>
        <v>1272</v>
      </c>
      <c r="M6" s="16">
        <f t="shared" ref="M6:M20" si="0">L6-N6</f>
        <v>1272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8</v>
      </c>
      <c r="Q6" s="43">
        <f t="shared" ref="Q6:Q20" si="3">SUM(R6:AA6)</f>
        <v>16</v>
      </c>
      <c r="R6" s="7"/>
      <c r="S6" s="6">
        <v>16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0.99375000000000002</v>
      </c>
      <c r="AC6" s="9">
        <f t="shared" ref="AC6:AC20" si="5">IF(P6=0,"0",(P6/24))</f>
        <v>0.33333333333333331</v>
      </c>
      <c r="AD6" s="10">
        <f t="shared" ref="AD6:AD20" si="6">AC6*AB6*(1-O6)</f>
        <v>0.33124999999999999</v>
      </c>
      <c r="AE6" s="39">
        <f t="shared" ref="AE6:AE13" si="7">$AD$21</f>
        <v>0.50189157391319927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746</v>
      </c>
      <c r="D7" s="55" t="s">
        <v>842</v>
      </c>
      <c r="E7" s="57" t="s">
        <v>843</v>
      </c>
      <c r="F7" s="33" t="s">
        <v>844</v>
      </c>
      <c r="G7" s="36">
        <v>1</v>
      </c>
      <c r="H7" s="38">
        <v>25</v>
      </c>
      <c r="I7" s="7">
        <v>7500</v>
      </c>
      <c r="J7" s="5">
        <v>4480</v>
      </c>
      <c r="K7" s="15">
        <f>L7+3788</f>
        <v>8268</v>
      </c>
      <c r="L7" s="15">
        <f>2258+2222</f>
        <v>4480</v>
      </c>
      <c r="M7" s="16">
        <f t="shared" si="0"/>
        <v>4480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1</v>
      </c>
      <c r="AD7" s="10">
        <f t="shared" si="6"/>
        <v>1</v>
      </c>
      <c r="AE7" s="39">
        <f t="shared" si="7"/>
        <v>0.50189157391319927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140</v>
      </c>
      <c r="D8" s="55" t="s">
        <v>890</v>
      </c>
      <c r="E8" s="57" t="s">
        <v>925</v>
      </c>
      <c r="F8" s="33" t="s">
        <v>891</v>
      </c>
      <c r="G8" s="36">
        <v>1</v>
      </c>
      <c r="H8" s="38">
        <v>35</v>
      </c>
      <c r="I8" s="7">
        <v>15000</v>
      </c>
      <c r="J8" s="14">
        <v>1190</v>
      </c>
      <c r="K8" s="15">
        <f>L8</f>
        <v>1182</v>
      </c>
      <c r="L8" s="15">
        <f>1182</f>
        <v>1182</v>
      </c>
      <c r="M8" s="16">
        <f t="shared" si="0"/>
        <v>1182</v>
      </c>
      <c r="N8" s="16">
        <v>0</v>
      </c>
      <c r="O8" s="62">
        <f t="shared" si="1"/>
        <v>0</v>
      </c>
      <c r="P8" s="42">
        <f t="shared" si="2"/>
        <v>8</v>
      </c>
      <c r="Q8" s="43">
        <f t="shared" si="3"/>
        <v>16</v>
      </c>
      <c r="R8" s="7"/>
      <c r="S8" s="6">
        <v>14</v>
      </c>
      <c r="T8" s="17">
        <v>2</v>
      </c>
      <c r="U8" s="17"/>
      <c r="V8" s="18"/>
      <c r="W8" s="19"/>
      <c r="X8" s="17"/>
      <c r="Y8" s="20"/>
      <c r="Z8" s="20"/>
      <c r="AA8" s="21"/>
      <c r="AB8" s="8">
        <f t="shared" si="4"/>
        <v>0.99327731092436977</v>
      </c>
      <c r="AC8" s="9">
        <f t="shared" si="5"/>
        <v>0.33333333333333331</v>
      </c>
      <c r="AD8" s="10">
        <f t="shared" si="6"/>
        <v>0.33109243697478991</v>
      </c>
      <c r="AE8" s="39">
        <f t="shared" si="7"/>
        <v>0.50189157391319927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753</v>
      </c>
      <c r="E9" s="57" t="s">
        <v>754</v>
      </c>
      <c r="F9" s="12" t="s">
        <v>755</v>
      </c>
      <c r="G9" s="12">
        <v>1</v>
      </c>
      <c r="H9" s="13">
        <v>25</v>
      </c>
      <c r="I9" s="34">
        <v>6500</v>
      </c>
      <c r="J9" s="5">
        <v>1260</v>
      </c>
      <c r="K9" s="15">
        <f>L9+2211+4993+1256</f>
        <v>8460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0.50189157391319927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746</v>
      </c>
      <c r="D10" s="55" t="s">
        <v>810</v>
      </c>
      <c r="E10" s="57" t="s">
        <v>811</v>
      </c>
      <c r="F10" s="12" t="s">
        <v>812</v>
      </c>
      <c r="G10" s="12">
        <v>1</v>
      </c>
      <c r="H10" s="13">
        <v>25</v>
      </c>
      <c r="I10" s="34">
        <v>6500</v>
      </c>
      <c r="J10" s="5">
        <v>4480</v>
      </c>
      <c r="K10" s="15">
        <f>L10+2193+2022</f>
        <v>8687</v>
      </c>
      <c r="L10" s="15">
        <f>2492+1980</f>
        <v>4472</v>
      </c>
      <c r="M10" s="16">
        <f t="shared" si="0"/>
        <v>4472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0.99821428571428572</v>
      </c>
      <c r="AC10" s="9">
        <f t="shared" si="5"/>
        <v>1</v>
      </c>
      <c r="AD10" s="10">
        <f t="shared" si="6"/>
        <v>0.99821428571428572</v>
      </c>
      <c r="AE10" s="39">
        <f t="shared" si="7"/>
        <v>0.50189157391319927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124</v>
      </c>
      <c r="D11" s="55" t="s">
        <v>813</v>
      </c>
      <c r="E11" s="56" t="s">
        <v>814</v>
      </c>
      <c r="F11" s="12" t="s">
        <v>130</v>
      </c>
      <c r="G11" s="12">
        <v>1</v>
      </c>
      <c r="H11" s="13">
        <v>25</v>
      </c>
      <c r="I11" s="34">
        <v>35000</v>
      </c>
      <c r="J11" s="14">
        <v>1620</v>
      </c>
      <c r="K11" s="15">
        <f>L11+1619</f>
        <v>1619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0.50189157391319927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746</v>
      </c>
      <c r="D12" s="55" t="s">
        <v>758</v>
      </c>
      <c r="E12" s="57" t="s">
        <v>736</v>
      </c>
      <c r="F12" s="12" t="s">
        <v>760</v>
      </c>
      <c r="G12" s="12">
        <v>1</v>
      </c>
      <c r="H12" s="13">
        <v>25</v>
      </c>
      <c r="I12" s="34">
        <v>8600</v>
      </c>
      <c r="J12" s="5">
        <v>1960</v>
      </c>
      <c r="K12" s="15">
        <f>L12+1650+3241+1960</f>
        <v>6851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0.50189157391319927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761</v>
      </c>
      <c r="D13" s="55" t="s">
        <v>849</v>
      </c>
      <c r="E13" s="57" t="s">
        <v>892</v>
      </c>
      <c r="F13" s="12">
        <v>7301</v>
      </c>
      <c r="G13" s="12">
        <v>1</v>
      </c>
      <c r="H13" s="13">
        <v>25</v>
      </c>
      <c r="I13" s="7">
        <v>1000</v>
      </c>
      <c r="J13" s="14">
        <v>1120</v>
      </c>
      <c r="K13" s="15">
        <f>L13</f>
        <v>1112</v>
      </c>
      <c r="L13" s="15">
        <f>1112</f>
        <v>1112</v>
      </c>
      <c r="M13" s="16">
        <f t="shared" si="0"/>
        <v>1112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/>
      <c r="W13" s="19">
        <v>12</v>
      </c>
      <c r="X13" s="17"/>
      <c r="Y13" s="20"/>
      <c r="Z13" s="20"/>
      <c r="AA13" s="21"/>
      <c r="AB13" s="8">
        <f t="shared" si="4"/>
        <v>0.99285714285714288</v>
      </c>
      <c r="AC13" s="9">
        <f t="shared" si="5"/>
        <v>0.5</v>
      </c>
      <c r="AD13" s="10">
        <f t="shared" si="6"/>
        <v>0.49642857142857144</v>
      </c>
      <c r="AE13" s="39">
        <f t="shared" si="7"/>
        <v>0.50189157391319927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135</v>
      </c>
      <c r="D14" s="55" t="s">
        <v>267</v>
      </c>
      <c r="E14" s="57" t="s">
        <v>630</v>
      </c>
      <c r="F14" s="33" t="s">
        <v>158</v>
      </c>
      <c r="G14" s="36">
        <v>1</v>
      </c>
      <c r="H14" s="38">
        <v>25</v>
      </c>
      <c r="I14" s="7">
        <v>60000</v>
      </c>
      <c r="J14" s="5">
        <v>5060</v>
      </c>
      <c r="K14" s="15">
        <f>L14+3986+4493+3622+5288</f>
        <v>22449</v>
      </c>
      <c r="L14" s="15">
        <f>2665+2395</f>
        <v>5060</v>
      </c>
      <c r="M14" s="16">
        <f t="shared" si="0"/>
        <v>5060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 t="shared" ref="AE14" si="9">$AD$19</f>
        <v>0.66533333333333333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ref="AE15:AE20" si="10">$AD$21</f>
        <v>0.50189157391319927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240</v>
      </c>
      <c r="E16" s="56" t="s">
        <v>588</v>
      </c>
      <c r="F16" s="12">
        <v>7301</v>
      </c>
      <c r="G16" s="36">
        <v>1</v>
      </c>
      <c r="H16" s="38">
        <v>25</v>
      </c>
      <c r="I16" s="7">
        <v>60000</v>
      </c>
      <c r="J16" s="14">
        <v>5640</v>
      </c>
      <c r="K16" s="15">
        <f>L16+2811+5412+5384+3882+4403+5243+5673</f>
        <v>38446</v>
      </c>
      <c r="L16" s="15">
        <f>2788+2850</f>
        <v>5638</v>
      </c>
      <c r="M16" s="16">
        <f t="shared" si="0"/>
        <v>5638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0.99964539007092201</v>
      </c>
      <c r="AC16" s="9">
        <f t="shared" si="5"/>
        <v>1</v>
      </c>
      <c r="AD16" s="10">
        <f t="shared" si="6"/>
        <v>0.99964539007092201</v>
      </c>
      <c r="AE16" s="39">
        <f t="shared" si="10"/>
        <v>0.50189157391319927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62</v>
      </c>
      <c r="D17" s="55" t="s">
        <v>853</v>
      </c>
      <c r="E17" s="56" t="s">
        <v>854</v>
      </c>
      <c r="F17" s="12" t="s">
        <v>855</v>
      </c>
      <c r="G17" s="12">
        <v>1</v>
      </c>
      <c r="H17" s="13">
        <v>25</v>
      </c>
      <c r="I17" s="34">
        <v>1000</v>
      </c>
      <c r="J17" s="5">
        <v>1370</v>
      </c>
      <c r="K17" s="15">
        <f>L17+1368</f>
        <v>1368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10"/>
        <v>0.50189157391319927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893</v>
      </c>
      <c r="D18" s="55"/>
      <c r="E18" s="56" t="s">
        <v>894</v>
      </c>
      <c r="F18" s="33" t="s">
        <v>895</v>
      </c>
      <c r="G18" s="36">
        <v>1</v>
      </c>
      <c r="H18" s="38">
        <v>25</v>
      </c>
      <c r="I18" s="7">
        <v>1000</v>
      </c>
      <c r="J18" s="5">
        <v>3140</v>
      </c>
      <c r="K18" s="15">
        <f>L18</f>
        <v>3132</v>
      </c>
      <c r="L18" s="15">
        <f>2289+843</f>
        <v>3132</v>
      </c>
      <c r="M18" s="16">
        <f t="shared" si="0"/>
        <v>3132</v>
      </c>
      <c r="N18" s="16">
        <v>0</v>
      </c>
      <c r="O18" s="62">
        <f t="shared" si="1"/>
        <v>0</v>
      </c>
      <c r="P18" s="42">
        <f t="shared" si="2"/>
        <v>17</v>
      </c>
      <c r="Q18" s="43">
        <f t="shared" si="3"/>
        <v>7</v>
      </c>
      <c r="R18" s="7"/>
      <c r="S18" s="6">
        <v>5</v>
      </c>
      <c r="T18" s="17"/>
      <c r="U18" s="17"/>
      <c r="V18" s="18"/>
      <c r="W18" s="19">
        <v>2</v>
      </c>
      <c r="X18" s="17"/>
      <c r="Y18" s="20"/>
      <c r="Z18" s="20"/>
      <c r="AA18" s="21"/>
      <c r="AB18" s="8">
        <f t="shared" si="4"/>
        <v>0.99745222929936306</v>
      </c>
      <c r="AC18" s="9">
        <f t="shared" si="5"/>
        <v>0.70833333333333337</v>
      </c>
      <c r="AD18" s="10">
        <f t="shared" si="6"/>
        <v>0.70652866242038215</v>
      </c>
      <c r="AE18" s="39">
        <f t="shared" si="10"/>
        <v>0.50189157391319927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</v>
      </c>
      <c r="E19" s="57" t="s">
        <v>590</v>
      </c>
      <c r="F19" s="33" t="s">
        <v>591</v>
      </c>
      <c r="G19" s="36">
        <v>1</v>
      </c>
      <c r="H19" s="38">
        <v>25</v>
      </c>
      <c r="I19" s="34">
        <v>60000</v>
      </c>
      <c r="J19" s="5">
        <v>2500</v>
      </c>
      <c r="K19" s="15">
        <f>L19+2028+3807+3338+3450+4167+2008+2371</f>
        <v>23664</v>
      </c>
      <c r="L19" s="15">
        <f>1431+1064</f>
        <v>2495</v>
      </c>
      <c r="M19" s="16">
        <f t="shared" si="0"/>
        <v>2495</v>
      </c>
      <c r="N19" s="16">
        <v>0</v>
      </c>
      <c r="O19" s="62">
        <f t="shared" si="1"/>
        <v>0</v>
      </c>
      <c r="P19" s="42">
        <f t="shared" si="2"/>
        <v>16</v>
      </c>
      <c r="Q19" s="43">
        <f t="shared" si="3"/>
        <v>8</v>
      </c>
      <c r="R19" s="7"/>
      <c r="S19" s="6">
        <v>8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</v>
      </c>
      <c r="AC19" s="9">
        <f t="shared" si="5"/>
        <v>0.66666666666666663</v>
      </c>
      <c r="AD19" s="10">
        <f t="shared" si="6"/>
        <v>0.66533333333333333</v>
      </c>
      <c r="AE19" s="39">
        <f t="shared" si="10"/>
        <v>0.50189157391319927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764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50390</v>
      </c>
      <c r="K20" s="15">
        <f>L20+40636+52572</f>
        <v>143592</v>
      </c>
      <c r="L20" s="15">
        <f>6458*4+6138*4</f>
        <v>50384</v>
      </c>
      <c r="M20" s="16">
        <f t="shared" si="0"/>
        <v>50384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0.99988092875570544</v>
      </c>
      <c r="AC20" s="9">
        <f t="shared" si="5"/>
        <v>1</v>
      </c>
      <c r="AD20" s="10">
        <f t="shared" si="6"/>
        <v>0.99988092875570544</v>
      </c>
      <c r="AE20" s="39">
        <f t="shared" si="10"/>
        <v>0.50189157391319927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11">SUM(I6:I20)</f>
        <v>582100</v>
      </c>
      <c r="J21" s="22">
        <f t="shared" si="11"/>
        <v>110560</v>
      </c>
      <c r="K21" s="23">
        <f t="shared" si="11"/>
        <v>367822</v>
      </c>
      <c r="L21" s="24">
        <f t="shared" si="11"/>
        <v>79227</v>
      </c>
      <c r="M21" s="23">
        <f t="shared" si="11"/>
        <v>79227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181</v>
      </c>
      <c r="Q21" s="46">
        <f t="shared" si="12"/>
        <v>179</v>
      </c>
      <c r="R21" s="26">
        <f t="shared" si="12"/>
        <v>0</v>
      </c>
      <c r="S21" s="27">
        <f t="shared" si="12"/>
        <v>67</v>
      </c>
      <c r="T21" s="27">
        <f t="shared" si="12"/>
        <v>2</v>
      </c>
      <c r="U21" s="27">
        <f t="shared" si="12"/>
        <v>0</v>
      </c>
      <c r="V21" s="28">
        <f t="shared" si="12"/>
        <v>0</v>
      </c>
      <c r="W21" s="29">
        <f t="shared" si="12"/>
        <v>110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0.66487181917478599</v>
      </c>
      <c r="AC21" s="4">
        <f>SUM(AC6:AC20)/15</f>
        <v>0.50277777777777777</v>
      </c>
      <c r="AD21" s="4">
        <f>SUM(AD6:AD20)/15</f>
        <v>0.50189157391319927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896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908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319" t="s">
        <v>47</v>
      </c>
      <c r="D50" s="319" t="s">
        <v>48</v>
      </c>
      <c r="E50" s="319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319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897</v>
      </c>
      <c r="B51" s="414"/>
      <c r="C51" s="320" t="s">
        <v>518</v>
      </c>
      <c r="D51" s="321" t="s">
        <v>898</v>
      </c>
      <c r="E51" s="320" t="s">
        <v>899</v>
      </c>
      <c r="F51" s="415" t="s">
        <v>900</v>
      </c>
      <c r="G51" s="415"/>
      <c r="H51" s="415"/>
      <c r="I51" s="415"/>
      <c r="J51" s="415"/>
      <c r="K51" s="415"/>
      <c r="L51" s="415"/>
      <c r="M51" s="416"/>
      <c r="N51" s="322" t="s">
        <v>140</v>
      </c>
      <c r="O51" s="74" t="s">
        <v>492</v>
      </c>
      <c r="P51" s="417" t="s">
        <v>810</v>
      </c>
      <c r="Q51" s="418"/>
      <c r="R51" s="419" t="s">
        <v>834</v>
      </c>
      <c r="S51" s="419"/>
      <c r="T51" s="419"/>
      <c r="U51" s="419"/>
      <c r="V51" s="415" t="s">
        <v>872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135</v>
      </c>
      <c r="B52" s="414"/>
      <c r="C52" s="320" t="s">
        <v>599</v>
      </c>
      <c r="D52" s="321" t="s">
        <v>58</v>
      </c>
      <c r="E52" s="320" t="s">
        <v>590</v>
      </c>
      <c r="F52" s="415" t="s">
        <v>861</v>
      </c>
      <c r="G52" s="415"/>
      <c r="H52" s="415"/>
      <c r="I52" s="415"/>
      <c r="J52" s="415"/>
      <c r="K52" s="415"/>
      <c r="L52" s="415"/>
      <c r="M52" s="416"/>
      <c r="N52" s="322" t="s">
        <v>863</v>
      </c>
      <c r="O52" s="74" t="s">
        <v>909</v>
      </c>
      <c r="P52" s="419" t="s">
        <v>910</v>
      </c>
      <c r="Q52" s="419"/>
      <c r="R52" s="419" t="s">
        <v>911</v>
      </c>
      <c r="S52" s="419"/>
      <c r="T52" s="419"/>
      <c r="U52" s="419"/>
      <c r="V52" s="415" t="s">
        <v>865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62</v>
      </c>
      <c r="B53" s="414"/>
      <c r="C53" s="320" t="s">
        <v>208</v>
      </c>
      <c r="D53" s="321" t="s">
        <v>849</v>
      </c>
      <c r="E53" s="320" t="s">
        <v>901</v>
      </c>
      <c r="F53" s="415" t="s">
        <v>902</v>
      </c>
      <c r="G53" s="415"/>
      <c r="H53" s="415"/>
      <c r="I53" s="415"/>
      <c r="J53" s="415"/>
      <c r="K53" s="415"/>
      <c r="L53" s="415"/>
      <c r="M53" s="416"/>
      <c r="N53" s="322" t="s">
        <v>140</v>
      </c>
      <c r="O53" s="74" t="s">
        <v>875</v>
      </c>
      <c r="P53" s="419" t="s">
        <v>866</v>
      </c>
      <c r="Q53" s="419"/>
      <c r="R53" s="419" t="s">
        <v>874</v>
      </c>
      <c r="S53" s="419"/>
      <c r="T53" s="419"/>
      <c r="U53" s="419"/>
      <c r="V53" s="415" t="s">
        <v>912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140</v>
      </c>
      <c r="B54" s="414"/>
      <c r="C54" s="320" t="s">
        <v>903</v>
      </c>
      <c r="D54" s="321" t="s">
        <v>904</v>
      </c>
      <c r="E54" s="320" t="s">
        <v>905</v>
      </c>
      <c r="F54" s="415" t="s">
        <v>906</v>
      </c>
      <c r="G54" s="415"/>
      <c r="H54" s="415"/>
      <c r="I54" s="415"/>
      <c r="J54" s="415"/>
      <c r="K54" s="415"/>
      <c r="L54" s="415"/>
      <c r="M54" s="416"/>
      <c r="N54" s="322" t="s">
        <v>140</v>
      </c>
      <c r="O54" s="74" t="s">
        <v>877</v>
      </c>
      <c r="P54" s="417" t="s">
        <v>864</v>
      </c>
      <c r="Q54" s="418"/>
      <c r="R54" s="419" t="s">
        <v>876</v>
      </c>
      <c r="S54" s="419"/>
      <c r="T54" s="419"/>
      <c r="U54" s="419"/>
      <c r="V54" s="415" t="s">
        <v>912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20" t="s">
        <v>893</v>
      </c>
      <c r="B55" s="419"/>
      <c r="C55" s="321" t="s">
        <v>139</v>
      </c>
      <c r="D55" s="321"/>
      <c r="E55" s="320" t="s">
        <v>894</v>
      </c>
      <c r="F55" s="415" t="s">
        <v>907</v>
      </c>
      <c r="G55" s="415"/>
      <c r="H55" s="415"/>
      <c r="I55" s="415"/>
      <c r="J55" s="415"/>
      <c r="K55" s="415"/>
      <c r="L55" s="415"/>
      <c r="M55" s="416"/>
      <c r="N55" s="322" t="s">
        <v>913</v>
      </c>
      <c r="O55" s="74" t="s">
        <v>914</v>
      </c>
      <c r="P55" s="417" t="s">
        <v>915</v>
      </c>
      <c r="Q55" s="418"/>
      <c r="R55" s="419" t="s">
        <v>916</v>
      </c>
      <c r="S55" s="419"/>
      <c r="T55" s="419"/>
      <c r="U55" s="419"/>
      <c r="V55" s="415" t="s">
        <v>170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/>
      <c r="B56" s="414"/>
      <c r="C56" s="320"/>
      <c r="D56" s="321"/>
      <c r="E56" s="320"/>
      <c r="F56" s="415"/>
      <c r="G56" s="415"/>
      <c r="H56" s="415"/>
      <c r="I56" s="415"/>
      <c r="J56" s="415"/>
      <c r="K56" s="415"/>
      <c r="L56" s="415"/>
      <c r="M56" s="416"/>
      <c r="N56" s="322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/>
      <c r="B57" s="419"/>
      <c r="C57" s="321"/>
      <c r="D57" s="321"/>
      <c r="E57" s="320"/>
      <c r="F57" s="415"/>
      <c r="G57" s="415"/>
      <c r="H57" s="415"/>
      <c r="I57" s="415"/>
      <c r="J57" s="415"/>
      <c r="K57" s="415"/>
      <c r="L57" s="415"/>
      <c r="M57" s="416"/>
      <c r="N57" s="322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320"/>
      <c r="D58" s="321"/>
      <c r="E58" s="320"/>
      <c r="F58" s="415"/>
      <c r="G58" s="415"/>
      <c r="H58" s="415"/>
      <c r="I58" s="415"/>
      <c r="J58" s="415"/>
      <c r="K58" s="415"/>
      <c r="L58" s="415"/>
      <c r="M58" s="416"/>
      <c r="N58" s="322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321"/>
      <c r="D59" s="321"/>
      <c r="E59" s="321"/>
      <c r="F59" s="415"/>
      <c r="G59" s="415"/>
      <c r="H59" s="415"/>
      <c r="I59" s="415"/>
      <c r="J59" s="415"/>
      <c r="K59" s="415"/>
      <c r="L59" s="415"/>
      <c r="M59" s="416"/>
      <c r="N59" s="322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324"/>
      <c r="D60" s="324"/>
      <c r="E60" s="324"/>
      <c r="F60" s="423"/>
      <c r="G60" s="423"/>
      <c r="H60" s="423"/>
      <c r="I60" s="423"/>
      <c r="J60" s="423"/>
      <c r="K60" s="423"/>
      <c r="L60" s="423"/>
      <c r="M60" s="424"/>
      <c r="N60" s="323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917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325" t="s">
        <v>2</v>
      </c>
      <c r="D62" s="325" t="s">
        <v>38</v>
      </c>
      <c r="E62" s="325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325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123" t="s">
        <v>122</v>
      </c>
      <c r="D63" s="328"/>
      <c r="E63" s="326" t="s">
        <v>191</v>
      </c>
      <c r="F63" s="434" t="s">
        <v>883</v>
      </c>
      <c r="G63" s="434"/>
      <c r="H63" s="434"/>
      <c r="I63" s="434"/>
      <c r="J63" s="434"/>
      <c r="K63" s="483" t="s">
        <v>884</v>
      </c>
      <c r="L63" s="484"/>
      <c r="M63" s="54" t="s">
        <v>885</v>
      </c>
      <c r="N63" s="434">
        <v>7</v>
      </c>
      <c r="O63" s="434"/>
      <c r="P63" s="437">
        <v>10</v>
      </c>
      <c r="Q63" s="437"/>
      <c r="R63" s="415" t="s">
        <v>886</v>
      </c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123" t="s">
        <v>659</v>
      </c>
      <c r="D64" s="328"/>
      <c r="E64" s="326" t="s">
        <v>660</v>
      </c>
      <c r="F64" s="434" t="s">
        <v>661</v>
      </c>
      <c r="G64" s="434"/>
      <c r="H64" s="434"/>
      <c r="I64" s="434"/>
      <c r="J64" s="434"/>
      <c r="K64" s="482" t="s">
        <v>662</v>
      </c>
      <c r="L64" s="482"/>
      <c r="M64" s="54" t="s">
        <v>837</v>
      </c>
      <c r="N64" s="434">
        <v>3</v>
      </c>
      <c r="O64" s="434"/>
      <c r="P64" s="437">
        <v>20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123" t="s">
        <v>659</v>
      </c>
      <c r="D65" s="328"/>
      <c r="E65" s="326" t="s">
        <v>660</v>
      </c>
      <c r="F65" s="434" t="s">
        <v>664</v>
      </c>
      <c r="G65" s="434"/>
      <c r="H65" s="434"/>
      <c r="I65" s="434"/>
      <c r="J65" s="434"/>
      <c r="K65" s="480" t="s">
        <v>662</v>
      </c>
      <c r="L65" s="481"/>
      <c r="M65" s="54" t="s">
        <v>234</v>
      </c>
      <c r="N65" s="434">
        <v>3</v>
      </c>
      <c r="O65" s="434"/>
      <c r="P65" s="437">
        <v>20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123" t="s">
        <v>140</v>
      </c>
      <c r="D66" s="328"/>
      <c r="E66" s="326" t="s">
        <v>918</v>
      </c>
      <c r="F66" s="434" t="s">
        <v>919</v>
      </c>
      <c r="G66" s="434"/>
      <c r="H66" s="434"/>
      <c r="I66" s="434"/>
      <c r="J66" s="434"/>
      <c r="K66" s="434" t="s">
        <v>920</v>
      </c>
      <c r="L66" s="434"/>
      <c r="M66" s="54" t="s">
        <v>921</v>
      </c>
      <c r="N66" s="434">
        <v>4</v>
      </c>
      <c r="O66" s="434"/>
      <c r="P66" s="437">
        <v>100</v>
      </c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123"/>
      <c r="D67" s="328"/>
      <c r="E67" s="326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123"/>
      <c r="D68" s="328"/>
      <c r="E68" s="326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123"/>
      <c r="D69" s="328"/>
      <c r="E69" s="326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123"/>
      <c r="D70" s="328"/>
      <c r="E70" s="326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922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327" t="s">
        <v>2</v>
      </c>
      <c r="D72" s="327" t="s">
        <v>38</v>
      </c>
      <c r="E72" s="327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329" t="s">
        <v>62</v>
      </c>
      <c r="D73" s="329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328" t="s">
        <v>135</v>
      </c>
      <c r="D74" s="328"/>
      <c r="E74" s="35" t="s">
        <v>121</v>
      </c>
      <c r="F74" s="447" t="s">
        <v>274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3">A74+1</f>
        <v>3</v>
      </c>
      <c r="B75" s="447"/>
      <c r="C75" s="328" t="s">
        <v>62</v>
      </c>
      <c r="D75" s="328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3"/>
        <v>4</v>
      </c>
      <c r="B76" s="447"/>
      <c r="C76" s="328" t="s">
        <v>62</v>
      </c>
      <c r="D76" s="328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3"/>
        <v>5</v>
      </c>
      <c r="B77" s="447"/>
      <c r="C77" s="328" t="s">
        <v>62</v>
      </c>
      <c r="D77" s="328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3"/>
        <v>6</v>
      </c>
      <c r="B78" s="447"/>
      <c r="C78" s="328" t="s">
        <v>135</v>
      </c>
      <c r="D78" s="328"/>
      <c r="E78" s="35" t="s">
        <v>121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3"/>
        <v>7</v>
      </c>
      <c r="B79" s="447"/>
      <c r="C79" s="328"/>
      <c r="D79" s="328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3"/>
        <v>8</v>
      </c>
      <c r="B80" s="447"/>
      <c r="C80" s="328"/>
      <c r="D80" s="328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3"/>
        <v>9</v>
      </c>
      <c r="B81" s="447"/>
      <c r="C81" s="328"/>
      <c r="D81" s="328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923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0" zoomScale="72" zoomScaleNormal="72" zoomScaleSheetLayoutView="70" workbookViewId="0">
      <selection activeCell="U15" sqref="U1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924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342" t="s">
        <v>17</v>
      </c>
      <c r="L5" s="342" t="s">
        <v>18</v>
      </c>
      <c r="M5" s="342" t="s">
        <v>19</v>
      </c>
      <c r="N5" s="34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606</v>
      </c>
      <c r="F6" s="12" t="s">
        <v>229</v>
      </c>
      <c r="G6" s="36">
        <v>1</v>
      </c>
      <c r="H6" s="38">
        <v>25</v>
      </c>
      <c r="I6" s="7">
        <v>60000</v>
      </c>
      <c r="J6" s="14">
        <v>1920</v>
      </c>
      <c r="K6" s="15">
        <f>L6+3451+4945+5014+4206+4870+4920+1272</f>
        <v>30590</v>
      </c>
      <c r="L6" s="15">
        <f>1912</f>
        <v>1912</v>
      </c>
      <c r="M6" s="16">
        <f t="shared" ref="M6:M20" si="0">L6-N6</f>
        <v>1912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10</v>
      </c>
      <c r="Q6" s="43">
        <f t="shared" ref="Q6:Q20" si="3">SUM(R6:AA6)</f>
        <v>14</v>
      </c>
      <c r="R6" s="7"/>
      <c r="S6" s="6">
        <v>14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0.99583333333333335</v>
      </c>
      <c r="AC6" s="9">
        <f t="shared" ref="AC6:AC20" si="5">IF(P6=0,"0",(P6/24))</f>
        <v>0.41666666666666669</v>
      </c>
      <c r="AD6" s="10">
        <f t="shared" ref="AD6:AD20" si="6">AC6*AB6*(1-O6)</f>
        <v>0.41493055555555558</v>
      </c>
      <c r="AE6" s="39">
        <f t="shared" ref="AE6:AE13" si="7">$AD$21</f>
        <v>0.44381177850719239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842</v>
      </c>
      <c r="E7" s="57" t="s">
        <v>843</v>
      </c>
      <c r="F7" s="33" t="s">
        <v>844</v>
      </c>
      <c r="G7" s="36">
        <v>1</v>
      </c>
      <c r="H7" s="38">
        <v>25</v>
      </c>
      <c r="I7" s="7">
        <v>7500</v>
      </c>
      <c r="J7" s="5">
        <v>2670</v>
      </c>
      <c r="K7" s="15">
        <f>L7+3788+4480</f>
        <v>10938</v>
      </c>
      <c r="L7" s="15">
        <f>251+2419</f>
        <v>2670</v>
      </c>
      <c r="M7" s="16">
        <f t="shared" si="0"/>
        <v>2670</v>
      </c>
      <c r="N7" s="16">
        <v>0</v>
      </c>
      <c r="O7" s="62">
        <f t="shared" si="1"/>
        <v>0</v>
      </c>
      <c r="P7" s="42">
        <f t="shared" si="2"/>
        <v>15</v>
      </c>
      <c r="Q7" s="43">
        <f t="shared" si="3"/>
        <v>9</v>
      </c>
      <c r="R7" s="7"/>
      <c r="S7" s="6"/>
      <c r="T7" s="17"/>
      <c r="U7" s="17"/>
      <c r="V7" s="18"/>
      <c r="W7" s="19">
        <v>9</v>
      </c>
      <c r="X7" s="17"/>
      <c r="Y7" s="20"/>
      <c r="Z7" s="20"/>
      <c r="AA7" s="21"/>
      <c r="AB7" s="8">
        <f t="shared" si="4"/>
        <v>1</v>
      </c>
      <c r="AC7" s="9">
        <f t="shared" si="5"/>
        <v>0.625</v>
      </c>
      <c r="AD7" s="10">
        <f t="shared" si="6"/>
        <v>0.625</v>
      </c>
      <c r="AE7" s="39">
        <f t="shared" si="7"/>
        <v>0.44381177850719239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135</v>
      </c>
      <c r="D8" s="55" t="s">
        <v>890</v>
      </c>
      <c r="E8" s="57" t="s">
        <v>925</v>
      </c>
      <c r="F8" s="33" t="s">
        <v>891</v>
      </c>
      <c r="G8" s="36">
        <v>1</v>
      </c>
      <c r="H8" s="38">
        <v>35</v>
      </c>
      <c r="I8" s="7">
        <v>15000</v>
      </c>
      <c r="J8" s="14">
        <v>2840</v>
      </c>
      <c r="K8" s="15">
        <f>L8+1182</f>
        <v>4017</v>
      </c>
      <c r="L8" s="15">
        <f>2556+279</f>
        <v>2835</v>
      </c>
      <c r="M8" s="16">
        <f t="shared" si="0"/>
        <v>2835</v>
      </c>
      <c r="N8" s="16">
        <v>0</v>
      </c>
      <c r="O8" s="62">
        <f t="shared" si="1"/>
        <v>0</v>
      </c>
      <c r="P8" s="42">
        <f t="shared" si="2"/>
        <v>16</v>
      </c>
      <c r="Q8" s="43">
        <f t="shared" si="3"/>
        <v>8</v>
      </c>
      <c r="R8" s="7"/>
      <c r="S8" s="6">
        <v>8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0.99823943661971826</v>
      </c>
      <c r="AC8" s="9">
        <f t="shared" si="5"/>
        <v>0.66666666666666663</v>
      </c>
      <c r="AD8" s="10">
        <f t="shared" si="6"/>
        <v>0.66549295774647876</v>
      </c>
      <c r="AE8" s="39">
        <f t="shared" si="7"/>
        <v>0.44381177850719239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361</v>
      </c>
      <c r="E9" s="57" t="s">
        <v>754</v>
      </c>
      <c r="F9" s="12" t="s">
        <v>129</v>
      </c>
      <c r="G9" s="12">
        <v>1</v>
      </c>
      <c r="H9" s="13">
        <v>25</v>
      </c>
      <c r="I9" s="34">
        <v>6500</v>
      </c>
      <c r="J9" s="5">
        <v>1260</v>
      </c>
      <c r="K9" s="15">
        <f>L9+2211+4993+1256</f>
        <v>8460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0.44381177850719239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58</v>
      </c>
      <c r="E10" s="57" t="s">
        <v>785</v>
      </c>
      <c r="F10" s="12" t="s">
        <v>229</v>
      </c>
      <c r="G10" s="12">
        <v>1</v>
      </c>
      <c r="H10" s="13">
        <v>25</v>
      </c>
      <c r="I10" s="34">
        <v>6500</v>
      </c>
      <c r="J10" s="5">
        <v>1370</v>
      </c>
      <c r="K10" s="15">
        <f>L10+2193+2022+4472</f>
        <v>10052</v>
      </c>
      <c r="L10" s="15">
        <v>1365</v>
      </c>
      <c r="M10" s="16">
        <f t="shared" si="0"/>
        <v>1365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/>
      <c r="T10" s="17"/>
      <c r="U10" s="17"/>
      <c r="V10" s="18"/>
      <c r="W10" s="19">
        <v>16</v>
      </c>
      <c r="X10" s="17"/>
      <c r="Y10" s="20"/>
      <c r="Z10" s="20"/>
      <c r="AA10" s="21"/>
      <c r="AB10" s="8">
        <f t="shared" si="4"/>
        <v>0.9963503649635036</v>
      </c>
      <c r="AC10" s="9">
        <f t="shared" si="5"/>
        <v>0.33333333333333331</v>
      </c>
      <c r="AD10" s="10">
        <f t="shared" si="6"/>
        <v>0.33211678832116787</v>
      </c>
      <c r="AE10" s="39">
        <f t="shared" si="7"/>
        <v>0.44381177850719239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6" t="s">
        <v>132</v>
      </c>
      <c r="F11" s="12" t="s">
        <v>130</v>
      </c>
      <c r="G11" s="12">
        <v>1</v>
      </c>
      <c r="H11" s="13">
        <v>25</v>
      </c>
      <c r="I11" s="34">
        <v>35000</v>
      </c>
      <c r="J11" s="14">
        <v>1620</v>
      </c>
      <c r="K11" s="15">
        <f>L11+1619</f>
        <v>1619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0.44381177850719239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62</v>
      </c>
      <c r="D12" s="55" t="s">
        <v>926</v>
      </c>
      <c r="E12" s="57" t="s">
        <v>927</v>
      </c>
      <c r="F12" s="12" t="s">
        <v>928</v>
      </c>
      <c r="G12" s="12" t="s">
        <v>929</v>
      </c>
      <c r="H12" s="13">
        <v>25</v>
      </c>
      <c r="I12" s="34">
        <v>1000</v>
      </c>
      <c r="J12" s="5">
        <v>360</v>
      </c>
      <c r="K12" s="15">
        <f>L12</f>
        <v>359</v>
      </c>
      <c r="L12" s="15">
        <v>359</v>
      </c>
      <c r="M12" s="16">
        <f t="shared" si="0"/>
        <v>359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>
        <v>20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0.99722222222222223</v>
      </c>
      <c r="AC12" s="9">
        <f t="shared" si="5"/>
        <v>0.16666666666666666</v>
      </c>
      <c r="AD12" s="10">
        <f t="shared" si="6"/>
        <v>0.16620370370370369</v>
      </c>
      <c r="AE12" s="39">
        <f t="shared" si="7"/>
        <v>0.44381177850719239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62</v>
      </c>
      <c r="D13" s="55" t="s">
        <v>930</v>
      </c>
      <c r="E13" s="57" t="s">
        <v>931</v>
      </c>
      <c r="F13" s="12" t="s">
        <v>932</v>
      </c>
      <c r="G13" s="12">
        <v>2</v>
      </c>
      <c r="H13" s="13">
        <v>25</v>
      </c>
      <c r="I13" s="7">
        <v>1000</v>
      </c>
      <c r="J13" s="14">
        <v>1280</v>
      </c>
      <c r="K13" s="15">
        <f>L13</f>
        <v>1274</v>
      </c>
      <c r="L13" s="15">
        <f>637*2</f>
        <v>1274</v>
      </c>
      <c r="M13" s="16">
        <f t="shared" si="0"/>
        <v>1274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0.99531250000000004</v>
      </c>
      <c r="AC13" s="9">
        <f t="shared" si="5"/>
        <v>0.25</v>
      </c>
      <c r="AD13" s="10">
        <f t="shared" si="6"/>
        <v>0.24882812500000001</v>
      </c>
      <c r="AE13" s="39">
        <f t="shared" si="7"/>
        <v>0.44381177850719239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135</v>
      </c>
      <c r="D14" s="55" t="s">
        <v>267</v>
      </c>
      <c r="E14" s="57" t="s">
        <v>608</v>
      </c>
      <c r="F14" s="33" t="s">
        <v>158</v>
      </c>
      <c r="G14" s="36">
        <v>1</v>
      </c>
      <c r="H14" s="38">
        <v>25</v>
      </c>
      <c r="I14" s="7">
        <v>60000</v>
      </c>
      <c r="J14" s="5">
        <v>5540</v>
      </c>
      <c r="K14" s="15">
        <f>L14+3986+4493+3622+5288+5060</f>
        <v>27984</v>
      </c>
      <c r="L14" s="15">
        <f>2626+2909</f>
        <v>5535</v>
      </c>
      <c r="M14" s="16">
        <f t="shared" si="0"/>
        <v>5535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0.99909747292418771</v>
      </c>
      <c r="AC14" s="9">
        <f t="shared" si="5"/>
        <v>1</v>
      </c>
      <c r="AD14" s="10">
        <f t="shared" si="6"/>
        <v>0.99909747292418771</v>
      </c>
      <c r="AE14" s="39">
        <f t="shared" ref="AE14" si="9">$AD$19</f>
        <v>0.91559579439252337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ref="AE15:AE20" si="10">$AD$21</f>
        <v>0.44381177850719239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215</v>
      </c>
      <c r="E16" s="56" t="s">
        <v>933</v>
      </c>
      <c r="F16" s="12">
        <v>7301</v>
      </c>
      <c r="G16" s="36">
        <v>1</v>
      </c>
      <c r="H16" s="38">
        <v>25</v>
      </c>
      <c r="I16" s="7">
        <v>5000</v>
      </c>
      <c r="J16" s="14">
        <v>3830</v>
      </c>
      <c r="K16" s="15">
        <f>L16</f>
        <v>3826</v>
      </c>
      <c r="L16" s="15">
        <f>1103+2723</f>
        <v>3826</v>
      </c>
      <c r="M16" s="16">
        <f t="shared" si="0"/>
        <v>3826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>
        <v>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0.99895561357702345</v>
      </c>
      <c r="AC16" s="9">
        <f t="shared" si="5"/>
        <v>0.83333333333333337</v>
      </c>
      <c r="AD16" s="10">
        <f t="shared" si="6"/>
        <v>0.83246301131418621</v>
      </c>
      <c r="AE16" s="39">
        <f t="shared" si="10"/>
        <v>0.44381177850719239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62</v>
      </c>
      <c r="D17" s="55" t="s">
        <v>853</v>
      </c>
      <c r="E17" s="56" t="s">
        <v>854</v>
      </c>
      <c r="F17" s="12" t="s">
        <v>855</v>
      </c>
      <c r="G17" s="12">
        <v>1</v>
      </c>
      <c r="H17" s="13">
        <v>25</v>
      </c>
      <c r="I17" s="34">
        <v>1000</v>
      </c>
      <c r="J17" s="5">
        <v>1370</v>
      </c>
      <c r="K17" s="15">
        <f>L17+1368</f>
        <v>1368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10"/>
        <v>0.44381177850719239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934</v>
      </c>
      <c r="E18" s="56" t="s">
        <v>935</v>
      </c>
      <c r="F18" s="33" t="s">
        <v>229</v>
      </c>
      <c r="G18" s="36">
        <v>1</v>
      </c>
      <c r="H18" s="38">
        <v>25</v>
      </c>
      <c r="I18" s="7">
        <v>1650</v>
      </c>
      <c r="J18" s="5">
        <v>2260</v>
      </c>
      <c r="K18" s="15">
        <f>L18</f>
        <v>2256</v>
      </c>
      <c r="L18" s="15">
        <f>2185+71</f>
        <v>2256</v>
      </c>
      <c r="M18" s="16">
        <f t="shared" si="0"/>
        <v>2256</v>
      </c>
      <c r="N18" s="16">
        <v>0</v>
      </c>
      <c r="O18" s="62">
        <f t="shared" si="1"/>
        <v>0</v>
      </c>
      <c r="P18" s="42">
        <f t="shared" si="2"/>
        <v>11</v>
      </c>
      <c r="Q18" s="43">
        <f t="shared" si="3"/>
        <v>13</v>
      </c>
      <c r="R18" s="7"/>
      <c r="S18" s="6"/>
      <c r="T18" s="17"/>
      <c r="U18" s="17"/>
      <c r="V18" s="18"/>
      <c r="W18" s="19">
        <v>13</v>
      </c>
      <c r="X18" s="17"/>
      <c r="Y18" s="20"/>
      <c r="Z18" s="20"/>
      <c r="AA18" s="21"/>
      <c r="AB18" s="8">
        <f t="shared" si="4"/>
        <v>0.99823008849557526</v>
      </c>
      <c r="AC18" s="9">
        <f t="shared" si="5"/>
        <v>0.45833333333333331</v>
      </c>
      <c r="AD18" s="10">
        <f t="shared" si="6"/>
        <v>0.45752212389380531</v>
      </c>
      <c r="AE18" s="39">
        <f t="shared" si="10"/>
        <v>0.44381177850719239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</v>
      </c>
      <c r="E19" s="57" t="s">
        <v>590</v>
      </c>
      <c r="F19" s="33" t="s">
        <v>136</v>
      </c>
      <c r="G19" s="36">
        <v>1</v>
      </c>
      <c r="H19" s="38">
        <v>25</v>
      </c>
      <c r="I19" s="34">
        <v>60000</v>
      </c>
      <c r="J19" s="5">
        <v>4280</v>
      </c>
      <c r="K19" s="15">
        <f>L19+2028+3807+3338+3450+4167+2008+2371+2495</f>
        <v>27939</v>
      </c>
      <c r="L19" s="15">
        <f>2488+1787</f>
        <v>4275</v>
      </c>
      <c r="M19" s="16">
        <f t="shared" si="0"/>
        <v>4275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0.99883177570093462</v>
      </c>
      <c r="AC19" s="9">
        <f t="shared" si="5"/>
        <v>0.91666666666666663</v>
      </c>
      <c r="AD19" s="10">
        <f t="shared" si="6"/>
        <v>0.91559579439252337</v>
      </c>
      <c r="AE19" s="39">
        <f t="shared" si="10"/>
        <v>0.44381177850719239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764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54160</v>
      </c>
      <c r="K20" s="15">
        <f>L20+40636+52572+50384</f>
        <v>197748</v>
      </c>
      <c r="L20" s="15">
        <f>6493*4+7046*4</f>
        <v>54156</v>
      </c>
      <c r="M20" s="16">
        <f t="shared" si="0"/>
        <v>54156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0.99992614475627772</v>
      </c>
      <c r="AC20" s="9">
        <f t="shared" si="5"/>
        <v>1</v>
      </c>
      <c r="AD20" s="10">
        <f t="shared" si="6"/>
        <v>0.99992614475627772</v>
      </c>
      <c r="AE20" s="39">
        <f t="shared" si="10"/>
        <v>0.44381177850719239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11">SUM(I6:I20)</f>
        <v>520150</v>
      </c>
      <c r="J21" s="22">
        <f t="shared" si="11"/>
        <v>109830</v>
      </c>
      <c r="K21" s="23">
        <f t="shared" si="11"/>
        <v>398744</v>
      </c>
      <c r="L21" s="24">
        <f t="shared" si="11"/>
        <v>80463</v>
      </c>
      <c r="M21" s="23">
        <f t="shared" si="11"/>
        <v>80463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160</v>
      </c>
      <c r="Q21" s="46">
        <f t="shared" si="12"/>
        <v>200</v>
      </c>
      <c r="R21" s="26">
        <f t="shared" si="12"/>
        <v>0</v>
      </c>
      <c r="S21" s="27">
        <f t="shared" si="12"/>
        <v>72</v>
      </c>
      <c r="T21" s="27">
        <f t="shared" si="12"/>
        <v>0</v>
      </c>
      <c r="U21" s="27">
        <f t="shared" si="12"/>
        <v>0</v>
      </c>
      <c r="V21" s="28">
        <f t="shared" si="12"/>
        <v>0</v>
      </c>
      <c r="W21" s="29">
        <f t="shared" si="12"/>
        <v>128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0.73186659683951838</v>
      </c>
      <c r="AC21" s="4">
        <f>SUM(AC6:AC20)/15</f>
        <v>0.44444444444444448</v>
      </c>
      <c r="AD21" s="4">
        <f>SUM(AD6:AD20)/15</f>
        <v>0.44381177850719239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936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948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341" t="s">
        <v>47</v>
      </c>
      <c r="D50" s="341" t="s">
        <v>48</v>
      </c>
      <c r="E50" s="341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341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897</v>
      </c>
      <c r="B51" s="414"/>
      <c r="C51" s="340" t="s">
        <v>518</v>
      </c>
      <c r="D51" s="337" t="s">
        <v>898</v>
      </c>
      <c r="E51" s="340" t="s">
        <v>899</v>
      </c>
      <c r="F51" s="415" t="s">
        <v>937</v>
      </c>
      <c r="G51" s="415"/>
      <c r="H51" s="415"/>
      <c r="I51" s="415"/>
      <c r="J51" s="415"/>
      <c r="K51" s="415"/>
      <c r="L51" s="415"/>
      <c r="M51" s="416"/>
      <c r="N51" s="336" t="s">
        <v>135</v>
      </c>
      <c r="O51" s="74" t="s">
        <v>875</v>
      </c>
      <c r="P51" s="419" t="s">
        <v>866</v>
      </c>
      <c r="Q51" s="419"/>
      <c r="R51" s="419" t="s">
        <v>874</v>
      </c>
      <c r="S51" s="419"/>
      <c r="T51" s="419"/>
      <c r="U51" s="419"/>
      <c r="V51" s="415" t="s">
        <v>912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13" t="s">
        <v>135</v>
      </c>
      <c r="B52" s="414"/>
      <c r="C52" s="340" t="s">
        <v>205</v>
      </c>
      <c r="D52" s="337" t="s">
        <v>58</v>
      </c>
      <c r="E52" s="340" t="s">
        <v>590</v>
      </c>
      <c r="F52" s="415" t="s">
        <v>938</v>
      </c>
      <c r="G52" s="415"/>
      <c r="H52" s="415"/>
      <c r="I52" s="415"/>
      <c r="J52" s="415"/>
      <c r="K52" s="415"/>
      <c r="L52" s="415"/>
      <c r="M52" s="416"/>
      <c r="N52" s="336" t="s">
        <v>863</v>
      </c>
      <c r="O52" s="74" t="s">
        <v>909</v>
      </c>
      <c r="P52" s="419" t="s">
        <v>910</v>
      </c>
      <c r="Q52" s="419"/>
      <c r="R52" s="419" t="s">
        <v>911</v>
      </c>
      <c r="S52" s="419"/>
      <c r="T52" s="419"/>
      <c r="U52" s="419"/>
      <c r="V52" s="415" t="s">
        <v>938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13" t="s">
        <v>62</v>
      </c>
      <c r="B53" s="414"/>
      <c r="C53" s="340" t="s">
        <v>138</v>
      </c>
      <c r="D53" s="337" t="s">
        <v>939</v>
      </c>
      <c r="E53" s="340" t="s">
        <v>931</v>
      </c>
      <c r="F53" s="415" t="s">
        <v>940</v>
      </c>
      <c r="G53" s="415"/>
      <c r="H53" s="415"/>
      <c r="I53" s="415"/>
      <c r="J53" s="415"/>
      <c r="K53" s="415"/>
      <c r="L53" s="415"/>
      <c r="M53" s="416"/>
      <c r="N53" s="336" t="s">
        <v>122</v>
      </c>
      <c r="O53" s="74" t="s">
        <v>145</v>
      </c>
      <c r="P53" s="419" t="s">
        <v>866</v>
      </c>
      <c r="Q53" s="419"/>
      <c r="R53" s="419" t="s">
        <v>949</v>
      </c>
      <c r="S53" s="419"/>
      <c r="T53" s="419"/>
      <c r="U53" s="419"/>
      <c r="V53" s="415" t="s">
        <v>950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135</v>
      </c>
      <c r="B54" s="414"/>
      <c r="C54" s="340" t="s">
        <v>903</v>
      </c>
      <c r="D54" s="337" t="s">
        <v>904</v>
      </c>
      <c r="E54" s="340" t="s">
        <v>905</v>
      </c>
      <c r="F54" s="415" t="s">
        <v>938</v>
      </c>
      <c r="G54" s="415"/>
      <c r="H54" s="415"/>
      <c r="I54" s="415"/>
      <c r="J54" s="415"/>
      <c r="K54" s="415"/>
      <c r="L54" s="415"/>
      <c r="M54" s="416"/>
      <c r="N54" s="336" t="s">
        <v>951</v>
      </c>
      <c r="O54" s="74" t="s">
        <v>952</v>
      </c>
      <c r="P54" s="417" t="s">
        <v>934</v>
      </c>
      <c r="Q54" s="418"/>
      <c r="R54" s="419" t="s">
        <v>953</v>
      </c>
      <c r="S54" s="419"/>
      <c r="T54" s="419"/>
      <c r="U54" s="419"/>
      <c r="V54" s="415" t="s">
        <v>954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20" t="s">
        <v>941</v>
      </c>
      <c r="B55" s="419"/>
      <c r="C55" s="337" t="s">
        <v>139</v>
      </c>
      <c r="D55" s="337" t="s">
        <v>58</v>
      </c>
      <c r="E55" s="340" t="s">
        <v>935</v>
      </c>
      <c r="F55" s="415" t="s">
        <v>907</v>
      </c>
      <c r="G55" s="415"/>
      <c r="H55" s="415"/>
      <c r="I55" s="415"/>
      <c r="J55" s="415"/>
      <c r="K55" s="415"/>
      <c r="L55" s="415"/>
      <c r="M55" s="416"/>
      <c r="N55" s="336" t="s">
        <v>122</v>
      </c>
      <c r="O55" s="74" t="s">
        <v>259</v>
      </c>
      <c r="P55" s="417" t="s">
        <v>955</v>
      </c>
      <c r="Q55" s="418"/>
      <c r="R55" s="419" t="s">
        <v>956</v>
      </c>
      <c r="S55" s="419"/>
      <c r="T55" s="419"/>
      <c r="U55" s="419"/>
      <c r="V55" s="415" t="s">
        <v>170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122</v>
      </c>
      <c r="B56" s="414"/>
      <c r="C56" s="340" t="s">
        <v>145</v>
      </c>
      <c r="D56" s="337" t="s">
        <v>942</v>
      </c>
      <c r="E56" s="340" t="s">
        <v>943</v>
      </c>
      <c r="F56" s="415" t="s">
        <v>944</v>
      </c>
      <c r="G56" s="415"/>
      <c r="H56" s="415"/>
      <c r="I56" s="415"/>
      <c r="J56" s="415"/>
      <c r="K56" s="415"/>
      <c r="L56" s="415"/>
      <c r="M56" s="416"/>
      <c r="N56" s="336" t="s">
        <v>122</v>
      </c>
      <c r="O56" s="74" t="s">
        <v>958</v>
      </c>
      <c r="P56" s="419" t="s">
        <v>959</v>
      </c>
      <c r="Q56" s="419"/>
      <c r="R56" s="419" t="s">
        <v>957</v>
      </c>
      <c r="S56" s="419"/>
      <c r="T56" s="419"/>
      <c r="U56" s="419"/>
      <c r="V56" s="415" t="s">
        <v>170</v>
      </c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 t="s">
        <v>62</v>
      </c>
      <c r="B57" s="419"/>
      <c r="C57" s="337" t="s">
        <v>312</v>
      </c>
      <c r="D57" s="337" t="s">
        <v>945</v>
      </c>
      <c r="E57" s="340" t="s">
        <v>946</v>
      </c>
      <c r="F57" s="415" t="s">
        <v>947</v>
      </c>
      <c r="G57" s="415"/>
      <c r="H57" s="415"/>
      <c r="I57" s="415"/>
      <c r="J57" s="415"/>
      <c r="K57" s="415"/>
      <c r="L57" s="415"/>
      <c r="M57" s="416"/>
      <c r="N57" s="336" t="s">
        <v>62</v>
      </c>
      <c r="O57" s="74" t="s">
        <v>316</v>
      </c>
      <c r="P57" s="417" t="s">
        <v>960</v>
      </c>
      <c r="Q57" s="418"/>
      <c r="R57" s="419" t="s">
        <v>132</v>
      </c>
      <c r="S57" s="419"/>
      <c r="T57" s="419"/>
      <c r="U57" s="419"/>
      <c r="V57" s="415" t="s">
        <v>134</v>
      </c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340"/>
      <c r="D58" s="337"/>
      <c r="E58" s="340"/>
      <c r="F58" s="415"/>
      <c r="G58" s="415"/>
      <c r="H58" s="415"/>
      <c r="I58" s="415"/>
      <c r="J58" s="415"/>
      <c r="K58" s="415"/>
      <c r="L58" s="415"/>
      <c r="M58" s="416"/>
      <c r="N58" s="336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337"/>
      <c r="D59" s="337"/>
      <c r="E59" s="337"/>
      <c r="F59" s="415"/>
      <c r="G59" s="415"/>
      <c r="H59" s="415"/>
      <c r="I59" s="415"/>
      <c r="J59" s="415"/>
      <c r="K59" s="415"/>
      <c r="L59" s="415"/>
      <c r="M59" s="416"/>
      <c r="N59" s="336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339"/>
      <c r="D60" s="339"/>
      <c r="E60" s="339"/>
      <c r="F60" s="423"/>
      <c r="G60" s="423"/>
      <c r="H60" s="423"/>
      <c r="I60" s="423"/>
      <c r="J60" s="423"/>
      <c r="K60" s="423"/>
      <c r="L60" s="423"/>
      <c r="M60" s="424"/>
      <c r="N60" s="338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961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335" t="s">
        <v>2</v>
      </c>
      <c r="D62" s="335" t="s">
        <v>38</v>
      </c>
      <c r="E62" s="335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335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343" t="s">
        <v>135</v>
      </c>
      <c r="D63" s="331"/>
      <c r="E63" s="333" t="s">
        <v>962</v>
      </c>
      <c r="F63" s="434" t="s">
        <v>963</v>
      </c>
      <c r="G63" s="434"/>
      <c r="H63" s="434"/>
      <c r="I63" s="434"/>
      <c r="J63" s="434"/>
      <c r="K63" s="483" t="s">
        <v>964</v>
      </c>
      <c r="L63" s="484"/>
      <c r="M63" s="357" t="s">
        <v>885</v>
      </c>
      <c r="N63" s="485">
        <v>4</v>
      </c>
      <c r="O63" s="485"/>
      <c r="P63" s="437">
        <v>50</v>
      </c>
      <c r="Q63" s="437"/>
      <c r="R63" s="415" t="s">
        <v>965</v>
      </c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343" t="s">
        <v>135</v>
      </c>
      <c r="D64" s="331"/>
      <c r="E64" s="333" t="s">
        <v>962</v>
      </c>
      <c r="F64" s="434" t="s">
        <v>963</v>
      </c>
      <c r="G64" s="434"/>
      <c r="H64" s="434"/>
      <c r="I64" s="434"/>
      <c r="J64" s="434"/>
      <c r="K64" s="482" t="s">
        <v>964</v>
      </c>
      <c r="L64" s="482"/>
      <c r="M64" s="343" t="s">
        <v>885</v>
      </c>
      <c r="N64" s="434">
        <v>4</v>
      </c>
      <c r="O64" s="434"/>
      <c r="P64" s="437">
        <v>50</v>
      </c>
      <c r="Q64" s="437"/>
      <c r="R64" s="415" t="s">
        <v>966</v>
      </c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343" t="s">
        <v>951</v>
      </c>
      <c r="D65" s="331"/>
      <c r="E65" s="333" t="s">
        <v>382</v>
      </c>
      <c r="F65" s="434" t="s">
        <v>967</v>
      </c>
      <c r="G65" s="434"/>
      <c r="H65" s="434"/>
      <c r="I65" s="434"/>
      <c r="J65" s="434"/>
      <c r="K65" s="480">
        <v>7301</v>
      </c>
      <c r="L65" s="481"/>
      <c r="M65" s="54" t="s">
        <v>968</v>
      </c>
      <c r="N65" s="486">
        <v>2</v>
      </c>
      <c r="O65" s="486"/>
      <c r="P65" s="437">
        <v>50</v>
      </c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343"/>
      <c r="D66" s="331"/>
      <c r="E66" s="333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343"/>
      <c r="D67" s="331"/>
      <c r="E67" s="333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343"/>
      <c r="D68" s="331"/>
      <c r="E68" s="333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343"/>
      <c r="D69" s="331"/>
      <c r="E69" s="333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343"/>
      <c r="D70" s="331"/>
      <c r="E70" s="333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969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334" t="s">
        <v>2</v>
      </c>
      <c r="D72" s="334" t="s">
        <v>38</v>
      </c>
      <c r="E72" s="334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332" t="s">
        <v>62</v>
      </c>
      <c r="D73" s="332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331" t="s">
        <v>135</v>
      </c>
      <c r="D74" s="331"/>
      <c r="E74" s="35" t="s">
        <v>121</v>
      </c>
      <c r="F74" s="447" t="s">
        <v>274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3">A74+1</f>
        <v>3</v>
      </c>
      <c r="B75" s="447"/>
      <c r="C75" s="331" t="s">
        <v>62</v>
      </c>
      <c r="D75" s="331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3"/>
        <v>4</v>
      </c>
      <c r="B76" s="447"/>
      <c r="C76" s="331" t="s">
        <v>62</v>
      </c>
      <c r="D76" s="331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3"/>
        <v>5</v>
      </c>
      <c r="B77" s="447"/>
      <c r="C77" s="331" t="s">
        <v>62</v>
      </c>
      <c r="D77" s="331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3"/>
        <v>6</v>
      </c>
      <c r="B78" s="447"/>
      <c r="C78" s="331" t="s">
        <v>135</v>
      </c>
      <c r="D78" s="331"/>
      <c r="E78" s="35" t="s">
        <v>121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3"/>
        <v>7</v>
      </c>
      <c r="B79" s="447"/>
      <c r="C79" s="331"/>
      <c r="D79" s="331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3"/>
        <v>8</v>
      </c>
      <c r="B80" s="447"/>
      <c r="C80" s="331"/>
      <c r="D80" s="331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3"/>
        <v>9</v>
      </c>
      <c r="B81" s="447"/>
      <c r="C81" s="331"/>
      <c r="D81" s="331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970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34" zoomScale="72" zoomScaleNormal="72" zoomScaleSheetLayoutView="70" workbookViewId="0">
      <selection activeCell="F80" sqref="F80:J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971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344" t="s">
        <v>17</v>
      </c>
      <c r="L5" s="344" t="s">
        <v>18</v>
      </c>
      <c r="M5" s="344" t="s">
        <v>19</v>
      </c>
      <c r="N5" s="34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606</v>
      </c>
      <c r="F6" s="12" t="s">
        <v>229</v>
      </c>
      <c r="G6" s="36">
        <v>1</v>
      </c>
      <c r="H6" s="38">
        <v>25</v>
      </c>
      <c r="I6" s="7">
        <v>60000</v>
      </c>
      <c r="J6" s="14">
        <v>3500</v>
      </c>
      <c r="K6" s="15">
        <f>L6+3451+4945+5014+4206+4870+4920+1272+1912</f>
        <v>34084</v>
      </c>
      <c r="L6" s="15">
        <f>2513+981</f>
        <v>3494</v>
      </c>
      <c r="M6" s="16">
        <f t="shared" ref="M6:M20" si="0">L6-N6</f>
        <v>3494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21</v>
      </c>
      <c r="Q6" s="43">
        <f t="shared" ref="Q6:Q20" si="3">SUM(R6:AA6)</f>
        <v>3</v>
      </c>
      <c r="R6" s="7"/>
      <c r="S6" s="6">
        <v>3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0.99828571428571433</v>
      </c>
      <c r="AC6" s="9">
        <f t="shared" ref="AC6:AC20" si="5">IF(P6=0,"0",(P6/24))</f>
        <v>0.875</v>
      </c>
      <c r="AD6" s="10">
        <f t="shared" ref="AD6:AD20" si="6">AC6*AB6*(1-O6)</f>
        <v>0.87350000000000005</v>
      </c>
      <c r="AE6" s="39">
        <f t="shared" ref="AE6:AE13" si="7">$AD$21</f>
        <v>0.39938831873201402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842</v>
      </c>
      <c r="E7" s="57" t="s">
        <v>972</v>
      </c>
      <c r="F7" s="33" t="s">
        <v>513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/>
      <c r="X7" s="17"/>
      <c r="Y7" s="20"/>
      <c r="Z7" s="20"/>
      <c r="AA7" s="21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0.39938831873201402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135</v>
      </c>
      <c r="D8" s="55" t="s">
        <v>267</v>
      </c>
      <c r="E8" s="57" t="s">
        <v>268</v>
      </c>
      <c r="F8" s="33" t="s">
        <v>499</v>
      </c>
      <c r="G8" s="36">
        <v>1</v>
      </c>
      <c r="H8" s="38">
        <v>35</v>
      </c>
      <c r="I8" s="7">
        <v>15000</v>
      </c>
      <c r="J8" s="14">
        <v>4610</v>
      </c>
      <c r="K8" s="15">
        <f>L8+1182+2835</f>
        <v>8625</v>
      </c>
      <c r="L8" s="15">
        <f>2641+1967</f>
        <v>4608</v>
      </c>
      <c r="M8" s="16">
        <f t="shared" si="0"/>
        <v>4608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/>
      <c r="U8" s="17"/>
      <c r="V8" s="18">
        <v>1</v>
      </c>
      <c r="W8" s="19"/>
      <c r="X8" s="17"/>
      <c r="Y8" s="20"/>
      <c r="Z8" s="20"/>
      <c r="AA8" s="21"/>
      <c r="AB8" s="8">
        <f t="shared" si="4"/>
        <v>0.99956616052060743</v>
      </c>
      <c r="AC8" s="9">
        <f t="shared" si="5"/>
        <v>0.95833333333333337</v>
      </c>
      <c r="AD8" s="10">
        <f t="shared" si="6"/>
        <v>0.95791757049891546</v>
      </c>
      <c r="AE8" s="39">
        <f t="shared" si="7"/>
        <v>0.39938831873201402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122</v>
      </c>
      <c r="D9" s="55" t="s">
        <v>361</v>
      </c>
      <c r="E9" s="57" t="s">
        <v>754</v>
      </c>
      <c r="F9" s="12" t="s">
        <v>129</v>
      </c>
      <c r="G9" s="12">
        <v>1</v>
      </c>
      <c r="H9" s="13">
        <v>25</v>
      </c>
      <c r="I9" s="34">
        <v>6500</v>
      </c>
      <c r="J9" s="5">
        <v>1260</v>
      </c>
      <c r="K9" s="15">
        <f>L9+2211+4993+1256</f>
        <v>8460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0.39938831873201402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58</v>
      </c>
      <c r="E10" s="57" t="s">
        <v>785</v>
      </c>
      <c r="F10" s="12" t="s">
        <v>229</v>
      </c>
      <c r="G10" s="12">
        <v>1</v>
      </c>
      <c r="H10" s="13">
        <v>25</v>
      </c>
      <c r="I10" s="34">
        <v>6500</v>
      </c>
      <c r="J10" s="5">
        <v>1370</v>
      </c>
      <c r="K10" s="15">
        <f>L10+2193+2022+4472+1365</f>
        <v>10052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0.39938831873201402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6" t="s">
        <v>132</v>
      </c>
      <c r="F11" s="12" t="s">
        <v>130</v>
      </c>
      <c r="G11" s="12">
        <v>1</v>
      </c>
      <c r="H11" s="13">
        <v>25</v>
      </c>
      <c r="I11" s="34">
        <v>35000</v>
      </c>
      <c r="J11" s="14">
        <v>1620</v>
      </c>
      <c r="K11" s="15">
        <f>L11+1619</f>
        <v>1619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0.39938831873201402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62</v>
      </c>
      <c r="D12" s="55" t="s">
        <v>926</v>
      </c>
      <c r="E12" s="57" t="s">
        <v>927</v>
      </c>
      <c r="F12" s="12" t="s">
        <v>499</v>
      </c>
      <c r="G12" s="12" t="s">
        <v>929</v>
      </c>
      <c r="H12" s="13">
        <v>25</v>
      </c>
      <c r="I12" s="34">
        <v>1000</v>
      </c>
      <c r="J12" s="5">
        <v>360</v>
      </c>
      <c r="K12" s="15">
        <f>L12+359</f>
        <v>359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0.39938831873201402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62</v>
      </c>
      <c r="D13" s="55" t="s">
        <v>247</v>
      </c>
      <c r="E13" s="57" t="s">
        <v>931</v>
      </c>
      <c r="F13" s="12" t="s">
        <v>499</v>
      </c>
      <c r="G13" s="12">
        <v>2</v>
      </c>
      <c r="H13" s="13">
        <v>25</v>
      </c>
      <c r="I13" s="7">
        <v>1000</v>
      </c>
      <c r="J13" s="14">
        <v>1280</v>
      </c>
      <c r="K13" s="15">
        <f>L13+1274</f>
        <v>1274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0.39938831873201402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973</v>
      </c>
      <c r="E14" s="57" t="s">
        <v>974</v>
      </c>
      <c r="F14" s="33" t="s">
        <v>975</v>
      </c>
      <c r="G14" s="36">
        <v>1</v>
      </c>
      <c r="H14" s="38">
        <v>25</v>
      </c>
      <c r="I14" s="7">
        <v>200</v>
      </c>
      <c r="J14" s="5">
        <v>410</v>
      </c>
      <c r="K14" s="15">
        <f>L14</f>
        <v>406</v>
      </c>
      <c r="L14" s="15">
        <f>406</f>
        <v>406</v>
      </c>
      <c r="M14" s="16">
        <f t="shared" si="0"/>
        <v>406</v>
      </c>
      <c r="N14" s="16">
        <v>0</v>
      </c>
      <c r="O14" s="62">
        <f t="shared" si="1"/>
        <v>0</v>
      </c>
      <c r="P14" s="42">
        <f t="shared" si="2"/>
        <v>7</v>
      </c>
      <c r="Q14" s="43">
        <f t="shared" si="3"/>
        <v>17</v>
      </c>
      <c r="R14" s="7"/>
      <c r="S14" s="6"/>
      <c r="T14" s="17"/>
      <c r="U14" s="17"/>
      <c r="V14" s="18"/>
      <c r="W14" s="19">
        <v>17</v>
      </c>
      <c r="X14" s="17"/>
      <c r="Y14" s="20"/>
      <c r="Z14" s="20"/>
      <c r="AA14" s="21"/>
      <c r="AB14" s="8">
        <f t="shared" si="4"/>
        <v>0.99024390243902438</v>
      </c>
      <c r="AC14" s="9">
        <f t="shared" si="5"/>
        <v>0.29166666666666669</v>
      </c>
      <c r="AD14" s="10">
        <f t="shared" si="6"/>
        <v>0.28882113821138211</v>
      </c>
      <c r="AE14" s="39">
        <f t="shared" ref="AE14" si="9">$AD$19</f>
        <v>0.99977876106194685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293</v>
      </c>
      <c r="D15" s="55" t="s">
        <v>294</v>
      </c>
      <c r="E15" s="57"/>
      <c r="F15" s="12" t="s">
        <v>295</v>
      </c>
      <c r="G15" s="12">
        <v>3</v>
      </c>
      <c r="H15" s="13">
        <v>12</v>
      </c>
      <c r="I15" s="34">
        <v>60000</v>
      </c>
      <c r="J15" s="5">
        <v>25070</v>
      </c>
      <c r="K15" s="15">
        <f>L15+23046+22200+25068</f>
        <v>70314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ref="AE15:AE20" si="10">$AD$21</f>
        <v>0.39938831873201402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215</v>
      </c>
      <c r="E16" s="56" t="s">
        <v>933</v>
      </c>
      <c r="F16" s="12">
        <v>7301</v>
      </c>
      <c r="G16" s="36">
        <v>1</v>
      </c>
      <c r="H16" s="38">
        <v>25</v>
      </c>
      <c r="I16" s="7">
        <v>5000</v>
      </c>
      <c r="J16" s="14">
        <v>4900</v>
      </c>
      <c r="K16" s="15">
        <f>L16+3826</f>
        <v>8723</v>
      </c>
      <c r="L16" s="15">
        <f>2819+2078</f>
        <v>4897</v>
      </c>
      <c r="M16" s="16">
        <f t="shared" si="0"/>
        <v>4897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0.99938775510204081</v>
      </c>
      <c r="AC16" s="9">
        <f t="shared" si="5"/>
        <v>1</v>
      </c>
      <c r="AD16" s="10">
        <f t="shared" si="6"/>
        <v>0.99938775510204081</v>
      </c>
      <c r="AE16" s="39">
        <f t="shared" si="10"/>
        <v>0.39938831873201402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976</v>
      </c>
      <c r="E17" s="56" t="s">
        <v>977</v>
      </c>
      <c r="F17" s="12">
        <v>8301</v>
      </c>
      <c r="G17" s="12">
        <v>1</v>
      </c>
      <c r="H17" s="13">
        <v>25</v>
      </c>
      <c r="I17" s="34">
        <v>13000</v>
      </c>
      <c r="J17" s="5">
        <v>2320</v>
      </c>
      <c r="K17" s="15">
        <f>L17</f>
        <v>2313</v>
      </c>
      <c r="L17" s="15">
        <f>2313</f>
        <v>2313</v>
      </c>
      <c r="M17" s="16">
        <f t="shared" si="0"/>
        <v>2313</v>
      </c>
      <c r="N17" s="16">
        <v>0</v>
      </c>
      <c r="O17" s="62">
        <f t="shared" si="1"/>
        <v>0</v>
      </c>
      <c r="P17" s="42">
        <f t="shared" si="2"/>
        <v>12</v>
      </c>
      <c r="Q17" s="43">
        <f t="shared" si="3"/>
        <v>12</v>
      </c>
      <c r="R17" s="7"/>
      <c r="S17" s="6">
        <v>12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0.99698275862068964</v>
      </c>
      <c r="AC17" s="9">
        <f t="shared" si="5"/>
        <v>0.5</v>
      </c>
      <c r="AD17" s="10">
        <f t="shared" si="6"/>
        <v>0.49849137931034482</v>
      </c>
      <c r="AE17" s="39">
        <f t="shared" si="10"/>
        <v>0.39938831873201402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191</v>
      </c>
      <c r="E18" s="56" t="s">
        <v>978</v>
      </c>
      <c r="F18" s="33" t="s">
        <v>979</v>
      </c>
      <c r="G18" s="36">
        <v>1</v>
      </c>
      <c r="H18" s="38">
        <v>25</v>
      </c>
      <c r="I18" s="7">
        <v>700</v>
      </c>
      <c r="J18" s="5">
        <v>1810</v>
      </c>
      <c r="K18" s="15">
        <f>L18</f>
        <v>1801</v>
      </c>
      <c r="L18" s="15">
        <f>800+1001</f>
        <v>1801</v>
      </c>
      <c r="M18" s="16">
        <f t="shared" si="0"/>
        <v>1801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>
        <v>14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0.99502762430939229</v>
      </c>
      <c r="AC18" s="9">
        <f t="shared" si="5"/>
        <v>0.41666666666666669</v>
      </c>
      <c r="AD18" s="10">
        <f t="shared" si="6"/>
        <v>0.41459484346224679</v>
      </c>
      <c r="AE18" s="39">
        <f t="shared" si="10"/>
        <v>0.39938831873201402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</v>
      </c>
      <c r="E19" s="57" t="s">
        <v>590</v>
      </c>
      <c r="F19" s="33" t="s">
        <v>136</v>
      </c>
      <c r="G19" s="36">
        <v>1</v>
      </c>
      <c r="H19" s="38">
        <v>25</v>
      </c>
      <c r="I19" s="34">
        <v>60000</v>
      </c>
      <c r="J19" s="5">
        <v>4520</v>
      </c>
      <c r="K19" s="15">
        <f>L19+2028+3807+3338+3450+4167+2008+2371+2495+4275</f>
        <v>32458</v>
      </c>
      <c r="L19" s="15">
        <f>2601+1918</f>
        <v>4519</v>
      </c>
      <c r="M19" s="16">
        <f t="shared" si="0"/>
        <v>4519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0.99977876106194685</v>
      </c>
      <c r="AC19" s="9">
        <f t="shared" si="5"/>
        <v>1</v>
      </c>
      <c r="AD19" s="10">
        <f t="shared" si="6"/>
        <v>0.99977876106194685</v>
      </c>
      <c r="AE19" s="39">
        <f t="shared" si="10"/>
        <v>0.39938831873201402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764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47100</v>
      </c>
      <c r="K20" s="15">
        <f>L20+40636+52572+50384+54156</f>
        <v>244848</v>
      </c>
      <c r="L20" s="15">
        <f>6979*4+4796*4</f>
        <v>47100</v>
      </c>
      <c r="M20" s="16">
        <f t="shared" si="0"/>
        <v>47100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/>
      <c r="T20" s="17"/>
      <c r="U20" s="17"/>
      <c r="V20" s="18">
        <v>1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9">
        <f t="shared" si="10"/>
        <v>0.39938831873201402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11">SUM(I6:I20)</f>
        <v>476900</v>
      </c>
      <c r="J21" s="22">
        <f t="shared" si="11"/>
        <v>102800</v>
      </c>
      <c r="K21" s="23">
        <f t="shared" si="11"/>
        <v>425336</v>
      </c>
      <c r="L21" s="24">
        <f t="shared" si="11"/>
        <v>69138</v>
      </c>
      <c r="M21" s="23">
        <f t="shared" si="11"/>
        <v>69138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144</v>
      </c>
      <c r="Q21" s="46">
        <f t="shared" si="12"/>
        <v>216</v>
      </c>
      <c r="R21" s="26">
        <f t="shared" si="12"/>
        <v>0</v>
      </c>
      <c r="S21" s="27">
        <f t="shared" si="12"/>
        <v>77</v>
      </c>
      <c r="T21" s="27">
        <f t="shared" si="12"/>
        <v>0</v>
      </c>
      <c r="U21" s="27">
        <f t="shared" si="12"/>
        <v>0</v>
      </c>
      <c r="V21" s="28">
        <f t="shared" si="12"/>
        <v>2</v>
      </c>
      <c r="W21" s="29">
        <f t="shared" si="12"/>
        <v>113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24</v>
      </c>
      <c r="AB21" s="31">
        <f>SUM(AB6:AB20)/15</f>
        <v>0.531951511755961</v>
      </c>
      <c r="AC21" s="4">
        <f>SUM(AC6:AC20)/15</f>
        <v>0.4</v>
      </c>
      <c r="AD21" s="4">
        <f>SUM(AD6:AD20)/15</f>
        <v>0.39938831873201402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980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987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345" t="s">
        <v>47</v>
      </c>
      <c r="D50" s="345" t="s">
        <v>48</v>
      </c>
      <c r="E50" s="345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345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140</v>
      </c>
      <c r="B51" s="414"/>
      <c r="C51" s="346" t="s">
        <v>266</v>
      </c>
      <c r="D51" s="347" t="s">
        <v>141</v>
      </c>
      <c r="E51" s="346" t="s">
        <v>899</v>
      </c>
      <c r="F51" s="415" t="s">
        <v>981</v>
      </c>
      <c r="G51" s="415"/>
      <c r="H51" s="415"/>
      <c r="I51" s="415"/>
      <c r="J51" s="415"/>
      <c r="K51" s="415"/>
      <c r="L51" s="415"/>
      <c r="M51" s="416"/>
      <c r="N51" s="348" t="s">
        <v>863</v>
      </c>
      <c r="O51" s="74" t="s">
        <v>312</v>
      </c>
      <c r="P51" s="419" t="s">
        <v>910</v>
      </c>
      <c r="Q51" s="419"/>
      <c r="R51" s="419" t="s">
        <v>911</v>
      </c>
      <c r="S51" s="419"/>
      <c r="T51" s="419"/>
      <c r="U51" s="419"/>
      <c r="V51" s="415" t="s">
        <v>938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20" t="s">
        <v>122</v>
      </c>
      <c r="B52" s="419"/>
      <c r="C52" s="347" t="s">
        <v>139</v>
      </c>
      <c r="D52" s="347" t="s">
        <v>58</v>
      </c>
      <c r="E52" s="346" t="s">
        <v>978</v>
      </c>
      <c r="F52" s="415" t="s">
        <v>982</v>
      </c>
      <c r="G52" s="415"/>
      <c r="H52" s="415"/>
      <c r="I52" s="415"/>
      <c r="J52" s="415"/>
      <c r="K52" s="415"/>
      <c r="L52" s="415"/>
      <c r="M52" s="416"/>
      <c r="N52" s="348" t="s">
        <v>122</v>
      </c>
      <c r="O52" s="74" t="s">
        <v>145</v>
      </c>
      <c r="P52" s="419" t="s">
        <v>141</v>
      </c>
      <c r="Q52" s="419"/>
      <c r="R52" s="419" t="s">
        <v>943</v>
      </c>
      <c r="S52" s="419"/>
      <c r="T52" s="419"/>
      <c r="U52" s="419"/>
      <c r="V52" s="415" t="s">
        <v>210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20" t="s">
        <v>122</v>
      </c>
      <c r="B53" s="419"/>
      <c r="C53" s="347" t="s">
        <v>201</v>
      </c>
      <c r="D53" s="347" t="s">
        <v>191</v>
      </c>
      <c r="E53" s="346" t="s">
        <v>974</v>
      </c>
      <c r="F53" s="415" t="s">
        <v>983</v>
      </c>
      <c r="G53" s="415"/>
      <c r="H53" s="415"/>
      <c r="I53" s="415"/>
      <c r="J53" s="415"/>
      <c r="K53" s="415"/>
      <c r="L53" s="415"/>
      <c r="M53" s="416"/>
      <c r="N53" s="348" t="s">
        <v>122</v>
      </c>
      <c r="O53" s="74" t="s">
        <v>214</v>
      </c>
      <c r="P53" s="417" t="s">
        <v>276</v>
      </c>
      <c r="Q53" s="418"/>
      <c r="R53" s="419" t="s">
        <v>988</v>
      </c>
      <c r="S53" s="419"/>
      <c r="T53" s="419"/>
      <c r="U53" s="419"/>
      <c r="V53" s="415" t="s">
        <v>989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122</v>
      </c>
      <c r="B54" s="414"/>
      <c r="C54" s="346" t="s">
        <v>984</v>
      </c>
      <c r="D54" s="347" t="s">
        <v>985</v>
      </c>
      <c r="E54" s="346" t="s">
        <v>977</v>
      </c>
      <c r="F54" s="415" t="s">
        <v>986</v>
      </c>
      <c r="G54" s="415"/>
      <c r="H54" s="415"/>
      <c r="I54" s="415"/>
      <c r="J54" s="415"/>
      <c r="K54" s="415"/>
      <c r="L54" s="415"/>
      <c r="M54" s="416"/>
      <c r="N54" s="348" t="s">
        <v>122</v>
      </c>
      <c r="O54" s="74" t="s">
        <v>991</v>
      </c>
      <c r="P54" s="417" t="s">
        <v>992</v>
      </c>
      <c r="Q54" s="418"/>
      <c r="R54" s="419" t="s">
        <v>990</v>
      </c>
      <c r="S54" s="419"/>
      <c r="T54" s="419"/>
      <c r="U54" s="419"/>
      <c r="V54" s="415" t="s">
        <v>993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20"/>
      <c r="B55" s="419"/>
      <c r="C55" s="347"/>
      <c r="D55" s="347"/>
      <c r="E55" s="346"/>
      <c r="F55" s="415"/>
      <c r="G55" s="415"/>
      <c r="H55" s="415"/>
      <c r="I55" s="415"/>
      <c r="J55" s="415"/>
      <c r="K55" s="415"/>
      <c r="L55" s="415"/>
      <c r="M55" s="416"/>
      <c r="N55" s="348" t="s">
        <v>122</v>
      </c>
      <c r="O55" s="74" t="s">
        <v>138</v>
      </c>
      <c r="P55" s="417" t="s">
        <v>994</v>
      </c>
      <c r="Q55" s="418"/>
      <c r="R55" s="419" t="s">
        <v>995</v>
      </c>
      <c r="S55" s="419"/>
      <c r="T55" s="419"/>
      <c r="U55" s="419"/>
      <c r="V55" s="415" t="s">
        <v>993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/>
      <c r="B56" s="414"/>
      <c r="C56" s="346"/>
      <c r="D56" s="347"/>
      <c r="E56" s="346"/>
      <c r="F56" s="415"/>
      <c r="G56" s="415"/>
      <c r="H56" s="415"/>
      <c r="I56" s="415"/>
      <c r="J56" s="415"/>
      <c r="K56" s="415"/>
      <c r="L56" s="415"/>
      <c r="M56" s="416"/>
      <c r="N56" s="348"/>
      <c r="O56" s="74"/>
      <c r="P56" s="419"/>
      <c r="Q56" s="419"/>
      <c r="R56" s="419"/>
      <c r="S56" s="419"/>
      <c r="T56" s="419"/>
      <c r="U56" s="419"/>
      <c r="V56" s="415"/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/>
      <c r="B57" s="419"/>
      <c r="C57" s="347"/>
      <c r="D57" s="347"/>
      <c r="E57" s="346"/>
      <c r="F57" s="415"/>
      <c r="G57" s="415"/>
      <c r="H57" s="415"/>
      <c r="I57" s="415"/>
      <c r="J57" s="415"/>
      <c r="K57" s="415"/>
      <c r="L57" s="415"/>
      <c r="M57" s="416"/>
      <c r="N57" s="348"/>
      <c r="O57" s="74"/>
      <c r="P57" s="417"/>
      <c r="Q57" s="418"/>
      <c r="R57" s="419"/>
      <c r="S57" s="419"/>
      <c r="T57" s="419"/>
      <c r="U57" s="419"/>
      <c r="V57" s="415"/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/>
      <c r="B58" s="414"/>
      <c r="C58" s="346"/>
      <c r="D58" s="347"/>
      <c r="E58" s="346"/>
      <c r="F58" s="415"/>
      <c r="G58" s="415"/>
      <c r="H58" s="415"/>
      <c r="I58" s="415"/>
      <c r="J58" s="415"/>
      <c r="K58" s="415"/>
      <c r="L58" s="415"/>
      <c r="M58" s="416"/>
      <c r="N58" s="348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/>
      <c r="B59" s="419"/>
      <c r="C59" s="347"/>
      <c r="D59" s="347"/>
      <c r="E59" s="347"/>
      <c r="F59" s="415"/>
      <c r="G59" s="415"/>
      <c r="H59" s="415"/>
      <c r="I59" s="415"/>
      <c r="J59" s="415"/>
      <c r="K59" s="415"/>
      <c r="L59" s="415"/>
      <c r="M59" s="416"/>
      <c r="N59" s="348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350"/>
      <c r="D60" s="350"/>
      <c r="E60" s="350"/>
      <c r="F60" s="423"/>
      <c r="G60" s="423"/>
      <c r="H60" s="423"/>
      <c r="I60" s="423"/>
      <c r="J60" s="423"/>
      <c r="K60" s="423"/>
      <c r="L60" s="423"/>
      <c r="M60" s="424"/>
      <c r="N60" s="349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996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351" t="s">
        <v>2</v>
      </c>
      <c r="D62" s="351" t="s">
        <v>38</v>
      </c>
      <c r="E62" s="351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351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356" t="s">
        <v>135</v>
      </c>
      <c r="D63" s="354"/>
      <c r="E63" s="352" t="s">
        <v>225</v>
      </c>
      <c r="F63" s="434" t="s">
        <v>997</v>
      </c>
      <c r="G63" s="434"/>
      <c r="H63" s="434"/>
      <c r="I63" s="434"/>
      <c r="J63" s="434"/>
      <c r="K63" s="483" t="s">
        <v>964</v>
      </c>
      <c r="L63" s="484"/>
      <c r="M63" s="357" t="s">
        <v>615</v>
      </c>
      <c r="N63" s="485">
        <v>4</v>
      </c>
      <c r="O63" s="485"/>
      <c r="P63" s="437">
        <v>50</v>
      </c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356" t="s">
        <v>951</v>
      </c>
      <c r="D64" s="354"/>
      <c r="E64" s="352" t="s">
        <v>276</v>
      </c>
      <c r="F64" s="434" t="s">
        <v>988</v>
      </c>
      <c r="G64" s="434"/>
      <c r="H64" s="434"/>
      <c r="I64" s="434"/>
      <c r="J64" s="434"/>
      <c r="K64" s="482">
        <v>7301</v>
      </c>
      <c r="L64" s="482"/>
      <c r="M64" s="356" t="s">
        <v>968</v>
      </c>
      <c r="N64" s="434">
        <v>2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356"/>
      <c r="D65" s="354"/>
      <c r="E65" s="352"/>
      <c r="F65" s="434"/>
      <c r="G65" s="434"/>
      <c r="H65" s="434"/>
      <c r="I65" s="434"/>
      <c r="J65" s="434"/>
      <c r="K65" s="480"/>
      <c r="L65" s="481"/>
      <c r="M65" s="54"/>
      <c r="N65" s="486"/>
      <c r="O65" s="486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356"/>
      <c r="D66" s="354"/>
      <c r="E66" s="352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356"/>
      <c r="D67" s="354"/>
      <c r="E67" s="352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356"/>
      <c r="D68" s="354"/>
      <c r="E68" s="352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356"/>
      <c r="D69" s="354"/>
      <c r="E69" s="352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356"/>
      <c r="D70" s="354"/>
      <c r="E70" s="352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998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353" t="s">
        <v>2</v>
      </c>
      <c r="D72" s="353" t="s">
        <v>38</v>
      </c>
      <c r="E72" s="353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355" t="s">
        <v>62</v>
      </c>
      <c r="D73" s="355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354" t="s">
        <v>135</v>
      </c>
      <c r="D74" s="354"/>
      <c r="E74" s="35" t="s">
        <v>121</v>
      </c>
      <c r="F74" s="447" t="s">
        <v>274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3">A74+1</f>
        <v>3</v>
      </c>
      <c r="B75" s="447"/>
      <c r="C75" s="354" t="s">
        <v>62</v>
      </c>
      <c r="D75" s="354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3"/>
        <v>4</v>
      </c>
      <c r="B76" s="447"/>
      <c r="C76" s="354" t="s">
        <v>62</v>
      </c>
      <c r="D76" s="354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3"/>
        <v>5</v>
      </c>
      <c r="B77" s="447"/>
      <c r="C77" s="354" t="s">
        <v>62</v>
      </c>
      <c r="D77" s="354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3"/>
        <v>6</v>
      </c>
      <c r="B78" s="447"/>
      <c r="C78" s="354" t="s">
        <v>135</v>
      </c>
      <c r="D78" s="354"/>
      <c r="E78" s="35" t="s">
        <v>121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3"/>
        <v>7</v>
      </c>
      <c r="B79" s="447"/>
      <c r="C79" s="354"/>
      <c r="D79" s="354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3"/>
        <v>8</v>
      </c>
      <c r="B80" s="447"/>
      <c r="C80" s="354"/>
      <c r="D80" s="354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3"/>
        <v>9</v>
      </c>
      <c r="B81" s="447"/>
      <c r="C81" s="354"/>
      <c r="D81" s="354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999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abSelected="1" zoomScale="72" zoomScaleNormal="72" zoomScaleSheetLayoutView="70" workbookViewId="0">
      <selection activeCell="K79" sqref="K79:S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72" t="s">
        <v>1000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72"/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73"/>
      <c r="B3" s="373"/>
      <c r="C3" s="373"/>
      <c r="D3" s="373"/>
      <c r="E3" s="373"/>
      <c r="F3" s="373"/>
      <c r="G3" s="37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74" t="s">
        <v>0</v>
      </c>
      <c r="B4" s="376" t="s">
        <v>1</v>
      </c>
      <c r="C4" s="376" t="s">
        <v>2</v>
      </c>
      <c r="D4" s="379" t="s">
        <v>3</v>
      </c>
      <c r="E4" s="381" t="s">
        <v>4</v>
      </c>
      <c r="F4" s="379" t="s">
        <v>5</v>
      </c>
      <c r="G4" s="376" t="s">
        <v>6</v>
      </c>
      <c r="H4" s="382" t="s">
        <v>7</v>
      </c>
      <c r="I4" s="403" t="s">
        <v>8</v>
      </c>
      <c r="J4" s="404"/>
      <c r="K4" s="404"/>
      <c r="L4" s="404"/>
      <c r="M4" s="404"/>
      <c r="N4" s="404"/>
      <c r="O4" s="405"/>
      <c r="P4" s="406" t="s">
        <v>9</v>
      </c>
      <c r="Q4" s="407"/>
      <c r="R4" s="408" t="s">
        <v>10</v>
      </c>
      <c r="S4" s="408"/>
      <c r="T4" s="408"/>
      <c r="U4" s="408"/>
      <c r="V4" s="408"/>
      <c r="W4" s="409" t="s">
        <v>11</v>
      </c>
      <c r="X4" s="408"/>
      <c r="Y4" s="408"/>
      <c r="Z4" s="408"/>
      <c r="AA4" s="410"/>
      <c r="AB4" s="411" t="s">
        <v>12</v>
      </c>
      <c r="AC4" s="384" t="s">
        <v>13</v>
      </c>
      <c r="AD4" s="384" t="s">
        <v>14</v>
      </c>
      <c r="AE4" s="58"/>
    </row>
    <row r="5" spans="1:32" ht="51" customHeight="1" thickBot="1">
      <c r="A5" s="375"/>
      <c r="B5" s="377"/>
      <c r="C5" s="378"/>
      <c r="D5" s="380"/>
      <c r="E5" s="380"/>
      <c r="F5" s="380"/>
      <c r="G5" s="377"/>
      <c r="H5" s="383"/>
      <c r="I5" s="59" t="s">
        <v>15</v>
      </c>
      <c r="J5" s="60" t="s">
        <v>16</v>
      </c>
      <c r="K5" s="369" t="s">
        <v>17</v>
      </c>
      <c r="L5" s="369" t="s">
        <v>18</v>
      </c>
      <c r="M5" s="369" t="s">
        <v>19</v>
      </c>
      <c r="N5" s="3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12"/>
      <c r="AC5" s="385"/>
      <c r="AD5" s="385"/>
      <c r="AE5" s="58"/>
    </row>
    <row r="6" spans="1:32" ht="27" customHeight="1">
      <c r="A6" s="108">
        <v>1</v>
      </c>
      <c r="B6" s="11" t="s">
        <v>59</v>
      </c>
      <c r="C6" s="11" t="s">
        <v>135</v>
      </c>
      <c r="D6" s="55" t="s">
        <v>123</v>
      </c>
      <c r="E6" s="56" t="s">
        <v>606</v>
      </c>
      <c r="F6" s="12" t="s">
        <v>229</v>
      </c>
      <c r="G6" s="36">
        <v>1</v>
      </c>
      <c r="H6" s="38">
        <v>25</v>
      </c>
      <c r="I6" s="7">
        <v>60000</v>
      </c>
      <c r="J6" s="14">
        <v>3640</v>
      </c>
      <c r="K6" s="15">
        <f>L6+3451+4945+5014+4206+4870+4920+1272+1912+3494</f>
        <v>37721</v>
      </c>
      <c r="L6" s="15">
        <f>1257+2380</f>
        <v>3637</v>
      </c>
      <c r="M6" s="16">
        <f t="shared" ref="M6:M20" si="0">L6-N6</f>
        <v>3637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21</v>
      </c>
      <c r="Q6" s="43">
        <f t="shared" ref="Q6:Q20" si="3">SUM(R6:AA6)</f>
        <v>3</v>
      </c>
      <c r="R6" s="7"/>
      <c r="S6" s="6">
        <v>3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0.99917582417582418</v>
      </c>
      <c r="AC6" s="9">
        <f t="shared" ref="AC6:AC20" si="5">IF(P6=0,"0",(P6/24))</f>
        <v>0.875</v>
      </c>
      <c r="AD6" s="10">
        <f t="shared" ref="AD6:AD20" si="6">AC6*AB6*(1-O6)</f>
        <v>0.87427884615384621</v>
      </c>
      <c r="AE6" s="39">
        <f t="shared" ref="AE6:AE13" si="7">$AD$21</f>
        <v>0.65662579680666089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842</v>
      </c>
      <c r="E7" s="57" t="s">
        <v>972</v>
      </c>
      <c r="F7" s="33" t="s">
        <v>513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/>
      <c r="X7" s="17"/>
      <c r="Y7" s="20"/>
      <c r="Z7" s="20"/>
      <c r="AA7" s="21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0.65662579680666089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135</v>
      </c>
      <c r="D8" s="55" t="s">
        <v>267</v>
      </c>
      <c r="E8" s="57" t="s">
        <v>268</v>
      </c>
      <c r="F8" s="33" t="s">
        <v>499</v>
      </c>
      <c r="G8" s="36">
        <v>1</v>
      </c>
      <c r="H8" s="38">
        <v>35</v>
      </c>
      <c r="I8" s="7">
        <v>15000</v>
      </c>
      <c r="J8" s="14">
        <v>5230</v>
      </c>
      <c r="K8" s="15">
        <f>L8+1182+2835+4608</f>
        <v>13849</v>
      </c>
      <c r="L8" s="15">
        <f>2703+2521</f>
        <v>5224</v>
      </c>
      <c r="M8" s="16">
        <f t="shared" si="0"/>
        <v>5224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0.99885277246653925</v>
      </c>
      <c r="AC8" s="9">
        <f t="shared" si="5"/>
        <v>1</v>
      </c>
      <c r="AD8" s="10">
        <f t="shared" si="6"/>
        <v>0.99885277246653925</v>
      </c>
      <c r="AE8" s="39">
        <f t="shared" si="7"/>
        <v>0.65662579680666089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135</v>
      </c>
      <c r="D9" s="55" t="s">
        <v>1001</v>
      </c>
      <c r="E9" s="57" t="s">
        <v>1002</v>
      </c>
      <c r="F9" s="12" t="s">
        <v>129</v>
      </c>
      <c r="G9" s="12">
        <v>1</v>
      </c>
      <c r="H9" s="13">
        <v>25</v>
      </c>
      <c r="I9" s="34">
        <v>5000</v>
      </c>
      <c r="J9" s="5">
        <v>2600</v>
      </c>
      <c r="K9" s="15">
        <f>L9</f>
        <v>2594</v>
      </c>
      <c r="L9" s="15">
        <f>2064+530</f>
        <v>2594</v>
      </c>
      <c r="M9" s="16">
        <f t="shared" si="0"/>
        <v>2594</v>
      </c>
      <c r="N9" s="16">
        <v>0</v>
      </c>
      <c r="O9" s="62">
        <f t="shared" si="1"/>
        <v>0</v>
      </c>
      <c r="P9" s="42">
        <f t="shared" si="2"/>
        <v>17</v>
      </c>
      <c r="Q9" s="43">
        <f t="shared" si="3"/>
        <v>7</v>
      </c>
      <c r="R9" s="7"/>
      <c r="S9" s="6"/>
      <c r="T9" s="17">
        <v>7</v>
      </c>
      <c r="U9" s="17"/>
      <c r="V9" s="18"/>
      <c r="W9" s="19"/>
      <c r="X9" s="17"/>
      <c r="Y9" s="20"/>
      <c r="Z9" s="20"/>
      <c r="AA9" s="21"/>
      <c r="AB9" s="8">
        <f t="shared" si="4"/>
        <v>0.99769230769230766</v>
      </c>
      <c r="AC9" s="9">
        <f t="shared" si="5"/>
        <v>0.70833333333333337</v>
      </c>
      <c r="AD9" s="10">
        <f t="shared" si="6"/>
        <v>0.70669871794871797</v>
      </c>
      <c r="AE9" s="39">
        <f t="shared" si="7"/>
        <v>0.65662579680666089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1003</v>
      </c>
      <c r="E10" s="57" t="s">
        <v>1004</v>
      </c>
      <c r="F10" s="12">
        <v>7301</v>
      </c>
      <c r="G10" s="12">
        <v>1</v>
      </c>
      <c r="H10" s="13">
        <v>25</v>
      </c>
      <c r="I10" s="34">
        <v>700</v>
      </c>
      <c r="J10" s="5">
        <v>1850</v>
      </c>
      <c r="K10" s="15">
        <f>L10</f>
        <v>1848</v>
      </c>
      <c r="L10" s="15">
        <f>1660+188</f>
        <v>1848</v>
      </c>
      <c r="M10" s="16">
        <f t="shared" si="0"/>
        <v>1848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>
        <v>2</v>
      </c>
      <c r="T10" s="17"/>
      <c r="U10" s="17"/>
      <c r="V10" s="18"/>
      <c r="W10" s="19">
        <v>12</v>
      </c>
      <c r="X10" s="17"/>
      <c r="Y10" s="20"/>
      <c r="Z10" s="20"/>
      <c r="AA10" s="21"/>
      <c r="AB10" s="8">
        <f t="shared" si="4"/>
        <v>0.99891891891891893</v>
      </c>
      <c r="AC10" s="9">
        <f t="shared" si="5"/>
        <v>0.41666666666666669</v>
      </c>
      <c r="AD10" s="10">
        <f t="shared" si="6"/>
        <v>0.41621621621621624</v>
      </c>
      <c r="AE10" s="39">
        <f t="shared" si="7"/>
        <v>0.65662579680666089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62</v>
      </c>
      <c r="D11" s="55" t="s">
        <v>121</v>
      </c>
      <c r="E11" s="56" t="s">
        <v>132</v>
      </c>
      <c r="F11" s="12" t="s">
        <v>130</v>
      </c>
      <c r="G11" s="12">
        <v>1</v>
      </c>
      <c r="H11" s="13">
        <v>25</v>
      </c>
      <c r="I11" s="34">
        <v>35000</v>
      </c>
      <c r="J11" s="14">
        <v>1620</v>
      </c>
      <c r="K11" s="15">
        <f>L11+1619</f>
        <v>1619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0.65662579680666089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62</v>
      </c>
      <c r="D12" s="55" t="s">
        <v>926</v>
      </c>
      <c r="E12" s="57" t="s">
        <v>927</v>
      </c>
      <c r="F12" s="12" t="s">
        <v>499</v>
      </c>
      <c r="G12" s="12" t="s">
        <v>929</v>
      </c>
      <c r="H12" s="13">
        <v>25</v>
      </c>
      <c r="I12" s="34">
        <v>1000</v>
      </c>
      <c r="J12" s="5">
        <v>1200</v>
      </c>
      <c r="K12" s="15">
        <f>L12+359</f>
        <v>1559</v>
      </c>
      <c r="L12" s="15">
        <f>1200</f>
        <v>1200</v>
      </c>
      <c r="M12" s="16">
        <f t="shared" si="0"/>
        <v>1200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/>
      <c r="T12" s="17"/>
      <c r="U12" s="17"/>
      <c r="V12" s="18"/>
      <c r="W12" s="19">
        <v>13</v>
      </c>
      <c r="X12" s="17"/>
      <c r="Y12" s="20"/>
      <c r="Z12" s="20"/>
      <c r="AA12" s="21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9">
        <f t="shared" si="7"/>
        <v>0.65662579680666089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1005</v>
      </c>
      <c r="E13" s="57" t="s">
        <v>1006</v>
      </c>
      <c r="F13" s="12" t="s">
        <v>1007</v>
      </c>
      <c r="G13" s="12">
        <v>1</v>
      </c>
      <c r="H13" s="13">
        <v>25</v>
      </c>
      <c r="I13" s="7">
        <v>22000</v>
      </c>
      <c r="J13" s="14">
        <v>1280</v>
      </c>
      <c r="K13" s="15">
        <f>L13</f>
        <v>2452</v>
      </c>
      <c r="L13" s="15">
        <f>712+1740</f>
        <v>2452</v>
      </c>
      <c r="M13" s="16">
        <f t="shared" si="0"/>
        <v>2452</v>
      </c>
      <c r="N13" s="16">
        <v>0</v>
      </c>
      <c r="O13" s="62">
        <f t="shared" si="1"/>
        <v>0</v>
      </c>
      <c r="P13" s="42">
        <f t="shared" si="2"/>
        <v>16</v>
      </c>
      <c r="Q13" s="43">
        <f t="shared" si="3"/>
        <v>8</v>
      </c>
      <c r="R13" s="7"/>
      <c r="S13" s="6">
        <v>8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1.9156249999999999</v>
      </c>
      <c r="AC13" s="9">
        <f t="shared" si="5"/>
        <v>0.66666666666666663</v>
      </c>
      <c r="AD13" s="10">
        <f t="shared" si="6"/>
        <v>1.2770833333333331</v>
      </c>
      <c r="AE13" s="39">
        <f t="shared" si="7"/>
        <v>0.65662579680666089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973</v>
      </c>
      <c r="E14" s="57" t="s">
        <v>974</v>
      </c>
      <c r="F14" s="33" t="s">
        <v>975</v>
      </c>
      <c r="G14" s="36">
        <v>1</v>
      </c>
      <c r="H14" s="38">
        <v>25</v>
      </c>
      <c r="I14" s="7">
        <v>200</v>
      </c>
      <c r="J14" s="5">
        <v>410</v>
      </c>
      <c r="K14" s="15">
        <f>L14+406</f>
        <v>406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ref="AE14" si="9">$AD$19</f>
        <v>0.87478341584158414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1008</v>
      </c>
      <c r="D15" s="55" t="s">
        <v>1009</v>
      </c>
      <c r="E15" s="57" t="s">
        <v>1034</v>
      </c>
      <c r="F15" s="12" t="s">
        <v>1010</v>
      </c>
      <c r="G15" s="12">
        <v>2</v>
      </c>
      <c r="H15" s="13">
        <v>20</v>
      </c>
      <c r="I15" s="34">
        <v>20000</v>
      </c>
      <c r="J15" s="5">
        <v>7200</v>
      </c>
      <c r="K15" s="15">
        <f>L15</f>
        <v>7200</v>
      </c>
      <c r="L15" s="15">
        <f>3600*2</f>
        <v>7200</v>
      </c>
      <c r="M15" s="16">
        <f t="shared" si="0"/>
        <v>7200</v>
      </c>
      <c r="N15" s="16">
        <v>0</v>
      </c>
      <c r="O15" s="62">
        <f t="shared" si="1"/>
        <v>0</v>
      </c>
      <c r="P15" s="42">
        <f t="shared" si="2"/>
        <v>18</v>
      </c>
      <c r="Q15" s="43">
        <f t="shared" si="3"/>
        <v>6</v>
      </c>
      <c r="R15" s="7"/>
      <c r="S15" s="6">
        <v>6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0.75</v>
      </c>
      <c r="AD15" s="10">
        <f t="shared" si="6"/>
        <v>0.75</v>
      </c>
      <c r="AE15" s="39">
        <f t="shared" ref="AE15:AE20" si="10">$AD$21</f>
        <v>0.65662579680666089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135</v>
      </c>
      <c r="D16" s="55" t="s">
        <v>215</v>
      </c>
      <c r="E16" s="56" t="s">
        <v>933</v>
      </c>
      <c r="F16" s="12">
        <v>7301</v>
      </c>
      <c r="G16" s="36">
        <v>1</v>
      </c>
      <c r="H16" s="38">
        <v>25</v>
      </c>
      <c r="I16" s="7">
        <v>5000</v>
      </c>
      <c r="J16" s="14">
        <v>4100</v>
      </c>
      <c r="K16" s="15">
        <f>L16+3826+4897</f>
        <v>12814</v>
      </c>
      <c r="L16" s="15">
        <f>2941+1150</f>
        <v>4091</v>
      </c>
      <c r="M16" s="16">
        <f t="shared" si="0"/>
        <v>4091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>
        <v>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0.99780487804878049</v>
      </c>
      <c r="AC16" s="9">
        <f t="shared" si="5"/>
        <v>0.83333333333333337</v>
      </c>
      <c r="AD16" s="10">
        <f t="shared" si="6"/>
        <v>0.83150406504065044</v>
      </c>
      <c r="AE16" s="39">
        <f t="shared" si="10"/>
        <v>0.65662579680666089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976</v>
      </c>
      <c r="E17" s="56" t="s">
        <v>977</v>
      </c>
      <c r="F17" s="12">
        <v>8301</v>
      </c>
      <c r="G17" s="12">
        <v>1</v>
      </c>
      <c r="H17" s="13">
        <v>25</v>
      </c>
      <c r="I17" s="34">
        <v>13000</v>
      </c>
      <c r="J17" s="5">
        <v>5700</v>
      </c>
      <c r="K17" s="15">
        <f>L17+2313</f>
        <v>7990</v>
      </c>
      <c r="L17" s="15">
        <f>2940+2737</f>
        <v>5677</v>
      </c>
      <c r="M17" s="16">
        <f t="shared" si="0"/>
        <v>5677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0.99596491228070172</v>
      </c>
      <c r="AC17" s="9">
        <f t="shared" si="5"/>
        <v>1</v>
      </c>
      <c r="AD17" s="10">
        <f t="shared" si="6"/>
        <v>0.99596491228070172</v>
      </c>
      <c r="AE17" s="39">
        <f t="shared" si="10"/>
        <v>0.65662579680666089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1011</v>
      </c>
      <c r="E18" s="56" t="s">
        <v>1012</v>
      </c>
      <c r="F18" s="33" t="s">
        <v>129</v>
      </c>
      <c r="G18" s="36">
        <v>1</v>
      </c>
      <c r="H18" s="38">
        <v>25</v>
      </c>
      <c r="I18" s="7">
        <v>22000</v>
      </c>
      <c r="J18" s="5">
        <v>2780</v>
      </c>
      <c r="K18" s="15">
        <f>L18</f>
        <v>2776</v>
      </c>
      <c r="L18" s="15">
        <f>2776</f>
        <v>2776</v>
      </c>
      <c r="M18" s="16">
        <f t="shared" si="0"/>
        <v>2776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>
        <v>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0.99856115107913668</v>
      </c>
      <c r="AC18" s="9">
        <f t="shared" si="5"/>
        <v>0.66666666666666663</v>
      </c>
      <c r="AD18" s="10">
        <f t="shared" si="6"/>
        <v>0.66570743405275778</v>
      </c>
      <c r="AE18" s="39">
        <f t="shared" si="10"/>
        <v>0.65662579680666089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135</v>
      </c>
      <c r="D19" s="55" t="s">
        <v>58</v>
      </c>
      <c r="E19" s="57" t="s">
        <v>590</v>
      </c>
      <c r="F19" s="33" t="s">
        <v>136</v>
      </c>
      <c r="G19" s="36">
        <v>1</v>
      </c>
      <c r="H19" s="38">
        <v>25</v>
      </c>
      <c r="I19" s="34">
        <v>60000</v>
      </c>
      <c r="J19" s="5">
        <v>4040</v>
      </c>
      <c r="K19" s="15">
        <f>L19+2028+3807+3338+3450+4167+2008+2371+2495+4275+4519</f>
        <v>36497</v>
      </c>
      <c r="L19" s="15">
        <f>2289+1750</f>
        <v>4039</v>
      </c>
      <c r="M19" s="16">
        <f t="shared" si="0"/>
        <v>4039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0.99975247524752475</v>
      </c>
      <c r="AC19" s="9">
        <f t="shared" si="5"/>
        <v>0.875</v>
      </c>
      <c r="AD19" s="10">
        <f t="shared" si="6"/>
        <v>0.87478341584158414</v>
      </c>
      <c r="AE19" s="39">
        <f t="shared" si="10"/>
        <v>0.65662579680666089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764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55410</v>
      </c>
      <c r="K20" s="15">
        <f>L20+40636+52572+50384+54156+47100</f>
        <v>300256</v>
      </c>
      <c r="L20" s="15">
        <f>7195*4+6657*4</f>
        <v>55408</v>
      </c>
      <c r="M20" s="16">
        <f t="shared" si="0"/>
        <v>55408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0.99996390543223246</v>
      </c>
      <c r="AC20" s="9">
        <f t="shared" si="5"/>
        <v>1</v>
      </c>
      <c r="AD20" s="10">
        <f t="shared" si="6"/>
        <v>0.99996390543223246</v>
      </c>
      <c r="AE20" s="39">
        <f t="shared" si="10"/>
        <v>0.65662579680666089</v>
      </c>
      <c r="AF20" s="94">
        <f t="shared" si="8"/>
        <v>15</v>
      </c>
    </row>
    <row r="21" spans="1:32" ht="31.5" customHeight="1" thickBot="1">
      <c r="A21" s="386" t="s">
        <v>34</v>
      </c>
      <c r="B21" s="387"/>
      <c r="C21" s="387"/>
      <c r="D21" s="387"/>
      <c r="E21" s="387"/>
      <c r="F21" s="387"/>
      <c r="G21" s="387"/>
      <c r="H21" s="388"/>
      <c r="I21" s="25">
        <f t="shared" ref="I21:N21" si="11">SUM(I6:I20)</f>
        <v>471900</v>
      </c>
      <c r="J21" s="22">
        <f t="shared" si="11"/>
        <v>99730</v>
      </c>
      <c r="K21" s="23">
        <f t="shared" si="11"/>
        <v>429581</v>
      </c>
      <c r="L21" s="24">
        <f t="shared" si="11"/>
        <v>96146</v>
      </c>
      <c r="M21" s="23">
        <f t="shared" si="11"/>
        <v>96146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222</v>
      </c>
      <c r="Q21" s="46">
        <f t="shared" si="12"/>
        <v>138</v>
      </c>
      <c r="R21" s="26">
        <f t="shared" si="12"/>
        <v>0</v>
      </c>
      <c r="S21" s="27">
        <f t="shared" si="12"/>
        <v>58</v>
      </c>
      <c r="T21" s="27">
        <f t="shared" si="12"/>
        <v>7</v>
      </c>
      <c r="U21" s="27">
        <f t="shared" si="12"/>
        <v>0</v>
      </c>
      <c r="V21" s="28">
        <f t="shared" si="12"/>
        <v>0</v>
      </c>
      <c r="W21" s="29">
        <f t="shared" si="12"/>
        <v>49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24</v>
      </c>
      <c r="AB21" s="31">
        <f>SUM(AB6:AB20)/15</f>
        <v>0.8601541430227978</v>
      </c>
      <c r="AC21" s="4">
        <f>SUM(AC6:AC20)/15</f>
        <v>0.6166666666666667</v>
      </c>
      <c r="AD21" s="4">
        <f>SUM(AD6:AD20)/15</f>
        <v>0.65662579680666089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89" t="s">
        <v>46</v>
      </c>
      <c r="B48" s="389"/>
      <c r="C48" s="389"/>
      <c r="D48" s="389"/>
      <c r="E48" s="38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90" t="s">
        <v>1013</v>
      </c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2"/>
      <c r="N49" s="393" t="s">
        <v>1040</v>
      </c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5"/>
    </row>
    <row r="50" spans="1:32" ht="27" customHeight="1">
      <c r="A50" s="396" t="s">
        <v>2</v>
      </c>
      <c r="B50" s="397"/>
      <c r="C50" s="368" t="s">
        <v>47</v>
      </c>
      <c r="D50" s="368" t="s">
        <v>48</v>
      </c>
      <c r="E50" s="368" t="s">
        <v>113</v>
      </c>
      <c r="F50" s="397" t="s">
        <v>112</v>
      </c>
      <c r="G50" s="397"/>
      <c r="H50" s="397"/>
      <c r="I50" s="397"/>
      <c r="J50" s="397"/>
      <c r="K50" s="397"/>
      <c r="L50" s="397"/>
      <c r="M50" s="398"/>
      <c r="N50" s="73" t="s">
        <v>117</v>
      </c>
      <c r="O50" s="368" t="s">
        <v>47</v>
      </c>
      <c r="P50" s="399" t="s">
        <v>48</v>
      </c>
      <c r="Q50" s="400"/>
      <c r="R50" s="399" t="s">
        <v>39</v>
      </c>
      <c r="S50" s="401"/>
      <c r="T50" s="401"/>
      <c r="U50" s="400"/>
      <c r="V50" s="399" t="s">
        <v>49</v>
      </c>
      <c r="W50" s="401"/>
      <c r="X50" s="401"/>
      <c r="Y50" s="401"/>
      <c r="Z50" s="401"/>
      <c r="AA50" s="401"/>
      <c r="AB50" s="401"/>
      <c r="AC50" s="401"/>
      <c r="AD50" s="402"/>
    </row>
    <row r="51" spans="1:32" ht="27" customHeight="1">
      <c r="A51" s="413" t="s">
        <v>135</v>
      </c>
      <c r="B51" s="414"/>
      <c r="C51" s="367" t="s">
        <v>266</v>
      </c>
      <c r="D51" s="364" t="s">
        <v>123</v>
      </c>
      <c r="E51" s="367" t="s">
        <v>899</v>
      </c>
      <c r="F51" s="415" t="s">
        <v>1014</v>
      </c>
      <c r="G51" s="415"/>
      <c r="H51" s="415"/>
      <c r="I51" s="415"/>
      <c r="J51" s="415"/>
      <c r="K51" s="415"/>
      <c r="L51" s="415"/>
      <c r="M51" s="416"/>
      <c r="N51" s="363" t="s">
        <v>1041</v>
      </c>
      <c r="O51" s="74" t="s">
        <v>1042</v>
      </c>
      <c r="P51" s="419" t="s">
        <v>1043</v>
      </c>
      <c r="Q51" s="419"/>
      <c r="R51" s="419" t="s">
        <v>1044</v>
      </c>
      <c r="S51" s="419"/>
      <c r="T51" s="419"/>
      <c r="U51" s="419"/>
      <c r="V51" s="415" t="s">
        <v>938</v>
      </c>
      <c r="W51" s="415"/>
      <c r="X51" s="415"/>
      <c r="Y51" s="415"/>
      <c r="Z51" s="415"/>
      <c r="AA51" s="415"/>
      <c r="AB51" s="415"/>
      <c r="AC51" s="415"/>
      <c r="AD51" s="416"/>
    </row>
    <row r="52" spans="1:32" ht="27" customHeight="1">
      <c r="A52" s="420" t="s">
        <v>122</v>
      </c>
      <c r="B52" s="419"/>
      <c r="C52" s="364" t="s">
        <v>1015</v>
      </c>
      <c r="D52" s="364" t="s">
        <v>1003</v>
      </c>
      <c r="E52" s="367" t="s">
        <v>1016</v>
      </c>
      <c r="F52" s="415" t="s">
        <v>1017</v>
      </c>
      <c r="G52" s="415"/>
      <c r="H52" s="415"/>
      <c r="I52" s="415"/>
      <c r="J52" s="415"/>
      <c r="K52" s="415"/>
      <c r="L52" s="415"/>
      <c r="M52" s="416"/>
      <c r="N52" s="363" t="s">
        <v>135</v>
      </c>
      <c r="O52" s="74" t="s">
        <v>1038</v>
      </c>
      <c r="P52" s="419" t="s">
        <v>1045</v>
      </c>
      <c r="Q52" s="419"/>
      <c r="R52" s="419" t="s">
        <v>1046</v>
      </c>
      <c r="S52" s="419"/>
      <c r="T52" s="419"/>
      <c r="U52" s="419"/>
      <c r="V52" s="415" t="s">
        <v>1047</v>
      </c>
      <c r="W52" s="415"/>
      <c r="X52" s="415"/>
      <c r="Y52" s="415"/>
      <c r="Z52" s="415"/>
      <c r="AA52" s="415"/>
      <c r="AB52" s="415"/>
      <c r="AC52" s="415"/>
      <c r="AD52" s="416"/>
    </row>
    <row r="53" spans="1:32" ht="27" customHeight="1">
      <c r="A53" s="420" t="s">
        <v>1018</v>
      </c>
      <c r="B53" s="419"/>
      <c r="C53" s="364" t="s">
        <v>1019</v>
      </c>
      <c r="D53" s="364" t="s">
        <v>58</v>
      </c>
      <c r="E53" s="367" t="s">
        <v>1020</v>
      </c>
      <c r="F53" s="415" t="s">
        <v>1021</v>
      </c>
      <c r="G53" s="415"/>
      <c r="H53" s="415"/>
      <c r="I53" s="415"/>
      <c r="J53" s="415"/>
      <c r="K53" s="415"/>
      <c r="L53" s="415"/>
      <c r="M53" s="416"/>
      <c r="N53" s="363" t="s">
        <v>135</v>
      </c>
      <c r="O53" s="74" t="s">
        <v>1015</v>
      </c>
      <c r="P53" s="417" t="s">
        <v>58</v>
      </c>
      <c r="Q53" s="418"/>
      <c r="R53" s="419" t="s">
        <v>1048</v>
      </c>
      <c r="S53" s="419"/>
      <c r="T53" s="419"/>
      <c r="U53" s="419"/>
      <c r="V53" s="415" t="s">
        <v>1017</v>
      </c>
      <c r="W53" s="415"/>
      <c r="X53" s="415"/>
      <c r="Y53" s="415"/>
      <c r="Z53" s="415"/>
      <c r="AA53" s="415"/>
      <c r="AB53" s="415"/>
      <c r="AC53" s="415"/>
      <c r="AD53" s="416"/>
    </row>
    <row r="54" spans="1:32" ht="27" customHeight="1">
      <c r="A54" s="413" t="s">
        <v>122</v>
      </c>
      <c r="B54" s="414"/>
      <c r="C54" s="367" t="s">
        <v>138</v>
      </c>
      <c r="D54" s="364" t="s">
        <v>1022</v>
      </c>
      <c r="E54" s="367" t="s">
        <v>1006</v>
      </c>
      <c r="F54" s="415" t="s">
        <v>1023</v>
      </c>
      <c r="G54" s="415"/>
      <c r="H54" s="415"/>
      <c r="I54" s="415"/>
      <c r="J54" s="415"/>
      <c r="K54" s="415"/>
      <c r="L54" s="415"/>
      <c r="M54" s="416"/>
      <c r="N54" s="363" t="s">
        <v>135</v>
      </c>
      <c r="O54" s="74" t="s">
        <v>1049</v>
      </c>
      <c r="P54" s="417" t="s">
        <v>1050</v>
      </c>
      <c r="Q54" s="418"/>
      <c r="R54" s="419" t="s">
        <v>1051</v>
      </c>
      <c r="S54" s="419"/>
      <c r="T54" s="419"/>
      <c r="U54" s="419"/>
      <c r="V54" s="415" t="s">
        <v>993</v>
      </c>
      <c r="W54" s="415"/>
      <c r="X54" s="415"/>
      <c r="Y54" s="415"/>
      <c r="Z54" s="415"/>
      <c r="AA54" s="415"/>
      <c r="AB54" s="415"/>
      <c r="AC54" s="415"/>
      <c r="AD54" s="416"/>
    </row>
    <row r="55" spans="1:32" ht="27" customHeight="1">
      <c r="A55" s="420" t="s">
        <v>135</v>
      </c>
      <c r="B55" s="419"/>
      <c r="C55" s="364" t="s">
        <v>173</v>
      </c>
      <c r="D55" s="364" t="s">
        <v>1024</v>
      </c>
      <c r="E55" s="367" t="s">
        <v>1025</v>
      </c>
      <c r="F55" s="415" t="s">
        <v>1026</v>
      </c>
      <c r="G55" s="415"/>
      <c r="H55" s="415"/>
      <c r="I55" s="415"/>
      <c r="J55" s="415"/>
      <c r="K55" s="415"/>
      <c r="L55" s="415"/>
      <c r="M55" s="416"/>
      <c r="N55" s="363" t="s">
        <v>135</v>
      </c>
      <c r="O55" s="74" t="s">
        <v>1028</v>
      </c>
      <c r="P55" s="417" t="s">
        <v>1052</v>
      </c>
      <c r="Q55" s="418"/>
      <c r="R55" s="419" t="s">
        <v>1053</v>
      </c>
      <c r="S55" s="419"/>
      <c r="T55" s="419"/>
      <c r="U55" s="419"/>
      <c r="V55" s="415" t="s">
        <v>993</v>
      </c>
      <c r="W55" s="415"/>
      <c r="X55" s="415"/>
      <c r="Y55" s="415"/>
      <c r="Z55" s="415"/>
      <c r="AA55" s="415"/>
      <c r="AB55" s="415"/>
      <c r="AC55" s="415"/>
      <c r="AD55" s="416"/>
    </row>
    <row r="56" spans="1:32" ht="27" customHeight="1">
      <c r="A56" s="413" t="s">
        <v>1027</v>
      </c>
      <c r="B56" s="414"/>
      <c r="C56" s="367" t="s">
        <v>1028</v>
      </c>
      <c r="D56" s="364" t="s">
        <v>1029</v>
      </c>
      <c r="E56" s="367" t="s">
        <v>1030</v>
      </c>
      <c r="F56" s="415" t="s">
        <v>1031</v>
      </c>
      <c r="G56" s="415"/>
      <c r="H56" s="415"/>
      <c r="I56" s="415"/>
      <c r="J56" s="415"/>
      <c r="K56" s="415"/>
      <c r="L56" s="415"/>
      <c r="M56" s="416"/>
      <c r="N56" s="363" t="s">
        <v>1054</v>
      </c>
      <c r="O56" s="74" t="s">
        <v>138</v>
      </c>
      <c r="P56" s="419" t="s">
        <v>1022</v>
      </c>
      <c r="Q56" s="419"/>
      <c r="R56" s="419" t="s">
        <v>1006</v>
      </c>
      <c r="S56" s="419"/>
      <c r="T56" s="419"/>
      <c r="U56" s="419"/>
      <c r="V56" s="415" t="s">
        <v>134</v>
      </c>
      <c r="W56" s="415"/>
      <c r="X56" s="415"/>
      <c r="Y56" s="415"/>
      <c r="Z56" s="415"/>
      <c r="AA56" s="415"/>
      <c r="AB56" s="415"/>
      <c r="AC56" s="415"/>
      <c r="AD56" s="416"/>
    </row>
    <row r="57" spans="1:32" ht="27" customHeight="1">
      <c r="A57" s="420" t="s">
        <v>1032</v>
      </c>
      <c r="B57" s="419"/>
      <c r="C57" s="364" t="s">
        <v>1033</v>
      </c>
      <c r="D57" s="364" t="s">
        <v>1009</v>
      </c>
      <c r="E57" s="367" t="s">
        <v>1034</v>
      </c>
      <c r="F57" s="415" t="s">
        <v>1035</v>
      </c>
      <c r="G57" s="415"/>
      <c r="H57" s="415"/>
      <c r="I57" s="415"/>
      <c r="J57" s="415"/>
      <c r="K57" s="415"/>
      <c r="L57" s="415"/>
      <c r="M57" s="416"/>
      <c r="N57" s="363" t="s">
        <v>135</v>
      </c>
      <c r="O57" s="74" t="s">
        <v>1055</v>
      </c>
      <c r="P57" s="417" t="s">
        <v>1056</v>
      </c>
      <c r="Q57" s="418"/>
      <c r="R57" s="419" t="s">
        <v>1020</v>
      </c>
      <c r="S57" s="419"/>
      <c r="T57" s="419"/>
      <c r="U57" s="419"/>
      <c r="V57" s="415" t="s">
        <v>134</v>
      </c>
      <c r="W57" s="415"/>
      <c r="X57" s="415"/>
      <c r="Y57" s="415"/>
      <c r="Z57" s="415"/>
      <c r="AA57" s="415"/>
      <c r="AB57" s="415"/>
      <c r="AC57" s="415"/>
      <c r="AD57" s="416"/>
    </row>
    <row r="58" spans="1:32" ht="27" customHeight="1">
      <c r="A58" s="413" t="s">
        <v>122</v>
      </c>
      <c r="B58" s="414"/>
      <c r="C58" s="367" t="s">
        <v>1036</v>
      </c>
      <c r="D58" s="364" t="s">
        <v>1037</v>
      </c>
      <c r="E58" s="367" t="s">
        <v>1012</v>
      </c>
      <c r="F58" s="415" t="s">
        <v>1017</v>
      </c>
      <c r="G58" s="415"/>
      <c r="H58" s="415"/>
      <c r="I58" s="415"/>
      <c r="J58" s="415"/>
      <c r="K58" s="415"/>
      <c r="L58" s="415"/>
      <c r="M58" s="416"/>
      <c r="N58" s="363"/>
      <c r="O58" s="74"/>
      <c r="P58" s="419"/>
      <c r="Q58" s="419"/>
      <c r="R58" s="419"/>
      <c r="S58" s="419"/>
      <c r="T58" s="419"/>
      <c r="U58" s="419"/>
      <c r="V58" s="415"/>
      <c r="W58" s="415"/>
      <c r="X58" s="415"/>
      <c r="Y58" s="415"/>
      <c r="Z58" s="415"/>
      <c r="AA58" s="415"/>
      <c r="AB58" s="415"/>
      <c r="AC58" s="415"/>
      <c r="AD58" s="416"/>
    </row>
    <row r="59" spans="1:32" ht="27" customHeight="1">
      <c r="A59" s="420" t="s">
        <v>135</v>
      </c>
      <c r="B59" s="419"/>
      <c r="C59" s="364" t="s">
        <v>1038</v>
      </c>
      <c r="D59" s="364" t="s">
        <v>1001</v>
      </c>
      <c r="E59" s="364" t="s">
        <v>1002</v>
      </c>
      <c r="F59" s="415" t="s">
        <v>1039</v>
      </c>
      <c r="G59" s="415"/>
      <c r="H59" s="415"/>
      <c r="I59" s="415"/>
      <c r="J59" s="415"/>
      <c r="K59" s="415"/>
      <c r="L59" s="415"/>
      <c r="M59" s="416"/>
      <c r="N59" s="363"/>
      <c r="O59" s="74"/>
      <c r="P59" s="419"/>
      <c r="Q59" s="419"/>
      <c r="R59" s="419"/>
      <c r="S59" s="419"/>
      <c r="T59" s="419"/>
      <c r="U59" s="419"/>
      <c r="V59" s="415"/>
      <c r="W59" s="415"/>
      <c r="X59" s="415"/>
      <c r="Y59" s="415"/>
      <c r="Z59" s="415"/>
      <c r="AA59" s="415"/>
      <c r="AB59" s="415"/>
      <c r="AC59" s="415"/>
      <c r="AD59" s="416"/>
      <c r="AF59" s="94">
        <f>8*3000</f>
        <v>24000</v>
      </c>
    </row>
    <row r="60" spans="1:32" ht="27" customHeight="1" thickBot="1">
      <c r="A60" s="421"/>
      <c r="B60" s="422"/>
      <c r="C60" s="366"/>
      <c r="D60" s="366"/>
      <c r="E60" s="366"/>
      <c r="F60" s="423"/>
      <c r="G60" s="423"/>
      <c r="H60" s="423"/>
      <c r="I60" s="423"/>
      <c r="J60" s="423"/>
      <c r="K60" s="423"/>
      <c r="L60" s="423"/>
      <c r="M60" s="424"/>
      <c r="N60" s="365"/>
      <c r="O60" s="121"/>
      <c r="P60" s="422"/>
      <c r="Q60" s="422"/>
      <c r="R60" s="422"/>
      <c r="S60" s="422"/>
      <c r="T60" s="422"/>
      <c r="U60" s="422"/>
      <c r="V60" s="423"/>
      <c r="W60" s="423"/>
      <c r="X60" s="423"/>
      <c r="Y60" s="423"/>
      <c r="Z60" s="423"/>
      <c r="AA60" s="423"/>
      <c r="AB60" s="423"/>
      <c r="AC60" s="423"/>
      <c r="AD60" s="424"/>
      <c r="AF60" s="94">
        <f>16*3000</f>
        <v>48000</v>
      </c>
    </row>
    <row r="61" spans="1:32" ht="27.75" thickBot="1">
      <c r="A61" s="425" t="s">
        <v>1057</v>
      </c>
      <c r="B61" s="425"/>
      <c r="C61" s="425"/>
      <c r="D61" s="425"/>
      <c r="E61" s="425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26" t="s">
        <v>118</v>
      </c>
      <c r="B62" s="427"/>
      <c r="C62" s="362" t="s">
        <v>2</v>
      </c>
      <c r="D62" s="362" t="s">
        <v>38</v>
      </c>
      <c r="E62" s="362" t="s">
        <v>3</v>
      </c>
      <c r="F62" s="427" t="s">
        <v>115</v>
      </c>
      <c r="G62" s="427"/>
      <c r="H62" s="427"/>
      <c r="I62" s="427"/>
      <c r="J62" s="427"/>
      <c r="K62" s="427" t="s">
        <v>40</v>
      </c>
      <c r="L62" s="427"/>
      <c r="M62" s="362" t="s">
        <v>41</v>
      </c>
      <c r="N62" s="427" t="s">
        <v>42</v>
      </c>
      <c r="O62" s="427"/>
      <c r="P62" s="428" t="s">
        <v>43</v>
      </c>
      <c r="Q62" s="429"/>
      <c r="R62" s="428" t="s">
        <v>44</v>
      </c>
      <c r="S62" s="430"/>
      <c r="T62" s="430"/>
      <c r="U62" s="430"/>
      <c r="V62" s="430"/>
      <c r="W62" s="430"/>
      <c r="X62" s="430"/>
      <c r="Y62" s="430"/>
      <c r="Z62" s="430"/>
      <c r="AA62" s="429"/>
      <c r="AB62" s="427" t="s">
        <v>45</v>
      </c>
      <c r="AC62" s="427"/>
      <c r="AD62" s="431"/>
      <c r="AF62" s="94">
        <f>SUM(AF59:AF61)</f>
        <v>96000</v>
      </c>
    </row>
    <row r="63" spans="1:32" ht="26.25" customHeight="1">
      <c r="A63" s="432">
        <v>1</v>
      </c>
      <c r="B63" s="433"/>
      <c r="C63" s="370" t="s">
        <v>659</v>
      </c>
      <c r="D63" s="358"/>
      <c r="E63" s="360" t="s">
        <v>660</v>
      </c>
      <c r="F63" s="434" t="s">
        <v>661</v>
      </c>
      <c r="G63" s="434"/>
      <c r="H63" s="434"/>
      <c r="I63" s="434"/>
      <c r="J63" s="434"/>
      <c r="K63" s="482" t="s">
        <v>662</v>
      </c>
      <c r="L63" s="482"/>
      <c r="M63" s="54" t="s">
        <v>837</v>
      </c>
      <c r="N63" s="434">
        <v>4</v>
      </c>
      <c r="O63" s="434"/>
      <c r="P63" s="437">
        <v>50</v>
      </c>
      <c r="Q63" s="437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34"/>
      <c r="AC63" s="434"/>
      <c r="AD63" s="438"/>
    </row>
    <row r="64" spans="1:32" ht="26.25" customHeight="1">
      <c r="A64" s="432">
        <v>2</v>
      </c>
      <c r="B64" s="433"/>
      <c r="C64" s="370" t="s">
        <v>659</v>
      </c>
      <c r="D64" s="358"/>
      <c r="E64" s="360" t="s">
        <v>660</v>
      </c>
      <c r="F64" s="434" t="s">
        <v>664</v>
      </c>
      <c r="G64" s="434"/>
      <c r="H64" s="434"/>
      <c r="I64" s="434"/>
      <c r="J64" s="434"/>
      <c r="K64" s="480" t="s">
        <v>662</v>
      </c>
      <c r="L64" s="481"/>
      <c r="M64" s="54" t="s">
        <v>234</v>
      </c>
      <c r="N64" s="434">
        <v>4</v>
      </c>
      <c r="O64" s="434"/>
      <c r="P64" s="437">
        <v>50</v>
      </c>
      <c r="Q64" s="437"/>
      <c r="R64" s="415"/>
      <c r="S64" s="415"/>
      <c r="T64" s="415"/>
      <c r="U64" s="415"/>
      <c r="V64" s="415"/>
      <c r="W64" s="415"/>
      <c r="X64" s="415"/>
      <c r="Y64" s="415"/>
      <c r="Z64" s="415"/>
      <c r="AA64" s="415"/>
      <c r="AB64" s="434"/>
      <c r="AC64" s="434"/>
      <c r="AD64" s="438"/>
    </row>
    <row r="65" spans="1:32" ht="26.25" customHeight="1">
      <c r="A65" s="432">
        <v>3</v>
      </c>
      <c r="B65" s="433"/>
      <c r="C65" s="370"/>
      <c r="D65" s="358"/>
      <c r="E65" s="360"/>
      <c r="F65" s="434"/>
      <c r="G65" s="434"/>
      <c r="H65" s="434"/>
      <c r="I65" s="434"/>
      <c r="J65" s="434"/>
      <c r="K65" s="480"/>
      <c r="L65" s="481"/>
      <c r="M65" s="54"/>
      <c r="N65" s="486"/>
      <c r="O65" s="486"/>
      <c r="P65" s="437"/>
      <c r="Q65" s="437"/>
      <c r="R65" s="415"/>
      <c r="S65" s="415"/>
      <c r="T65" s="415"/>
      <c r="U65" s="415"/>
      <c r="V65" s="415"/>
      <c r="W65" s="415"/>
      <c r="X65" s="415"/>
      <c r="Y65" s="415"/>
      <c r="Z65" s="415"/>
      <c r="AA65" s="415"/>
      <c r="AB65" s="434"/>
      <c r="AC65" s="434"/>
      <c r="AD65" s="438"/>
      <c r="AF65" s="53"/>
    </row>
    <row r="66" spans="1:32" ht="26.25" customHeight="1">
      <c r="A66" s="432">
        <v>4</v>
      </c>
      <c r="B66" s="433"/>
      <c r="C66" s="370"/>
      <c r="D66" s="358"/>
      <c r="E66" s="360"/>
      <c r="F66" s="434"/>
      <c r="G66" s="434"/>
      <c r="H66" s="434"/>
      <c r="I66" s="434"/>
      <c r="J66" s="434"/>
      <c r="K66" s="434"/>
      <c r="L66" s="434"/>
      <c r="M66" s="54"/>
      <c r="N66" s="434"/>
      <c r="O66" s="434"/>
      <c r="P66" s="437"/>
      <c r="Q66" s="437"/>
      <c r="R66" s="415"/>
      <c r="S66" s="415"/>
      <c r="T66" s="415"/>
      <c r="U66" s="415"/>
      <c r="V66" s="415"/>
      <c r="W66" s="415"/>
      <c r="X66" s="415"/>
      <c r="Y66" s="415"/>
      <c r="Z66" s="415"/>
      <c r="AA66" s="415"/>
      <c r="AB66" s="434"/>
      <c r="AC66" s="434"/>
      <c r="AD66" s="438"/>
      <c r="AF66" s="53"/>
    </row>
    <row r="67" spans="1:32" ht="26.25" customHeight="1">
      <c r="A67" s="432">
        <v>5</v>
      </c>
      <c r="B67" s="433"/>
      <c r="C67" s="370"/>
      <c r="D67" s="358"/>
      <c r="E67" s="360"/>
      <c r="F67" s="434"/>
      <c r="G67" s="434"/>
      <c r="H67" s="434"/>
      <c r="I67" s="434"/>
      <c r="J67" s="434"/>
      <c r="K67" s="434"/>
      <c r="L67" s="434"/>
      <c r="M67" s="54"/>
      <c r="N67" s="434"/>
      <c r="O67" s="434"/>
      <c r="P67" s="437"/>
      <c r="Q67" s="437"/>
      <c r="R67" s="415"/>
      <c r="S67" s="415"/>
      <c r="T67" s="415"/>
      <c r="U67" s="415"/>
      <c r="V67" s="415"/>
      <c r="W67" s="415"/>
      <c r="X67" s="415"/>
      <c r="Y67" s="415"/>
      <c r="Z67" s="415"/>
      <c r="AA67" s="415"/>
      <c r="AB67" s="434"/>
      <c r="AC67" s="434"/>
      <c r="AD67" s="438"/>
      <c r="AF67" s="53"/>
    </row>
    <row r="68" spans="1:32" ht="26.25" customHeight="1">
      <c r="A68" s="432">
        <v>6</v>
      </c>
      <c r="B68" s="433"/>
      <c r="C68" s="370"/>
      <c r="D68" s="358"/>
      <c r="E68" s="360"/>
      <c r="F68" s="434"/>
      <c r="G68" s="434"/>
      <c r="H68" s="434"/>
      <c r="I68" s="434"/>
      <c r="J68" s="434"/>
      <c r="K68" s="434"/>
      <c r="L68" s="434"/>
      <c r="M68" s="54"/>
      <c r="N68" s="434"/>
      <c r="O68" s="434"/>
      <c r="P68" s="437"/>
      <c r="Q68" s="437"/>
      <c r="R68" s="415"/>
      <c r="S68" s="415"/>
      <c r="T68" s="415"/>
      <c r="U68" s="415"/>
      <c r="V68" s="415"/>
      <c r="W68" s="415"/>
      <c r="X68" s="415"/>
      <c r="Y68" s="415"/>
      <c r="Z68" s="415"/>
      <c r="AA68" s="415"/>
      <c r="AB68" s="434"/>
      <c r="AC68" s="434"/>
      <c r="AD68" s="438"/>
      <c r="AF68" s="53"/>
    </row>
    <row r="69" spans="1:32" ht="26.25" customHeight="1">
      <c r="A69" s="432">
        <v>7</v>
      </c>
      <c r="B69" s="433"/>
      <c r="C69" s="370"/>
      <c r="D69" s="358"/>
      <c r="E69" s="360"/>
      <c r="F69" s="434"/>
      <c r="G69" s="434"/>
      <c r="H69" s="434"/>
      <c r="I69" s="434"/>
      <c r="J69" s="434"/>
      <c r="K69" s="434"/>
      <c r="L69" s="434"/>
      <c r="M69" s="54"/>
      <c r="N69" s="434"/>
      <c r="O69" s="434"/>
      <c r="P69" s="437"/>
      <c r="Q69" s="437"/>
      <c r="R69" s="415"/>
      <c r="S69" s="415"/>
      <c r="T69" s="415"/>
      <c r="U69" s="415"/>
      <c r="V69" s="415"/>
      <c r="W69" s="415"/>
      <c r="X69" s="415"/>
      <c r="Y69" s="415"/>
      <c r="Z69" s="415"/>
      <c r="AA69" s="415"/>
      <c r="AB69" s="434"/>
      <c r="AC69" s="434"/>
      <c r="AD69" s="438"/>
      <c r="AF69" s="53"/>
    </row>
    <row r="70" spans="1:32" ht="26.25" customHeight="1">
      <c r="A70" s="432">
        <v>8</v>
      </c>
      <c r="B70" s="433"/>
      <c r="C70" s="370"/>
      <c r="D70" s="358"/>
      <c r="E70" s="360"/>
      <c r="F70" s="434"/>
      <c r="G70" s="434"/>
      <c r="H70" s="434"/>
      <c r="I70" s="434"/>
      <c r="J70" s="434"/>
      <c r="K70" s="434"/>
      <c r="L70" s="434"/>
      <c r="M70" s="54"/>
      <c r="N70" s="434"/>
      <c r="O70" s="434"/>
      <c r="P70" s="437"/>
      <c r="Q70" s="437"/>
      <c r="R70" s="415"/>
      <c r="S70" s="415"/>
      <c r="T70" s="415"/>
      <c r="U70" s="415"/>
      <c r="V70" s="415"/>
      <c r="W70" s="415"/>
      <c r="X70" s="415"/>
      <c r="Y70" s="415"/>
      <c r="Z70" s="415"/>
      <c r="AA70" s="415"/>
      <c r="AB70" s="434"/>
      <c r="AC70" s="434"/>
      <c r="AD70" s="438"/>
      <c r="AF70" s="53"/>
    </row>
    <row r="71" spans="1:32" ht="26.25" customHeight="1" thickBot="1">
      <c r="A71" s="439" t="s">
        <v>1058</v>
      </c>
      <c r="B71" s="439"/>
      <c r="C71" s="439"/>
      <c r="D71" s="439"/>
      <c r="E71" s="439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40" t="s">
        <v>118</v>
      </c>
      <c r="B72" s="441"/>
      <c r="C72" s="361" t="s">
        <v>2</v>
      </c>
      <c r="D72" s="361" t="s">
        <v>38</v>
      </c>
      <c r="E72" s="361" t="s">
        <v>3</v>
      </c>
      <c r="F72" s="441" t="s">
        <v>39</v>
      </c>
      <c r="G72" s="441"/>
      <c r="H72" s="441"/>
      <c r="I72" s="441"/>
      <c r="J72" s="441"/>
      <c r="K72" s="442" t="s">
        <v>60</v>
      </c>
      <c r="L72" s="443"/>
      <c r="M72" s="443"/>
      <c r="N72" s="443"/>
      <c r="O72" s="443"/>
      <c r="P72" s="443"/>
      <c r="Q72" s="443"/>
      <c r="R72" s="443"/>
      <c r="S72" s="444"/>
      <c r="T72" s="441" t="s">
        <v>50</v>
      </c>
      <c r="U72" s="441"/>
      <c r="V72" s="442" t="s">
        <v>51</v>
      </c>
      <c r="W72" s="444"/>
      <c r="X72" s="443" t="s">
        <v>52</v>
      </c>
      <c r="Y72" s="443"/>
      <c r="Z72" s="443"/>
      <c r="AA72" s="443"/>
      <c r="AB72" s="443"/>
      <c r="AC72" s="443"/>
      <c r="AD72" s="445"/>
      <c r="AF72" s="53"/>
    </row>
    <row r="73" spans="1:32" ht="33.75" customHeight="1">
      <c r="A73" s="454">
        <v>1</v>
      </c>
      <c r="B73" s="455"/>
      <c r="C73" s="359" t="s">
        <v>62</v>
      </c>
      <c r="D73" s="359"/>
      <c r="E73" s="71" t="s">
        <v>58</v>
      </c>
      <c r="F73" s="456" t="s">
        <v>63</v>
      </c>
      <c r="G73" s="457"/>
      <c r="H73" s="457"/>
      <c r="I73" s="457"/>
      <c r="J73" s="458"/>
      <c r="K73" s="459" t="s">
        <v>61</v>
      </c>
      <c r="L73" s="460"/>
      <c r="M73" s="460"/>
      <c r="N73" s="460"/>
      <c r="O73" s="460"/>
      <c r="P73" s="460"/>
      <c r="Q73" s="460"/>
      <c r="R73" s="460"/>
      <c r="S73" s="461"/>
      <c r="T73" s="462">
        <v>41791</v>
      </c>
      <c r="U73" s="463"/>
      <c r="V73" s="464"/>
      <c r="W73" s="464"/>
      <c r="X73" s="465"/>
      <c r="Y73" s="465"/>
      <c r="Z73" s="465"/>
      <c r="AA73" s="465"/>
      <c r="AB73" s="465"/>
      <c r="AC73" s="465"/>
      <c r="AD73" s="466"/>
      <c r="AF73" s="53"/>
    </row>
    <row r="74" spans="1:32" ht="30" customHeight="1">
      <c r="A74" s="446">
        <f>A73+1</f>
        <v>2</v>
      </c>
      <c r="B74" s="447"/>
      <c r="C74" s="358" t="s">
        <v>135</v>
      </c>
      <c r="D74" s="358"/>
      <c r="E74" s="35" t="s">
        <v>121</v>
      </c>
      <c r="F74" s="447" t="s">
        <v>274</v>
      </c>
      <c r="G74" s="447"/>
      <c r="H74" s="447"/>
      <c r="I74" s="447"/>
      <c r="J74" s="447"/>
      <c r="K74" s="448" t="s">
        <v>61</v>
      </c>
      <c r="L74" s="449"/>
      <c r="M74" s="449"/>
      <c r="N74" s="449"/>
      <c r="O74" s="449"/>
      <c r="P74" s="449"/>
      <c r="Q74" s="449"/>
      <c r="R74" s="449"/>
      <c r="S74" s="450"/>
      <c r="T74" s="451">
        <v>42779</v>
      </c>
      <c r="U74" s="451"/>
      <c r="V74" s="451"/>
      <c r="W74" s="451"/>
      <c r="X74" s="452"/>
      <c r="Y74" s="452"/>
      <c r="Z74" s="452"/>
      <c r="AA74" s="452"/>
      <c r="AB74" s="452"/>
      <c r="AC74" s="452"/>
      <c r="AD74" s="453"/>
      <c r="AF74" s="53"/>
    </row>
    <row r="75" spans="1:32" ht="30" customHeight="1">
      <c r="A75" s="446">
        <f t="shared" ref="A75:A81" si="13">A74+1</f>
        <v>3</v>
      </c>
      <c r="B75" s="447"/>
      <c r="C75" s="358" t="s">
        <v>62</v>
      </c>
      <c r="D75" s="358"/>
      <c r="E75" s="35" t="s">
        <v>121</v>
      </c>
      <c r="F75" s="447" t="s">
        <v>127</v>
      </c>
      <c r="G75" s="447"/>
      <c r="H75" s="447"/>
      <c r="I75" s="447"/>
      <c r="J75" s="447"/>
      <c r="K75" s="448" t="s">
        <v>61</v>
      </c>
      <c r="L75" s="449"/>
      <c r="M75" s="449"/>
      <c r="N75" s="449"/>
      <c r="O75" s="449"/>
      <c r="P75" s="449"/>
      <c r="Q75" s="449"/>
      <c r="R75" s="449"/>
      <c r="S75" s="450"/>
      <c r="T75" s="451">
        <v>42667</v>
      </c>
      <c r="U75" s="451"/>
      <c r="V75" s="451"/>
      <c r="W75" s="451"/>
      <c r="X75" s="452"/>
      <c r="Y75" s="452"/>
      <c r="Z75" s="452"/>
      <c r="AA75" s="452"/>
      <c r="AB75" s="452"/>
      <c r="AC75" s="452"/>
      <c r="AD75" s="453"/>
      <c r="AF75" s="53"/>
    </row>
    <row r="76" spans="1:32" ht="30" customHeight="1">
      <c r="A76" s="446">
        <f t="shared" si="13"/>
        <v>4</v>
      </c>
      <c r="B76" s="447"/>
      <c r="C76" s="358" t="s">
        <v>62</v>
      </c>
      <c r="D76" s="358"/>
      <c r="E76" s="35" t="s">
        <v>121</v>
      </c>
      <c r="F76" s="447" t="s">
        <v>126</v>
      </c>
      <c r="G76" s="447"/>
      <c r="H76" s="447"/>
      <c r="I76" s="447"/>
      <c r="J76" s="447"/>
      <c r="K76" s="448" t="s">
        <v>61</v>
      </c>
      <c r="L76" s="449"/>
      <c r="M76" s="449"/>
      <c r="N76" s="449"/>
      <c r="O76" s="449"/>
      <c r="P76" s="449"/>
      <c r="Q76" s="449"/>
      <c r="R76" s="449"/>
      <c r="S76" s="450"/>
      <c r="T76" s="451">
        <v>42667</v>
      </c>
      <c r="U76" s="451"/>
      <c r="V76" s="451"/>
      <c r="W76" s="451"/>
      <c r="X76" s="452"/>
      <c r="Y76" s="452"/>
      <c r="Z76" s="452"/>
      <c r="AA76" s="452"/>
      <c r="AB76" s="452"/>
      <c r="AC76" s="452"/>
      <c r="AD76" s="453"/>
      <c r="AF76" s="53"/>
    </row>
    <row r="77" spans="1:32" ht="30" customHeight="1">
      <c r="A77" s="446">
        <f t="shared" si="13"/>
        <v>5</v>
      </c>
      <c r="B77" s="447"/>
      <c r="C77" s="358" t="s">
        <v>62</v>
      </c>
      <c r="D77" s="358"/>
      <c r="E77" s="35" t="s">
        <v>58</v>
      </c>
      <c r="F77" s="447" t="s">
        <v>128</v>
      </c>
      <c r="G77" s="447"/>
      <c r="H77" s="447"/>
      <c r="I77" s="447"/>
      <c r="J77" s="447"/>
      <c r="K77" s="448" t="s">
        <v>61</v>
      </c>
      <c r="L77" s="449"/>
      <c r="M77" s="449"/>
      <c r="N77" s="449"/>
      <c r="O77" s="449"/>
      <c r="P77" s="449"/>
      <c r="Q77" s="449"/>
      <c r="R77" s="449"/>
      <c r="S77" s="450"/>
      <c r="T77" s="451">
        <v>42667</v>
      </c>
      <c r="U77" s="451"/>
      <c r="V77" s="451"/>
      <c r="W77" s="451"/>
      <c r="X77" s="452"/>
      <c r="Y77" s="452"/>
      <c r="Z77" s="452"/>
      <c r="AA77" s="452"/>
      <c r="AB77" s="452"/>
      <c r="AC77" s="452"/>
      <c r="AD77" s="453"/>
      <c r="AF77" s="53"/>
    </row>
    <row r="78" spans="1:32" ht="30" customHeight="1">
      <c r="A78" s="446">
        <f t="shared" si="13"/>
        <v>6</v>
      </c>
      <c r="B78" s="447"/>
      <c r="C78" s="358" t="s">
        <v>135</v>
      </c>
      <c r="D78" s="358"/>
      <c r="E78" s="35" t="s">
        <v>121</v>
      </c>
      <c r="F78" s="447" t="s">
        <v>149</v>
      </c>
      <c r="G78" s="447"/>
      <c r="H78" s="447"/>
      <c r="I78" s="447"/>
      <c r="J78" s="447"/>
      <c r="K78" s="448" t="s">
        <v>133</v>
      </c>
      <c r="L78" s="449"/>
      <c r="M78" s="449"/>
      <c r="N78" s="449"/>
      <c r="O78" s="449"/>
      <c r="P78" s="449"/>
      <c r="Q78" s="449"/>
      <c r="R78" s="449"/>
      <c r="S78" s="450"/>
      <c r="T78" s="451">
        <v>42770</v>
      </c>
      <c r="U78" s="451"/>
      <c r="V78" s="451"/>
      <c r="W78" s="451"/>
      <c r="X78" s="452"/>
      <c r="Y78" s="452"/>
      <c r="Z78" s="452"/>
      <c r="AA78" s="452"/>
      <c r="AB78" s="452"/>
      <c r="AC78" s="452"/>
      <c r="AD78" s="453"/>
      <c r="AF78" s="53"/>
    </row>
    <row r="79" spans="1:32" ht="30" customHeight="1">
      <c r="A79" s="446">
        <f t="shared" si="13"/>
        <v>7</v>
      </c>
      <c r="B79" s="447"/>
      <c r="C79" s="358"/>
      <c r="D79" s="358"/>
      <c r="E79" s="35"/>
      <c r="F79" s="447"/>
      <c r="G79" s="447"/>
      <c r="H79" s="447"/>
      <c r="I79" s="447"/>
      <c r="J79" s="447"/>
      <c r="K79" s="448"/>
      <c r="L79" s="449"/>
      <c r="M79" s="449"/>
      <c r="N79" s="449"/>
      <c r="O79" s="449"/>
      <c r="P79" s="449"/>
      <c r="Q79" s="449"/>
      <c r="R79" s="449"/>
      <c r="S79" s="450"/>
      <c r="T79" s="451"/>
      <c r="U79" s="451"/>
      <c r="V79" s="451"/>
      <c r="W79" s="451"/>
      <c r="X79" s="452"/>
      <c r="Y79" s="452"/>
      <c r="Z79" s="452"/>
      <c r="AA79" s="452"/>
      <c r="AB79" s="452"/>
      <c r="AC79" s="452"/>
      <c r="AD79" s="453"/>
      <c r="AF79" s="53"/>
    </row>
    <row r="80" spans="1:32" ht="30" customHeight="1">
      <c r="A80" s="446">
        <f t="shared" si="13"/>
        <v>8</v>
      </c>
      <c r="B80" s="447"/>
      <c r="C80" s="358"/>
      <c r="D80" s="358"/>
      <c r="E80" s="35"/>
      <c r="F80" s="447"/>
      <c r="G80" s="447"/>
      <c r="H80" s="447"/>
      <c r="I80" s="447"/>
      <c r="J80" s="447"/>
      <c r="K80" s="448"/>
      <c r="L80" s="449"/>
      <c r="M80" s="449"/>
      <c r="N80" s="449"/>
      <c r="O80" s="449"/>
      <c r="P80" s="449"/>
      <c r="Q80" s="449"/>
      <c r="R80" s="449"/>
      <c r="S80" s="450"/>
      <c r="T80" s="451"/>
      <c r="U80" s="451"/>
      <c r="V80" s="451"/>
      <c r="W80" s="451"/>
      <c r="X80" s="452"/>
      <c r="Y80" s="452"/>
      <c r="Z80" s="452"/>
      <c r="AA80" s="452"/>
      <c r="AB80" s="452"/>
      <c r="AC80" s="452"/>
      <c r="AD80" s="453"/>
      <c r="AF80" s="53"/>
    </row>
    <row r="81" spans="1:32" ht="30" customHeight="1">
      <c r="A81" s="446">
        <f t="shared" si="13"/>
        <v>9</v>
      </c>
      <c r="B81" s="447"/>
      <c r="C81" s="358"/>
      <c r="D81" s="358"/>
      <c r="E81" s="35"/>
      <c r="F81" s="447"/>
      <c r="G81" s="447"/>
      <c r="H81" s="447"/>
      <c r="I81" s="447"/>
      <c r="J81" s="447"/>
      <c r="K81" s="448"/>
      <c r="L81" s="449"/>
      <c r="M81" s="449"/>
      <c r="N81" s="449"/>
      <c r="O81" s="449"/>
      <c r="P81" s="449"/>
      <c r="Q81" s="449"/>
      <c r="R81" s="449"/>
      <c r="S81" s="450"/>
      <c r="T81" s="451"/>
      <c r="U81" s="451"/>
      <c r="V81" s="451"/>
      <c r="W81" s="451"/>
      <c r="X81" s="452"/>
      <c r="Y81" s="452"/>
      <c r="Z81" s="452"/>
      <c r="AA81" s="452"/>
      <c r="AB81" s="452"/>
      <c r="AC81" s="452"/>
      <c r="AD81" s="453"/>
      <c r="AF81" s="53"/>
    </row>
    <row r="82" spans="1:32" ht="36" thickBot="1">
      <c r="A82" s="439" t="s">
        <v>1059</v>
      </c>
      <c r="B82" s="439"/>
      <c r="C82" s="439"/>
      <c r="D82" s="439"/>
      <c r="E82" s="439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7" t="s">
        <v>37</v>
      </c>
      <c r="B83" s="468"/>
      <c r="C83" s="468" t="s">
        <v>53</v>
      </c>
      <c r="D83" s="468"/>
      <c r="E83" s="468" t="s">
        <v>54</v>
      </c>
      <c r="F83" s="468"/>
      <c r="G83" s="468"/>
      <c r="H83" s="468"/>
      <c r="I83" s="468"/>
      <c r="J83" s="468"/>
      <c r="K83" s="468" t="s">
        <v>55</v>
      </c>
      <c r="L83" s="468"/>
      <c r="M83" s="468"/>
      <c r="N83" s="468"/>
      <c r="O83" s="468"/>
      <c r="P83" s="468"/>
      <c r="Q83" s="468"/>
      <c r="R83" s="468"/>
      <c r="S83" s="468"/>
      <c r="T83" s="468" t="s">
        <v>56</v>
      </c>
      <c r="U83" s="468"/>
      <c r="V83" s="468" t="s">
        <v>57</v>
      </c>
      <c r="W83" s="468"/>
      <c r="X83" s="468"/>
      <c r="Y83" s="468" t="s">
        <v>52</v>
      </c>
      <c r="Z83" s="468"/>
      <c r="AA83" s="468"/>
      <c r="AB83" s="468"/>
      <c r="AC83" s="468"/>
      <c r="AD83" s="469"/>
      <c r="AF83" s="53"/>
    </row>
    <row r="84" spans="1:32" ht="30.75" customHeight="1">
      <c r="A84" s="470">
        <v>1</v>
      </c>
      <c r="B84" s="471"/>
      <c r="C84" s="472"/>
      <c r="D84" s="472"/>
      <c r="E84" s="472"/>
      <c r="F84" s="472"/>
      <c r="G84" s="472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  <c r="U84" s="472"/>
      <c r="V84" s="473"/>
      <c r="W84" s="473"/>
      <c r="X84" s="473"/>
      <c r="Y84" s="474"/>
      <c r="Z84" s="474"/>
      <c r="AA84" s="474"/>
      <c r="AB84" s="474"/>
      <c r="AC84" s="474"/>
      <c r="AD84" s="475"/>
      <c r="AF84" s="53"/>
    </row>
    <row r="85" spans="1:32" ht="30.75" customHeight="1">
      <c r="A85" s="446">
        <v>2</v>
      </c>
      <c r="B85" s="447"/>
      <c r="C85" s="472"/>
      <c r="D85" s="472"/>
      <c r="E85" s="472"/>
      <c r="F85" s="472"/>
      <c r="G85" s="472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  <c r="U85" s="472"/>
      <c r="V85" s="473"/>
      <c r="W85" s="473"/>
      <c r="X85" s="473"/>
      <c r="Y85" s="474"/>
      <c r="Z85" s="474"/>
      <c r="AA85" s="474"/>
      <c r="AB85" s="474"/>
      <c r="AC85" s="474"/>
      <c r="AD85" s="475"/>
      <c r="AF85" s="53"/>
    </row>
    <row r="86" spans="1:32" ht="30.75" customHeight="1" thickBot="1">
      <c r="A86" s="476">
        <v>3</v>
      </c>
      <c r="B86" s="477"/>
      <c r="C86" s="477"/>
      <c r="D86" s="477"/>
      <c r="E86" s="477"/>
      <c r="F86" s="477"/>
      <c r="G86" s="477"/>
      <c r="H86" s="477"/>
      <c r="I86" s="477"/>
      <c r="J86" s="477"/>
      <c r="K86" s="477"/>
      <c r="L86" s="477"/>
      <c r="M86" s="477"/>
      <c r="N86" s="477"/>
      <c r="O86" s="477"/>
      <c r="P86" s="477"/>
      <c r="Q86" s="477"/>
      <c r="R86" s="477"/>
      <c r="S86" s="477"/>
      <c r="T86" s="477"/>
      <c r="U86" s="477"/>
      <c r="V86" s="477"/>
      <c r="W86" s="477"/>
      <c r="X86" s="477"/>
      <c r="Y86" s="478"/>
      <c r="Z86" s="478"/>
      <c r="AA86" s="478"/>
      <c r="AB86" s="478"/>
      <c r="AC86" s="478"/>
      <c r="AD86" s="479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이름이 지정된 범위</vt:lpstr>
      </vt:variant>
      <vt:variant>
        <vt:i4>20</vt:i4>
      </vt:variant>
    </vt:vector>
  </HeadingPairs>
  <TitlesOfParts>
    <vt:vector size="41" baseType="lpstr">
      <vt:lpstr>총괄</vt:lpstr>
      <vt:lpstr>01</vt:lpstr>
      <vt:lpstr>02</vt:lpstr>
      <vt:lpstr>03</vt:lpstr>
      <vt:lpstr>06</vt:lpstr>
      <vt:lpstr>07</vt:lpstr>
      <vt:lpstr>08</vt:lpstr>
      <vt:lpstr>09</vt:lpstr>
      <vt:lpstr>10</vt:lpstr>
      <vt:lpstr>13</vt:lpstr>
      <vt:lpstr>14</vt:lpstr>
      <vt:lpstr>15</vt:lpstr>
      <vt:lpstr>16</vt:lpstr>
      <vt:lpstr>17</vt:lpstr>
      <vt:lpstr>20</vt:lpstr>
      <vt:lpstr>21</vt:lpstr>
      <vt:lpstr>22</vt:lpstr>
      <vt:lpstr>23</vt:lpstr>
      <vt:lpstr>24</vt:lpstr>
      <vt:lpstr>27</vt:lpstr>
      <vt:lpstr>28</vt:lpstr>
      <vt:lpstr>'01'!Print_Area</vt:lpstr>
      <vt:lpstr>'02'!Print_Area</vt:lpstr>
      <vt:lpstr>'03'!Print_Area</vt:lpstr>
      <vt:lpstr>'06'!Print_Area</vt:lpstr>
      <vt:lpstr>'07'!Print_Area</vt:lpstr>
      <vt:lpstr>'08'!Print_Area</vt:lpstr>
      <vt:lpstr>'09'!Print_Area</vt:lpstr>
      <vt:lpstr>'10'!Print_Area</vt:lpstr>
      <vt:lpstr>'13'!Print_Area</vt:lpstr>
      <vt:lpstr>'14'!Print_Area</vt:lpstr>
      <vt:lpstr>'15'!Print_Area</vt:lpstr>
      <vt:lpstr>'16'!Print_Area</vt:lpstr>
      <vt:lpstr>'17'!Print_Area</vt:lpstr>
      <vt:lpstr>'20'!Print_Area</vt:lpstr>
      <vt:lpstr>'21'!Print_Area</vt:lpstr>
      <vt:lpstr>'22'!Print_Area</vt:lpstr>
      <vt:lpstr>'23'!Print_Area</vt:lpstr>
      <vt:lpstr>'24'!Print_Area</vt:lpstr>
      <vt:lpstr>'27'!Print_Area</vt:lpstr>
      <vt:lpstr>'28'!Print_Area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2017-02-10T23:50:04Z</cp:lastPrinted>
  <dcterms:created xsi:type="dcterms:W3CDTF">2014-05-16T00:06:55Z</dcterms:created>
  <dcterms:modified xsi:type="dcterms:W3CDTF">2017-03-01T04:44:42Z</dcterms:modified>
</cp:coreProperties>
</file>