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drawings/drawing11.xml" ContentType="application/vnd.openxmlformats-officedocument.drawingml.chartshapes+xml"/>
  <Override PartName="/xl/drawings/drawing12.xml" ContentType="application/vnd.openxmlformats-officedocument.drawing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3.xml" ContentType="application/vnd.openxmlformats-officedocument.drawingml.chartshapes+xml"/>
  <Override PartName="/xl/drawings/drawing14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drawings/drawing17.xml" ContentType="application/vnd.openxmlformats-officedocument.drawingml.chartshapes+xml"/>
  <Override PartName="/xl/drawings/drawing18.xml" ContentType="application/vnd.openxmlformats-officedocument.drawing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9.xml" ContentType="application/vnd.openxmlformats-officedocument.drawingml.chartshapes+xml"/>
  <Override PartName="/xl/drawings/drawing20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23.xml" ContentType="application/vnd.openxmlformats-officedocument.drawingml.chartshapes+xml"/>
  <Override PartName="/xl/drawings/drawing24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drawings/drawing25.xml" ContentType="application/vnd.openxmlformats-officedocument.drawingml.chartshapes+xml"/>
  <Override PartName="/xl/drawings/drawing26.xml" ContentType="application/vnd.openxmlformats-officedocument.drawing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charts/chart67.xml" ContentType="application/vnd.openxmlformats-officedocument.drawingml.chart+xml"/>
  <Override PartName="/xl/drawings/drawing27.xml" ContentType="application/vnd.openxmlformats-officedocument.drawingml.chartshapes+xml"/>
  <Override PartName="/xl/drawings/drawing28.xml" ContentType="application/vnd.openxmlformats-officedocument.drawing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charts/chart72.xml" ContentType="application/vnd.openxmlformats-officedocument.drawingml.chart+xml"/>
  <Override PartName="/xl/drawings/drawing29.xml" ContentType="application/vnd.openxmlformats-officedocument.drawingml.chartshapes+xml"/>
  <Override PartName="/xl/drawings/drawing30.xml" ContentType="application/vnd.openxmlformats-officedocument.drawing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drawings/drawing31.xml" ContentType="application/vnd.openxmlformats-officedocument.drawingml.chartshapes+xml"/>
  <Override PartName="/xl/drawings/drawing32.xml" ContentType="application/vnd.openxmlformats-officedocument.drawing+xml"/>
  <Override PartName="/xl/charts/chart78.xml" ContentType="application/vnd.openxmlformats-officedocument.drawingml.chart+xml"/>
  <Override PartName="/xl/charts/chart79.xml" ContentType="application/vnd.openxmlformats-officedocument.drawingml.chart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drawing33.xml" ContentType="application/vnd.openxmlformats-officedocument.drawingml.chartshapes+xml"/>
  <Override PartName="/xl/drawings/drawing34.xml" ContentType="application/vnd.openxmlformats-officedocument.drawing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drawings/drawing35.xml" ContentType="application/vnd.openxmlformats-officedocument.drawingml.chartshapes+xml"/>
  <Override PartName="/xl/drawings/drawing36.xml" ContentType="application/vnd.openxmlformats-officedocument.drawing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drawings/drawing37.xml" ContentType="application/vnd.openxmlformats-officedocument.drawingml.chartshapes+xml"/>
  <Override PartName="/xl/drawings/drawing38.xml" ContentType="application/vnd.openxmlformats-officedocument.drawing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charts/chart97.xml" ContentType="application/vnd.openxmlformats-officedocument.drawingml.chart+xml"/>
  <Override PartName="/xl/drawings/drawing39.xml" ContentType="application/vnd.openxmlformats-officedocument.drawingml.chartshapes+xml"/>
  <Override PartName="/xl/drawings/drawing40.xml" ContentType="application/vnd.openxmlformats-officedocument.drawing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drawings/drawing41.xml" ContentType="application/vnd.openxmlformats-officedocument.drawingml.chartshapes+xml"/>
  <Override PartName="/xl/drawings/drawing42.xml" ContentType="application/vnd.openxmlformats-officedocument.drawing+xml"/>
  <Override PartName="/xl/charts/chart103.xml" ContentType="application/vnd.openxmlformats-officedocument.drawingml.chart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drawings/drawing43.xml" ContentType="application/vnd.openxmlformats-officedocument.drawingml.chartshapes+xml"/>
  <Override PartName="/xl/drawings/drawing44.xml" ContentType="application/vnd.openxmlformats-officedocument.drawing+xml"/>
  <Override PartName="/xl/charts/chart108.xml" ContentType="application/vnd.openxmlformats-officedocument.drawingml.chart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drawings/drawing45.xml" ContentType="application/vnd.openxmlformats-officedocument.drawingml.chartshapes+xml"/>
  <Override PartName="/xl/drawings/drawing46.xml" ContentType="application/vnd.openxmlformats-officedocument.drawing+xml"/>
  <Override PartName="/xl/charts/chart113.xml" ContentType="application/vnd.openxmlformats-officedocument.drawingml.chart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drawings/drawing47.xml" ContentType="application/vnd.openxmlformats-officedocument.drawingml.chartshapes+xml"/>
  <Override PartName="/xl/drawings/drawing48.xml" ContentType="application/vnd.openxmlformats-officedocument.drawing+xml"/>
  <Override PartName="/xl/charts/chart118.xml" ContentType="application/vnd.openxmlformats-officedocument.drawingml.chart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drawings/drawing49.xml" ContentType="application/vnd.openxmlformats-officedocument.drawingml.chartshapes+xml"/>
  <Override PartName="/xl/drawings/drawing50.xml" ContentType="application/vnd.openxmlformats-officedocument.drawing+xml"/>
  <Override PartName="/xl/charts/chart123.xml" ContentType="application/vnd.openxmlformats-officedocument.drawingml.chart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drawings/drawing51.xml" ContentType="application/vnd.openxmlformats-officedocument.drawingml.chartshapes+xml"/>
  <Override PartName="/xl/drawings/drawing52.xml" ContentType="application/vnd.openxmlformats-officedocument.drawing+xml"/>
  <Override PartName="/xl/charts/chart128.xml" ContentType="application/vnd.openxmlformats-officedocument.drawingml.chart+xml"/>
  <Override PartName="/xl/charts/chart129.xml" ContentType="application/vnd.openxmlformats-officedocument.drawingml.chart+xml"/>
  <Override PartName="/xl/charts/chart130.xml" ContentType="application/vnd.openxmlformats-officedocument.drawingml.chart+xml"/>
  <Override PartName="/xl/charts/chart131.xml" ContentType="application/vnd.openxmlformats-officedocument.drawingml.chart+xml"/>
  <Override PartName="/xl/charts/chart132.xml" ContentType="application/vnd.openxmlformats-officedocument.drawingml.chart+xml"/>
  <Override PartName="/xl/drawings/drawing53.xml" ContentType="application/vnd.openxmlformats-officedocument.drawingml.chartshapes+xml"/>
  <Override PartName="/xl/drawings/drawing54.xml" ContentType="application/vnd.openxmlformats-officedocument.drawing+xml"/>
  <Override PartName="/xl/charts/chart133.xml" ContentType="application/vnd.openxmlformats-officedocument.drawingml.chart+xml"/>
  <Override PartName="/xl/charts/chart134.xml" ContentType="application/vnd.openxmlformats-officedocument.drawingml.chart+xml"/>
  <Override PartName="/xl/charts/chart135.xml" ContentType="application/vnd.openxmlformats-officedocument.drawingml.chart+xml"/>
  <Override PartName="/xl/charts/chart136.xml" ContentType="application/vnd.openxmlformats-officedocument.drawingml.chart+xml"/>
  <Override PartName="/xl/charts/chart137.xml" ContentType="application/vnd.openxmlformats-officedocument.drawingml.chart+xml"/>
  <Override PartName="/xl/drawings/drawing5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480" yWindow="1350" windowWidth="14880" windowHeight="7245" activeTab="27"/>
  </bookViews>
  <sheets>
    <sheet name="총괄" sheetId="16" r:id="rId1"/>
    <sheet name="01" sheetId="866" r:id="rId2"/>
    <sheet name="02" sheetId="867" r:id="rId3"/>
    <sheet name="03" sheetId="868" r:id="rId4"/>
    <sheet name="04" sheetId="869" r:id="rId5"/>
    <sheet name="05" sheetId="870" r:id="rId6"/>
    <sheet name="06" sheetId="871" r:id="rId7"/>
    <sheet name="07" sheetId="872" r:id="rId8"/>
    <sheet name="08" sheetId="873" r:id="rId9"/>
    <sheet name="09" sheetId="874" r:id="rId10"/>
    <sheet name="10" sheetId="875" r:id="rId11"/>
    <sheet name="11" sheetId="876" r:id="rId12"/>
    <sheet name="13" sheetId="877" r:id="rId13"/>
    <sheet name="14" sheetId="878" r:id="rId14"/>
    <sheet name="15" sheetId="879" r:id="rId15"/>
    <sheet name="16" sheetId="880" r:id="rId16"/>
    <sheet name="17" sheetId="881" r:id="rId17"/>
    <sheet name="20" sheetId="882" r:id="rId18"/>
    <sheet name="21" sheetId="883" r:id="rId19"/>
    <sheet name="22" sheetId="884" r:id="rId20"/>
    <sheet name="23" sheetId="885" r:id="rId21"/>
    <sheet name="24" sheetId="886" r:id="rId22"/>
    <sheet name="25" sheetId="887" r:id="rId23"/>
    <sheet name="27" sheetId="888" r:id="rId24"/>
    <sheet name="28" sheetId="889" r:id="rId25"/>
    <sheet name="29" sheetId="890" r:id="rId26"/>
    <sheet name="30" sheetId="891" r:id="rId27"/>
    <sheet name="31" sheetId="892" r:id="rId28"/>
  </sheets>
  <definedNames>
    <definedName name="_xlnm.Print_Area" localSheetId="1">'01'!$A$1:$AD$86</definedName>
    <definedName name="_xlnm.Print_Area" localSheetId="2">'02'!$A$1:$AD$87</definedName>
    <definedName name="_xlnm.Print_Area" localSheetId="3">'03'!$A$1:$AD$86</definedName>
    <definedName name="_xlnm.Print_Area" localSheetId="4">'04'!$A$1:$AD$87</definedName>
    <definedName name="_xlnm.Print_Area" localSheetId="5">'05'!$A$1:$AD$86</definedName>
    <definedName name="_xlnm.Print_Area" localSheetId="6">'06'!$A$1:$AD$86</definedName>
    <definedName name="_xlnm.Print_Area" localSheetId="7">'07'!$A$1:$AD$87</definedName>
    <definedName name="_xlnm.Print_Area" localSheetId="8">'08'!$A$1:$AD$86</definedName>
    <definedName name="_xlnm.Print_Area" localSheetId="9">'09'!$A$1:$AD$87</definedName>
    <definedName name="_xlnm.Print_Area" localSheetId="10">'10'!$A$1:$AD$86</definedName>
    <definedName name="_xlnm.Print_Area" localSheetId="11">'11'!$A$1:$AD$86</definedName>
    <definedName name="_xlnm.Print_Area" localSheetId="12">'13'!$A$1:$AD$86</definedName>
    <definedName name="_xlnm.Print_Area" localSheetId="13">'14'!$A$1:$AD$86</definedName>
    <definedName name="_xlnm.Print_Area" localSheetId="14">'15'!$A$1:$AD$88</definedName>
    <definedName name="_xlnm.Print_Area" localSheetId="15">'16'!$A$1:$AD$86</definedName>
    <definedName name="_xlnm.Print_Area" localSheetId="16">'17'!$A$1:$AD$87</definedName>
    <definedName name="_xlnm.Print_Area" localSheetId="17">'20'!$A$1:$AD$86</definedName>
    <definedName name="_xlnm.Print_Area" localSheetId="18">'21'!$A$1:$AD$88</definedName>
    <definedName name="_xlnm.Print_Area" localSheetId="19">'22'!$A$1:$AD$86</definedName>
    <definedName name="_xlnm.Print_Area" localSheetId="20">'23'!$A$1:$AD$86</definedName>
    <definedName name="_xlnm.Print_Area" localSheetId="21">'24'!$A$1:$AD$88</definedName>
    <definedName name="_xlnm.Print_Area" localSheetId="22">'25'!$A$1:$AD$86</definedName>
    <definedName name="_xlnm.Print_Area" localSheetId="23">'27'!$A$1:$AD$86</definedName>
    <definedName name="_xlnm.Print_Area" localSheetId="24">'28'!$A$1:$AD$87</definedName>
    <definedName name="_xlnm.Print_Area" localSheetId="25">'29'!$A$1:$AD$87</definedName>
    <definedName name="_xlnm.Print_Area" localSheetId="26">'30'!$A$1:$AD$86</definedName>
    <definedName name="_xlnm.Print_Area" localSheetId="27">'31'!$A$1:$AD$87</definedName>
  </definedNames>
  <calcPr calcId="144525"/>
</workbook>
</file>

<file path=xl/calcChain.xml><?xml version="1.0" encoding="utf-8"?>
<calcChain xmlns="http://schemas.openxmlformats.org/spreadsheetml/2006/main">
  <c r="AF18" i="16" l="1"/>
  <c r="AF17" i="16"/>
  <c r="AF16" i="16"/>
  <c r="AF15" i="16"/>
  <c r="AF14" i="16"/>
  <c r="AF13" i="16"/>
  <c r="AF12" i="16"/>
  <c r="AF11" i="16"/>
  <c r="AF10" i="16"/>
  <c r="AF9" i="16"/>
  <c r="AF8" i="16"/>
  <c r="AF7" i="16"/>
  <c r="AF6" i="16"/>
  <c r="AF5" i="16"/>
  <c r="AF4" i="16"/>
  <c r="AF3" i="16"/>
  <c r="L21" i="892"/>
  <c r="L18" i="892"/>
  <c r="L14" i="892"/>
  <c r="K14" i="892" s="1"/>
  <c r="AF14" i="892"/>
  <c r="Q14" i="892"/>
  <c r="P14" i="892" s="1"/>
  <c r="AC14" i="892" s="1"/>
  <c r="O14" i="892"/>
  <c r="M14" i="892"/>
  <c r="K13" i="892"/>
  <c r="L12" i="892"/>
  <c r="AF19" i="892"/>
  <c r="AB19" i="892"/>
  <c r="Q19" i="892"/>
  <c r="P19" i="892" s="1"/>
  <c r="AC19" i="892" s="1"/>
  <c r="O19" i="892"/>
  <c r="M19" i="892"/>
  <c r="K19" i="892"/>
  <c r="K11" i="892"/>
  <c r="L10" i="892"/>
  <c r="L9" i="892"/>
  <c r="L8" i="892"/>
  <c r="K21" i="892"/>
  <c r="K18" i="892"/>
  <c r="K16" i="892"/>
  <c r="K15" i="892"/>
  <c r="K10" i="892"/>
  <c r="K9" i="892"/>
  <c r="K8" i="892"/>
  <c r="AD19" i="892" l="1"/>
  <c r="AB14" i="892"/>
  <c r="AD14" i="892" s="1"/>
  <c r="A76" i="892" l="1"/>
  <c r="A77" i="892" s="1"/>
  <c r="A78" i="892" s="1"/>
  <c r="A79" i="892" s="1"/>
  <c r="A80" i="892" s="1"/>
  <c r="A81" i="892" s="1"/>
  <c r="A82" i="892" s="1"/>
  <c r="A75" i="892"/>
  <c r="AF63" i="892"/>
  <c r="AF61" i="892"/>
  <c r="AF60" i="892"/>
  <c r="AA22" i="892"/>
  <c r="Z22" i="892"/>
  <c r="Y22" i="892"/>
  <c r="X22" i="892"/>
  <c r="W22" i="892"/>
  <c r="V22" i="892"/>
  <c r="U22" i="892"/>
  <c r="T22" i="892"/>
  <c r="S22" i="892"/>
  <c r="R22" i="892"/>
  <c r="N22" i="892"/>
  <c r="J22" i="892"/>
  <c r="I22" i="892"/>
  <c r="AF21" i="892"/>
  <c r="Q21" i="892"/>
  <c r="O21" i="892"/>
  <c r="AB21" i="892"/>
  <c r="AF20" i="892"/>
  <c r="AB20" i="892"/>
  <c r="Q20" i="892"/>
  <c r="P20" i="892"/>
  <c r="AC20" i="892" s="1"/>
  <c r="AD20" i="892" s="1"/>
  <c r="O20" i="892"/>
  <c r="M20" i="892"/>
  <c r="K20" i="892"/>
  <c r="AF18" i="892"/>
  <c r="Q18" i="892"/>
  <c r="O18" i="892"/>
  <c r="AB18" i="892"/>
  <c r="AF17" i="892"/>
  <c r="AB17" i="892"/>
  <c r="Q17" i="892"/>
  <c r="P17" i="892"/>
  <c r="AC17" i="892" s="1"/>
  <c r="O17" i="892"/>
  <c r="M17" i="892"/>
  <c r="K17" i="892"/>
  <c r="AF16" i="892"/>
  <c r="AB16" i="892"/>
  <c r="Q16" i="892"/>
  <c r="P16" i="892"/>
  <c r="AC16" i="892" s="1"/>
  <c r="M16" i="892"/>
  <c r="O16" i="892"/>
  <c r="AF15" i="892"/>
  <c r="AB15" i="892"/>
  <c r="Q15" i="892"/>
  <c r="P15" i="892" s="1"/>
  <c r="AC15" i="892" s="1"/>
  <c r="O15" i="892"/>
  <c r="M15" i="892"/>
  <c r="AF13" i="892"/>
  <c r="Q13" i="892"/>
  <c r="P13" i="892" s="1"/>
  <c r="AC13" i="892" s="1"/>
  <c r="AF12" i="892"/>
  <c r="AB12" i="892"/>
  <c r="Q12" i="892"/>
  <c r="P12" i="892"/>
  <c r="AC12" i="892" s="1"/>
  <c r="O12" i="892"/>
  <c r="M12" i="892"/>
  <c r="K12" i="892"/>
  <c r="AF11" i="892"/>
  <c r="AB11" i="892"/>
  <c r="Q11" i="892"/>
  <c r="P11" i="892" s="1"/>
  <c r="AC11" i="892" s="1"/>
  <c r="O11" i="892"/>
  <c r="M11" i="892"/>
  <c r="AF10" i="892"/>
  <c r="AB10" i="892"/>
  <c r="Q10" i="892"/>
  <c r="P10" i="892"/>
  <c r="AC10" i="892" s="1"/>
  <c r="M10" i="892"/>
  <c r="O10" i="892"/>
  <c r="AF9" i="892"/>
  <c r="Q9" i="892"/>
  <c r="O9" i="892"/>
  <c r="AB9" i="892"/>
  <c r="AF8" i="892"/>
  <c r="AB8" i="892"/>
  <c r="Q8" i="892"/>
  <c r="P8" i="892" s="1"/>
  <c r="AC8" i="892" s="1"/>
  <c r="O8" i="892"/>
  <c r="M8" i="892"/>
  <c r="L22" i="892"/>
  <c r="O22" i="892" s="1"/>
  <c r="AF7" i="892"/>
  <c r="AB7" i="892"/>
  <c r="Q7" i="892"/>
  <c r="P7" i="892"/>
  <c r="AC7" i="892" s="1"/>
  <c r="O7" i="892"/>
  <c r="M7" i="892"/>
  <c r="K7" i="892"/>
  <c r="AF6" i="892"/>
  <c r="AB6" i="892"/>
  <c r="Q6" i="892"/>
  <c r="P6" i="892"/>
  <c r="AC6" i="892" s="1"/>
  <c r="O6" i="892"/>
  <c r="M6" i="892"/>
  <c r="K6" i="892"/>
  <c r="AE18" i="16"/>
  <c r="AE17" i="16"/>
  <c r="AE16" i="16"/>
  <c r="AE15" i="16"/>
  <c r="AE14" i="16"/>
  <c r="AE13" i="16"/>
  <c r="AE12" i="16"/>
  <c r="AE11" i="16"/>
  <c r="AE10" i="16"/>
  <c r="AE9" i="16"/>
  <c r="AE8" i="16"/>
  <c r="AE7" i="16"/>
  <c r="AE6" i="16"/>
  <c r="AE5" i="16"/>
  <c r="AE4" i="16"/>
  <c r="AE3" i="16"/>
  <c r="L20" i="891"/>
  <c r="K20" i="891" s="1"/>
  <c r="L18" i="891"/>
  <c r="L17" i="891"/>
  <c r="L15" i="891"/>
  <c r="K14" i="891"/>
  <c r="L13" i="891"/>
  <c r="L10" i="891"/>
  <c r="K10" i="891" s="1"/>
  <c r="L9" i="891"/>
  <c r="L8" i="891"/>
  <c r="K8" i="891" s="1"/>
  <c r="AD6" i="892" l="1"/>
  <c r="AD7" i="892"/>
  <c r="AD16" i="892"/>
  <c r="AD11" i="892"/>
  <c r="Q22" i="892"/>
  <c r="AD15" i="892"/>
  <c r="AD17" i="892"/>
  <c r="AD8" i="892"/>
  <c r="AD12" i="892"/>
  <c r="AD10" i="892"/>
  <c r="K22" i="892"/>
  <c r="P9" i="892"/>
  <c r="AC9" i="892" s="1"/>
  <c r="AD9" i="892" s="1"/>
  <c r="M13" i="892"/>
  <c r="AB13" i="892"/>
  <c r="AB22" i="892" s="1"/>
  <c r="P18" i="892"/>
  <c r="AC18" i="892" s="1"/>
  <c r="AD18" i="892" s="1"/>
  <c r="P21" i="892"/>
  <c r="AC21" i="892" s="1"/>
  <c r="AD21" i="892" s="1"/>
  <c r="O13" i="892"/>
  <c r="M9" i="892"/>
  <c r="M18" i="892"/>
  <c r="M21" i="892"/>
  <c r="M22" i="892" l="1"/>
  <c r="AD13" i="892"/>
  <c r="AD22" i="892" s="1"/>
  <c r="P22" i="892"/>
  <c r="AC22" i="892"/>
  <c r="AE19" i="892" l="1"/>
  <c r="AE14" i="892"/>
  <c r="AE20" i="892"/>
  <c r="AE17" i="892"/>
  <c r="AE11" i="892"/>
  <c r="AE8" i="892"/>
  <c r="AE6" i="892"/>
  <c r="AE13" i="892"/>
  <c r="AE7" i="892"/>
  <c r="AE21" i="892"/>
  <c r="AE18" i="892"/>
  <c r="AE15" i="892"/>
  <c r="AE9" i="892"/>
  <c r="AE16" i="892"/>
  <c r="AE12" i="892"/>
  <c r="AE10" i="892"/>
  <c r="K19" i="891" l="1"/>
  <c r="K18" i="891"/>
  <c r="K17" i="891"/>
  <c r="K16" i="891"/>
  <c r="K13" i="891"/>
  <c r="K9" i="891"/>
  <c r="K7" i="891"/>
  <c r="A74" i="891"/>
  <c r="A75" i="891" s="1"/>
  <c r="A76" i="891" s="1"/>
  <c r="A77" i="891" s="1"/>
  <c r="A78" i="891" s="1"/>
  <c r="A79" i="891" s="1"/>
  <c r="A80" i="891" s="1"/>
  <c r="A81" i="891" s="1"/>
  <c r="AF60" i="891"/>
  <c r="AF59" i="891"/>
  <c r="AF62" i="891" s="1"/>
  <c r="AA21" i="891"/>
  <c r="Z21" i="891"/>
  <c r="Y21" i="891"/>
  <c r="X21" i="891"/>
  <c r="W21" i="891"/>
  <c r="V21" i="891"/>
  <c r="U21" i="891"/>
  <c r="T21" i="891"/>
  <c r="S21" i="891"/>
  <c r="R21" i="891"/>
  <c r="N21" i="891"/>
  <c r="J21" i="891"/>
  <c r="I21" i="891"/>
  <c r="AF20" i="891"/>
  <c r="AB20" i="891"/>
  <c r="Q20" i="891"/>
  <c r="P20" i="891" s="1"/>
  <c r="AC20" i="891" s="1"/>
  <c r="AD20" i="891" s="1"/>
  <c r="O20" i="891"/>
  <c r="M20" i="891"/>
  <c r="AF19" i="891"/>
  <c r="Q19" i="891"/>
  <c r="M19" i="891"/>
  <c r="P19" i="891"/>
  <c r="AC19" i="891" s="1"/>
  <c r="AF18" i="891"/>
  <c r="AB18" i="891"/>
  <c r="Q18" i="891"/>
  <c r="P18" i="891" s="1"/>
  <c r="AC18" i="891" s="1"/>
  <c r="O18" i="891"/>
  <c r="M18" i="891"/>
  <c r="AF17" i="891"/>
  <c r="AB17" i="891"/>
  <c r="Q17" i="891"/>
  <c r="P17" i="891" s="1"/>
  <c r="AC17" i="891" s="1"/>
  <c r="M17" i="891"/>
  <c r="AF16" i="891"/>
  <c r="AB16" i="891"/>
  <c r="Q16" i="891"/>
  <c r="P16" i="891" s="1"/>
  <c r="AC16" i="891" s="1"/>
  <c r="O16" i="891"/>
  <c r="M16" i="891"/>
  <c r="AF15" i="891"/>
  <c r="AB15" i="891"/>
  <c r="Q15" i="891"/>
  <c r="P15" i="891" s="1"/>
  <c r="AC15" i="891" s="1"/>
  <c r="O15" i="891"/>
  <c r="M15" i="891"/>
  <c r="K15" i="891"/>
  <c r="AF14" i="891"/>
  <c r="Q14" i="891"/>
  <c r="P14" i="891" s="1"/>
  <c r="AC14" i="891" s="1"/>
  <c r="AF13" i="891"/>
  <c r="Q13" i="891"/>
  <c r="P13" i="891" s="1"/>
  <c r="AC13" i="891" s="1"/>
  <c r="O13" i="891"/>
  <c r="AB13" i="891"/>
  <c r="AF12" i="891"/>
  <c r="AC12" i="891"/>
  <c r="AB12" i="891"/>
  <c r="Q12" i="891"/>
  <c r="P12" i="891"/>
  <c r="O12" i="891"/>
  <c r="M12" i="891"/>
  <c r="K12" i="891"/>
  <c r="AF11" i="891"/>
  <c r="AB11" i="891"/>
  <c r="Q11" i="891"/>
  <c r="P11" i="891"/>
  <c r="AC11" i="891" s="1"/>
  <c r="O11" i="891"/>
  <c r="M11" i="891"/>
  <c r="K11" i="891"/>
  <c r="AF10" i="891"/>
  <c r="AB10" i="891"/>
  <c r="Q10" i="891"/>
  <c r="P10" i="891" s="1"/>
  <c r="AC10" i="891" s="1"/>
  <c r="O10" i="891"/>
  <c r="M10" i="891"/>
  <c r="AF9" i="891"/>
  <c r="Q9" i="891"/>
  <c r="P9" i="891" s="1"/>
  <c r="AC9" i="891" s="1"/>
  <c r="AF8" i="891"/>
  <c r="AB8" i="891"/>
  <c r="Q8" i="891"/>
  <c r="P8" i="891" s="1"/>
  <c r="AC8" i="891" s="1"/>
  <c r="O8" i="891"/>
  <c r="M8" i="891"/>
  <c r="AF7" i="891"/>
  <c r="AB7" i="891"/>
  <c r="Q7" i="891"/>
  <c r="P7" i="891" s="1"/>
  <c r="AC7" i="891" s="1"/>
  <c r="O7" i="891"/>
  <c r="M7" i="891"/>
  <c r="AF6" i="891"/>
  <c r="AB6" i="891"/>
  <c r="Q6" i="891"/>
  <c r="P6" i="891"/>
  <c r="AC6" i="891" s="1"/>
  <c r="O6" i="891"/>
  <c r="M6" i="891"/>
  <c r="K6" i="891"/>
  <c r="AD11" i="891" l="1"/>
  <c r="AD10" i="891"/>
  <c r="Q21" i="891"/>
  <c r="AD16" i="891"/>
  <c r="AD12" i="891"/>
  <c r="AD18" i="891"/>
  <c r="AD8" i="891"/>
  <c r="AD15" i="891"/>
  <c r="AD7" i="891"/>
  <c r="AC21" i="891"/>
  <c r="AD6" i="891"/>
  <c r="AD13" i="891"/>
  <c r="AB19" i="891"/>
  <c r="AD19" i="891" s="1"/>
  <c r="M9" i="891"/>
  <c r="O17" i="891"/>
  <c r="AD17" i="891" s="1"/>
  <c r="O19" i="891"/>
  <c r="AB9" i="891"/>
  <c r="M14" i="891"/>
  <c r="AB14" i="891"/>
  <c r="O9" i="891"/>
  <c r="M13" i="891"/>
  <c r="O14" i="891"/>
  <c r="L21" i="891"/>
  <c r="O21" i="891" s="1"/>
  <c r="P21" i="891"/>
  <c r="K21" i="891"/>
  <c r="AD18" i="16"/>
  <c r="AD17" i="16"/>
  <c r="AD16" i="16"/>
  <c r="AD15" i="16"/>
  <c r="AD14" i="16"/>
  <c r="AD13" i="16"/>
  <c r="AD12" i="16"/>
  <c r="AD11" i="16"/>
  <c r="AD10" i="16"/>
  <c r="AD9" i="16"/>
  <c r="AD8" i="16"/>
  <c r="AD7" i="16"/>
  <c r="AD6" i="16"/>
  <c r="AD5" i="16"/>
  <c r="AD4" i="16"/>
  <c r="AD3" i="16"/>
  <c r="L20" i="890"/>
  <c r="K20" i="890" s="1"/>
  <c r="L18" i="890"/>
  <c r="K18" i="890" s="1"/>
  <c r="AF18" i="890"/>
  <c r="AB18" i="890"/>
  <c r="Q18" i="890"/>
  <c r="P18" i="890" s="1"/>
  <c r="AC18" i="890" s="1"/>
  <c r="O18" i="890"/>
  <c r="L17" i="890"/>
  <c r="K17" i="890" s="1"/>
  <c r="L14" i="890"/>
  <c r="K14" i="890" s="1"/>
  <c r="L13" i="890"/>
  <c r="K13" i="890" s="1"/>
  <c r="K12" i="890"/>
  <c r="L9" i="890"/>
  <c r="K9" i="890" s="1"/>
  <c r="K19" i="890"/>
  <c r="K16" i="890"/>
  <c r="K10" i="890"/>
  <c r="K7" i="890"/>
  <c r="A75" i="890"/>
  <c r="A76" i="890" s="1"/>
  <c r="A77" i="890" s="1"/>
  <c r="A78" i="890" s="1"/>
  <c r="A79" i="890" s="1"/>
  <c r="A80" i="890" s="1"/>
  <c r="A81" i="890" s="1"/>
  <c r="A82" i="890" s="1"/>
  <c r="AF61" i="890"/>
  <c r="AF60" i="890"/>
  <c r="AA22" i="890"/>
  <c r="Z22" i="890"/>
  <c r="Y22" i="890"/>
  <c r="X22" i="890"/>
  <c r="W22" i="890"/>
  <c r="V22" i="890"/>
  <c r="U22" i="890"/>
  <c r="T22" i="890"/>
  <c r="S22" i="890"/>
  <c r="R22" i="890"/>
  <c r="N22" i="890"/>
  <c r="J22" i="890"/>
  <c r="I22" i="890"/>
  <c r="AF21" i="890"/>
  <c r="AB21" i="890"/>
  <c r="Q21" i="890"/>
  <c r="P21" i="890"/>
  <c r="AC21" i="890" s="1"/>
  <c r="O21" i="890"/>
  <c r="M21" i="890"/>
  <c r="K21" i="890"/>
  <c r="AF20" i="890"/>
  <c r="Q20" i="890"/>
  <c r="P20" i="890" s="1"/>
  <c r="AC20" i="890" s="1"/>
  <c r="O20" i="890"/>
  <c r="AB20" i="890"/>
  <c r="AF19" i="890"/>
  <c r="AB19" i="890"/>
  <c r="Q19" i="890"/>
  <c r="P19" i="890" s="1"/>
  <c r="AC19" i="890" s="1"/>
  <c r="O19" i="890"/>
  <c r="M19" i="890"/>
  <c r="AF17" i="890"/>
  <c r="Q17" i="890"/>
  <c r="P17" i="890" s="1"/>
  <c r="AC17" i="890" s="1"/>
  <c r="O17" i="890"/>
  <c r="M17" i="890"/>
  <c r="AB17" i="890"/>
  <c r="AF16" i="890"/>
  <c r="AB16" i="890"/>
  <c r="Q16" i="890"/>
  <c r="P16" i="890" s="1"/>
  <c r="AC16" i="890" s="1"/>
  <c r="O16" i="890"/>
  <c r="M16" i="890"/>
  <c r="AF15" i="890"/>
  <c r="AB15" i="890"/>
  <c r="Q15" i="890"/>
  <c r="P15" i="890"/>
  <c r="AC15" i="890" s="1"/>
  <c r="O15" i="890"/>
  <c r="M15" i="890"/>
  <c r="K15" i="890"/>
  <c r="AF14" i="890"/>
  <c r="AB14" i="890"/>
  <c r="Q14" i="890"/>
  <c r="P14" i="890" s="1"/>
  <c r="AC14" i="890" s="1"/>
  <c r="O14" i="890"/>
  <c r="M14" i="890"/>
  <c r="AF13" i="890"/>
  <c r="AB13" i="890"/>
  <c r="Q13" i="890"/>
  <c r="P13" i="890" s="1"/>
  <c r="AC13" i="890" s="1"/>
  <c r="O13" i="890"/>
  <c r="M13" i="890"/>
  <c r="AF12" i="890"/>
  <c r="AB12" i="890"/>
  <c r="Q12" i="890"/>
  <c r="P12" i="890"/>
  <c r="AC12" i="890" s="1"/>
  <c r="O12" i="890"/>
  <c r="M12" i="890"/>
  <c r="AF11" i="890"/>
  <c r="AC11" i="890"/>
  <c r="AB11" i="890"/>
  <c r="Q11" i="890"/>
  <c r="P11" i="890"/>
  <c r="O11" i="890"/>
  <c r="M11" i="890"/>
  <c r="K11" i="890"/>
  <c r="AF10" i="890"/>
  <c r="Q10" i="890"/>
  <c r="O10" i="890"/>
  <c r="AF9" i="890"/>
  <c r="Q9" i="890"/>
  <c r="P9" i="890"/>
  <c r="AC9" i="890" s="1"/>
  <c r="AB9" i="890"/>
  <c r="AF8" i="890"/>
  <c r="AB8" i="890"/>
  <c r="Q8" i="890"/>
  <c r="P8" i="890"/>
  <c r="AC8" i="890" s="1"/>
  <c r="O8" i="890"/>
  <c r="M8" i="890"/>
  <c r="K8" i="890"/>
  <c r="AF7" i="890"/>
  <c r="Q7" i="890"/>
  <c r="O7" i="890"/>
  <c r="AF6" i="890"/>
  <c r="AB6" i="890"/>
  <c r="Q6" i="890"/>
  <c r="P6" i="890"/>
  <c r="O6" i="890"/>
  <c r="M6" i="890"/>
  <c r="K6" i="890"/>
  <c r="AD14" i="891" l="1"/>
  <c r="M21" i="891"/>
  <c r="AD9" i="891"/>
  <c r="AD21" i="891" s="1"/>
  <c r="AB21" i="891"/>
  <c r="M18" i="890"/>
  <c r="AF63" i="890"/>
  <c r="AD18" i="890"/>
  <c r="AD21" i="890"/>
  <c r="AD8" i="890"/>
  <c r="AD19" i="890"/>
  <c r="Q22" i="890"/>
  <c r="AD12" i="890"/>
  <c r="AD13" i="890"/>
  <c r="AD15" i="890"/>
  <c r="AD16" i="890"/>
  <c r="AD11" i="890"/>
  <c r="AD14" i="890"/>
  <c r="AD20" i="890"/>
  <c r="AD17" i="890"/>
  <c r="AB7" i="890"/>
  <c r="M10" i="890"/>
  <c r="AC6" i="890"/>
  <c r="P7" i="890"/>
  <c r="AC7" i="890" s="1"/>
  <c r="O9" i="890"/>
  <c r="AD9" i="890" s="1"/>
  <c r="P10" i="890"/>
  <c r="AC10" i="890" s="1"/>
  <c r="M20" i="890"/>
  <c r="L22" i="890"/>
  <c r="O22" i="890" s="1"/>
  <c r="M7" i="890"/>
  <c r="AB10" i="890"/>
  <c r="M9" i="890"/>
  <c r="AC18" i="16"/>
  <c r="AC17" i="16"/>
  <c r="AC16" i="16"/>
  <c r="AC15" i="16"/>
  <c r="AC14" i="16"/>
  <c r="AC13" i="16"/>
  <c r="AC12" i="16"/>
  <c r="AC11" i="16"/>
  <c r="AC10" i="16"/>
  <c r="AC9" i="16"/>
  <c r="AC8" i="16"/>
  <c r="AC7" i="16"/>
  <c r="AC6" i="16"/>
  <c r="AC5" i="16"/>
  <c r="AC4" i="16"/>
  <c r="AC3" i="16"/>
  <c r="AB18" i="16"/>
  <c r="AB17" i="16"/>
  <c r="AB16" i="16"/>
  <c r="AB15" i="16"/>
  <c r="AB14" i="16"/>
  <c r="AB13" i="16"/>
  <c r="AB12" i="16"/>
  <c r="AB11" i="16"/>
  <c r="AB10" i="16"/>
  <c r="AB9" i="16"/>
  <c r="AB8" i="16"/>
  <c r="AB7" i="16"/>
  <c r="AB6" i="16"/>
  <c r="AB5" i="16"/>
  <c r="AB4" i="16"/>
  <c r="AB3" i="16"/>
  <c r="L20" i="889"/>
  <c r="K20" i="889" s="1"/>
  <c r="AE19" i="891" l="1"/>
  <c r="AE17" i="891"/>
  <c r="AE7" i="891"/>
  <c r="AE18" i="891"/>
  <c r="AE15" i="891"/>
  <c r="AE12" i="891"/>
  <c r="AE10" i="891"/>
  <c r="AE13" i="891"/>
  <c r="AE8" i="891"/>
  <c r="AE9" i="891"/>
  <c r="AE20" i="891"/>
  <c r="AE6" i="891"/>
  <c r="AE11" i="891"/>
  <c r="AE16" i="891"/>
  <c r="AE14" i="891"/>
  <c r="M22" i="890"/>
  <c r="AB22" i="890"/>
  <c r="AD7" i="890"/>
  <c r="K22" i="890"/>
  <c r="P22" i="890"/>
  <c r="AD10" i="890"/>
  <c r="AC22" i="890"/>
  <c r="AD6" i="890"/>
  <c r="L19" i="889"/>
  <c r="K19" i="889" s="1"/>
  <c r="AF19" i="889"/>
  <c r="AB19" i="889"/>
  <c r="Q19" i="889"/>
  <c r="P19" i="889" s="1"/>
  <c r="AC19" i="889" s="1"/>
  <c r="M19" i="889"/>
  <c r="L17" i="889"/>
  <c r="K17" i="889" s="1"/>
  <c r="L16" i="889"/>
  <c r="K16" i="889" s="1"/>
  <c r="L14" i="889"/>
  <c r="K14" i="889" s="1"/>
  <c r="L13" i="889"/>
  <c r="K13" i="889" s="1"/>
  <c r="L10" i="889"/>
  <c r="K10" i="889" s="1"/>
  <c r="L9" i="889"/>
  <c r="L7" i="889"/>
  <c r="K18" i="889"/>
  <c r="K11" i="889"/>
  <c r="K9" i="889"/>
  <c r="K7" i="889"/>
  <c r="A76" i="889"/>
  <c r="A77" i="889" s="1"/>
  <c r="A78" i="889" s="1"/>
  <c r="A79" i="889" s="1"/>
  <c r="A80" i="889" s="1"/>
  <c r="A81" i="889" s="1"/>
  <c r="A82" i="889" s="1"/>
  <c r="A75" i="889"/>
  <c r="AF61" i="889"/>
  <c r="AF60" i="889"/>
  <c r="AF63" i="889" s="1"/>
  <c r="AA22" i="889"/>
  <c r="Z22" i="889"/>
  <c r="Y22" i="889"/>
  <c r="X22" i="889"/>
  <c r="W22" i="889"/>
  <c r="V22" i="889"/>
  <c r="U22" i="889"/>
  <c r="T22" i="889"/>
  <c r="S22" i="889"/>
  <c r="R22" i="889"/>
  <c r="N22" i="889"/>
  <c r="J22" i="889"/>
  <c r="I22" i="889"/>
  <c r="AF21" i="889"/>
  <c r="AB21" i="889"/>
  <c r="Q21" i="889"/>
  <c r="P21" i="889"/>
  <c r="AC21" i="889" s="1"/>
  <c r="O21" i="889"/>
  <c r="M21" i="889"/>
  <c r="K21" i="889"/>
  <c r="AF20" i="889"/>
  <c r="AB20" i="889"/>
  <c r="Q20" i="889"/>
  <c r="P20" i="889" s="1"/>
  <c r="AC20" i="889" s="1"/>
  <c r="O20" i="889"/>
  <c r="M20" i="889"/>
  <c r="AF18" i="889"/>
  <c r="Q18" i="889"/>
  <c r="AB18" i="889"/>
  <c r="AF17" i="889"/>
  <c r="AB17" i="889"/>
  <c r="Q17" i="889"/>
  <c r="P17" i="889" s="1"/>
  <c r="AC17" i="889" s="1"/>
  <c r="O17" i="889"/>
  <c r="M17" i="889"/>
  <c r="AF16" i="889"/>
  <c r="AB16" i="889"/>
  <c r="Q16" i="889"/>
  <c r="P16" i="889" s="1"/>
  <c r="AC16" i="889" s="1"/>
  <c r="O16" i="889"/>
  <c r="M16" i="889"/>
  <c r="AF15" i="889"/>
  <c r="AB15" i="889"/>
  <c r="Q15" i="889"/>
  <c r="P15" i="889"/>
  <c r="AC15" i="889" s="1"/>
  <c r="O15" i="889"/>
  <c r="M15" i="889"/>
  <c r="K15" i="889"/>
  <c r="AF14" i="889"/>
  <c r="AB14" i="889"/>
  <c r="Q14" i="889"/>
  <c r="P14" i="889" s="1"/>
  <c r="AC14" i="889" s="1"/>
  <c r="M14" i="889"/>
  <c r="O14" i="889"/>
  <c r="AF13" i="889"/>
  <c r="Q13" i="889"/>
  <c r="AB13" i="889"/>
  <c r="AF12" i="889"/>
  <c r="AB12" i="889"/>
  <c r="Q12" i="889"/>
  <c r="P12" i="889"/>
  <c r="AC12" i="889" s="1"/>
  <c r="O12" i="889"/>
  <c r="M12" i="889"/>
  <c r="K12" i="889"/>
  <c r="AF11" i="889"/>
  <c r="AB11" i="889"/>
  <c r="Q11" i="889"/>
  <c r="P11" i="889"/>
  <c r="AC11" i="889" s="1"/>
  <c r="M11" i="889"/>
  <c r="O11" i="889"/>
  <c r="AF10" i="889"/>
  <c r="Q10" i="889"/>
  <c r="AB10" i="889"/>
  <c r="AF9" i="889"/>
  <c r="AB9" i="889"/>
  <c r="Q9" i="889"/>
  <c r="P9" i="889" s="1"/>
  <c r="AC9" i="889" s="1"/>
  <c r="M9" i="889"/>
  <c r="O9" i="889"/>
  <c r="AF8" i="889"/>
  <c r="AB8" i="889"/>
  <c r="Q8" i="889"/>
  <c r="P8" i="889"/>
  <c r="AC8" i="889" s="1"/>
  <c r="O8" i="889"/>
  <c r="M8" i="889"/>
  <c r="K8" i="889"/>
  <c r="AF7" i="889"/>
  <c r="Q7" i="889"/>
  <c r="L22" i="889"/>
  <c r="O22" i="889" s="1"/>
  <c r="AF6" i="889"/>
  <c r="AB6" i="889"/>
  <c r="Q6" i="889"/>
  <c r="P6" i="889"/>
  <c r="O6" i="889"/>
  <c r="M6" i="889"/>
  <c r="K6" i="889"/>
  <c r="AD22" i="890" l="1"/>
  <c r="AE18" i="890" s="1"/>
  <c r="O19" i="889"/>
  <c r="AD19" i="889"/>
  <c r="AD8" i="889"/>
  <c r="AD21" i="889"/>
  <c r="AD12" i="889"/>
  <c r="AD20" i="889"/>
  <c r="AD17" i="889"/>
  <c r="Q22" i="889"/>
  <c r="AD9" i="889"/>
  <c r="AD16" i="889"/>
  <c r="AD15" i="889"/>
  <c r="AD11" i="889"/>
  <c r="AD14" i="889"/>
  <c r="O7" i="889"/>
  <c r="O10" i="889"/>
  <c r="O13" i="889"/>
  <c r="O18" i="889"/>
  <c r="AC6" i="889"/>
  <c r="P7" i="889"/>
  <c r="AC7" i="889" s="1"/>
  <c r="P10" i="889"/>
  <c r="AC10" i="889" s="1"/>
  <c r="P13" i="889"/>
  <c r="AC13" i="889" s="1"/>
  <c r="AD13" i="889" s="1"/>
  <c r="P18" i="889"/>
  <c r="AC18" i="889" s="1"/>
  <c r="M7" i="889"/>
  <c r="AB7" i="889"/>
  <c r="AB22" i="889" s="1"/>
  <c r="M10" i="889"/>
  <c r="M13" i="889"/>
  <c r="M18" i="889"/>
  <c r="L18" i="888"/>
  <c r="K18" i="888" s="1"/>
  <c r="L14" i="888"/>
  <c r="K14" i="888" s="1"/>
  <c r="L13" i="888"/>
  <c r="L11" i="888"/>
  <c r="K11" i="888" s="1"/>
  <c r="L10" i="888"/>
  <c r="L9" i="888"/>
  <c r="K9" i="888"/>
  <c r="L7" i="888"/>
  <c r="K7" i="888" s="1"/>
  <c r="K19" i="888"/>
  <c r="K17" i="888"/>
  <c r="K16" i="888"/>
  <c r="K13" i="888"/>
  <c r="K10" i="888"/>
  <c r="A74" i="888"/>
  <c r="A75" i="888" s="1"/>
  <c r="A76" i="888" s="1"/>
  <c r="A77" i="888" s="1"/>
  <c r="A78" i="888" s="1"/>
  <c r="A79" i="888" s="1"/>
  <c r="A80" i="888" s="1"/>
  <c r="A81" i="888" s="1"/>
  <c r="AF60" i="888"/>
  <c r="AF62" i="888" s="1"/>
  <c r="AF59" i="888"/>
  <c r="AA21" i="888"/>
  <c r="Z21" i="888"/>
  <c r="Y21" i="888"/>
  <c r="X21" i="888"/>
  <c r="W21" i="888"/>
  <c r="V21" i="888"/>
  <c r="U21" i="888"/>
  <c r="T21" i="888"/>
  <c r="S21" i="888"/>
  <c r="R21" i="888"/>
  <c r="N21" i="888"/>
  <c r="J21" i="888"/>
  <c r="I21" i="888"/>
  <c r="AF20" i="888"/>
  <c r="AB20" i="888"/>
  <c r="Q20" i="888"/>
  <c r="P20" i="888"/>
  <c r="AC20" i="888" s="1"/>
  <c r="AD20" i="888" s="1"/>
  <c r="O20" i="888"/>
  <c r="M20" i="888"/>
  <c r="K20" i="888"/>
  <c r="AF19" i="888"/>
  <c r="Q19" i="888"/>
  <c r="P19" i="888"/>
  <c r="AC19" i="888" s="1"/>
  <c r="O19" i="888"/>
  <c r="AF18" i="888"/>
  <c r="Q18" i="888"/>
  <c r="P18" i="888" s="1"/>
  <c r="AC18" i="888" s="1"/>
  <c r="O18" i="888"/>
  <c r="AB18" i="888"/>
  <c r="AF17" i="888"/>
  <c r="AB17" i="888"/>
  <c r="Q17" i="888"/>
  <c r="P17" i="888" s="1"/>
  <c r="AC17" i="888" s="1"/>
  <c r="O17" i="888"/>
  <c r="M17" i="888"/>
  <c r="AF16" i="888"/>
  <c r="Q16" i="888"/>
  <c r="M16" i="888"/>
  <c r="AF15" i="888"/>
  <c r="AB15" i="888"/>
  <c r="Q15" i="888"/>
  <c r="P15" i="888"/>
  <c r="AC15" i="888" s="1"/>
  <c r="O15" i="888"/>
  <c r="M15" i="888"/>
  <c r="K15" i="888"/>
  <c r="AF14" i="888"/>
  <c r="AB14" i="888"/>
  <c r="Q14" i="888"/>
  <c r="P14" i="888" s="1"/>
  <c r="AC14" i="888" s="1"/>
  <c r="O14" i="888"/>
  <c r="M14" i="888"/>
  <c r="AF13" i="888"/>
  <c r="Q13" i="888"/>
  <c r="P13" i="888" s="1"/>
  <c r="AC13" i="888" s="1"/>
  <c r="AF12" i="888"/>
  <c r="AB12" i="888"/>
  <c r="Q12" i="888"/>
  <c r="P12" i="888"/>
  <c r="AC12" i="888" s="1"/>
  <c r="O12" i="888"/>
  <c r="M12" i="888"/>
  <c r="K12" i="888"/>
  <c r="AF11" i="888"/>
  <c r="AB11" i="888"/>
  <c r="Q11" i="888"/>
  <c r="P11" i="888" s="1"/>
  <c r="AC11" i="888" s="1"/>
  <c r="O11" i="888"/>
  <c r="M11" i="888"/>
  <c r="AF10" i="888"/>
  <c r="Q10" i="888"/>
  <c r="P10" i="888" s="1"/>
  <c r="AC10" i="888" s="1"/>
  <c r="O10" i="888"/>
  <c r="AF9" i="888"/>
  <c r="Q9" i="888"/>
  <c r="P9" i="888"/>
  <c r="AC9" i="888" s="1"/>
  <c r="O9" i="888"/>
  <c r="M9" i="888"/>
  <c r="AB9" i="888"/>
  <c r="AF8" i="888"/>
  <c r="AB8" i="888"/>
  <c r="Q8" i="888"/>
  <c r="P8" i="888"/>
  <c r="AC8" i="888" s="1"/>
  <c r="O8" i="888"/>
  <c r="M8" i="888"/>
  <c r="K8" i="888"/>
  <c r="AF7" i="888"/>
  <c r="Q7" i="888"/>
  <c r="P7" i="888" s="1"/>
  <c r="AC7" i="888" s="1"/>
  <c r="L21" i="888"/>
  <c r="O21" i="888" s="1"/>
  <c r="AF6" i="888"/>
  <c r="AC6" i="888"/>
  <c r="AB6" i="888"/>
  <c r="Q6" i="888"/>
  <c r="P6" i="888"/>
  <c r="O6" i="888"/>
  <c r="M6" i="888"/>
  <c r="K6" i="888"/>
  <c r="AE20" i="890" l="1"/>
  <c r="AE17" i="890"/>
  <c r="AE14" i="890"/>
  <c r="AE11" i="890"/>
  <c r="AE8" i="890"/>
  <c r="AE6" i="890"/>
  <c r="AE7" i="890"/>
  <c r="AE21" i="890"/>
  <c r="AE15" i="890"/>
  <c r="AE10" i="890"/>
  <c r="AE19" i="890"/>
  <c r="AE16" i="890"/>
  <c r="AE13" i="890"/>
  <c r="AE9" i="890"/>
  <c r="AE12" i="890"/>
  <c r="M22" i="889"/>
  <c r="P22" i="889"/>
  <c r="AD18" i="889"/>
  <c r="K22" i="889"/>
  <c r="AD7" i="889"/>
  <c r="AD10" i="889"/>
  <c r="AC22" i="889"/>
  <c r="AD6" i="889"/>
  <c r="AD14" i="888"/>
  <c r="AD9" i="888"/>
  <c r="Q21" i="888"/>
  <c r="AD8" i="888"/>
  <c r="AD15" i="888"/>
  <c r="AD11" i="888"/>
  <c r="AD12" i="888"/>
  <c r="AD17" i="888"/>
  <c r="AD18" i="888"/>
  <c r="M13" i="888"/>
  <c r="M7" i="888"/>
  <c r="M21" i="888" s="1"/>
  <c r="AB7" i="888"/>
  <c r="M10" i="888"/>
  <c r="AB10" i="888"/>
  <c r="AD10" i="888" s="1"/>
  <c r="O13" i="888"/>
  <c r="O16" i="888"/>
  <c r="M19" i="888"/>
  <c r="AB19" i="888"/>
  <c r="AD19" i="888" s="1"/>
  <c r="AD6" i="888"/>
  <c r="AB13" i="888"/>
  <c r="AB16" i="888"/>
  <c r="O7" i="888"/>
  <c r="K21" i="888"/>
  <c r="P16" i="888"/>
  <c r="AC16" i="888" s="1"/>
  <c r="M18" i="888"/>
  <c r="Z18" i="16"/>
  <c r="Z17" i="16"/>
  <c r="Z16" i="16"/>
  <c r="Z15" i="16"/>
  <c r="Z14" i="16"/>
  <c r="Z13" i="16"/>
  <c r="Z12" i="16"/>
  <c r="Z11" i="16"/>
  <c r="Z10" i="16"/>
  <c r="Z9" i="16"/>
  <c r="Z8" i="16"/>
  <c r="Z7" i="16"/>
  <c r="Z6" i="16"/>
  <c r="Z5" i="16"/>
  <c r="Z4" i="16"/>
  <c r="Z3" i="16"/>
  <c r="L19" i="887"/>
  <c r="K19" i="887"/>
  <c r="L18" i="887"/>
  <c r="L17" i="887"/>
  <c r="K17" i="887" s="1"/>
  <c r="L16" i="887"/>
  <c r="K16" i="887" s="1"/>
  <c r="L14" i="887"/>
  <c r="K14" i="887" s="1"/>
  <c r="L13" i="887"/>
  <c r="K13" i="887" s="1"/>
  <c r="L10" i="887"/>
  <c r="K10" i="887" s="1"/>
  <c r="L9" i="887"/>
  <c r="K9" i="887" s="1"/>
  <c r="L7" i="887"/>
  <c r="K7" i="887" s="1"/>
  <c r="K18" i="887"/>
  <c r="K11" i="887"/>
  <c r="A74" i="887"/>
  <c r="A75" i="887" s="1"/>
  <c r="A76" i="887" s="1"/>
  <c r="A77" i="887" s="1"/>
  <c r="A78" i="887" s="1"/>
  <c r="A79" i="887" s="1"/>
  <c r="A80" i="887" s="1"/>
  <c r="A81" i="887" s="1"/>
  <c r="AF60" i="887"/>
  <c r="AF59" i="887"/>
  <c r="AA21" i="887"/>
  <c r="Z21" i="887"/>
  <c r="Y21" i="887"/>
  <c r="X21" i="887"/>
  <c r="W21" i="887"/>
  <c r="V21" i="887"/>
  <c r="U21" i="887"/>
  <c r="T21" i="887"/>
  <c r="S21" i="887"/>
  <c r="R21" i="887"/>
  <c r="N21" i="887"/>
  <c r="J21" i="887"/>
  <c r="I21" i="887"/>
  <c r="AF20" i="887"/>
  <c r="AB20" i="887"/>
  <c r="Q20" i="887"/>
  <c r="P20" i="887"/>
  <c r="AC20" i="887" s="1"/>
  <c r="O20" i="887"/>
  <c r="M20" i="887"/>
  <c r="K20" i="887"/>
  <c r="AF19" i="887"/>
  <c r="AB19" i="887"/>
  <c r="Q19" i="887"/>
  <c r="P19" i="887" s="1"/>
  <c r="AC19" i="887" s="1"/>
  <c r="O19" i="887"/>
  <c r="M19" i="887"/>
  <c r="AF18" i="887"/>
  <c r="Q18" i="887"/>
  <c r="P18" i="887" s="1"/>
  <c r="AC18" i="887" s="1"/>
  <c r="O18" i="887"/>
  <c r="AB18" i="887"/>
  <c r="AF17" i="887"/>
  <c r="AB17" i="887"/>
  <c r="Q17" i="887"/>
  <c r="P17" i="887" s="1"/>
  <c r="AC17" i="887" s="1"/>
  <c r="O17" i="887"/>
  <c r="M17" i="887"/>
  <c r="AF16" i="887"/>
  <c r="Q16" i="887"/>
  <c r="AB16" i="887"/>
  <c r="AF15" i="887"/>
  <c r="AB15" i="887"/>
  <c r="Q15" i="887"/>
  <c r="P15" i="887"/>
  <c r="AC15" i="887" s="1"/>
  <c r="O15" i="887"/>
  <c r="M15" i="887"/>
  <c r="K15" i="887"/>
  <c r="AF14" i="887"/>
  <c r="AB14" i="887"/>
  <c r="Q14" i="887"/>
  <c r="M14" i="887"/>
  <c r="O14" i="887"/>
  <c r="AF13" i="887"/>
  <c r="Q13" i="887"/>
  <c r="AB13" i="887"/>
  <c r="AF12" i="887"/>
  <c r="AB12" i="887"/>
  <c r="Q12" i="887"/>
  <c r="P12" i="887"/>
  <c r="AC12" i="887" s="1"/>
  <c r="O12" i="887"/>
  <c r="M12" i="887"/>
  <c r="K12" i="887"/>
  <c r="AF11" i="887"/>
  <c r="Q11" i="887"/>
  <c r="O11" i="887"/>
  <c r="AF10" i="887"/>
  <c r="AB10" i="887"/>
  <c r="Q10" i="887"/>
  <c r="P10" i="887" s="1"/>
  <c r="AC10" i="887" s="1"/>
  <c r="O10" i="887"/>
  <c r="M10" i="887"/>
  <c r="AF9" i="887"/>
  <c r="Q9" i="887"/>
  <c r="AF8" i="887"/>
  <c r="AB8" i="887"/>
  <c r="Q8" i="887"/>
  <c r="P8" i="887"/>
  <c r="AC8" i="887" s="1"/>
  <c r="O8" i="887"/>
  <c r="M8" i="887"/>
  <c r="K8" i="887"/>
  <c r="AF7" i="887"/>
  <c r="AB7" i="887"/>
  <c r="Q7" i="887"/>
  <c r="P7" i="887" s="1"/>
  <c r="AC7" i="887" s="1"/>
  <c r="O7" i="887"/>
  <c r="M7" i="887"/>
  <c r="AF6" i="887"/>
  <c r="AB6" i="887"/>
  <c r="Q6" i="887"/>
  <c r="P6" i="887"/>
  <c r="AC6" i="887" s="1"/>
  <c r="O6" i="887"/>
  <c r="M6" i="887"/>
  <c r="K6" i="887"/>
  <c r="AD22" i="889" l="1"/>
  <c r="AE19" i="889" s="1"/>
  <c r="AD13" i="888"/>
  <c r="AD7" i="888"/>
  <c r="AD16" i="888"/>
  <c r="P21" i="888"/>
  <c r="AB21" i="888"/>
  <c r="AC21" i="888"/>
  <c r="AD12" i="887"/>
  <c r="O9" i="887"/>
  <c r="AF62" i="887"/>
  <c r="AD17" i="887"/>
  <c r="Q21" i="887"/>
  <c r="AD7" i="887"/>
  <c r="AD8" i="887"/>
  <c r="AD15" i="887"/>
  <c r="AD20" i="887"/>
  <c r="AD10" i="887"/>
  <c r="AD19" i="887"/>
  <c r="AD6" i="887"/>
  <c r="AD18" i="887"/>
  <c r="M9" i="887"/>
  <c r="K21" i="887"/>
  <c r="P9" i="887"/>
  <c r="AC9" i="887" s="1"/>
  <c r="P11" i="887"/>
  <c r="AC11" i="887" s="1"/>
  <c r="O13" i="887"/>
  <c r="P14" i="887"/>
  <c r="AC14" i="887" s="1"/>
  <c r="AD14" i="887" s="1"/>
  <c r="O16" i="887"/>
  <c r="M18" i="887"/>
  <c r="P13" i="887"/>
  <c r="AC13" i="887" s="1"/>
  <c r="AD13" i="887" s="1"/>
  <c r="P16" i="887"/>
  <c r="AC16" i="887" s="1"/>
  <c r="L21" i="887"/>
  <c r="O21" i="887" s="1"/>
  <c r="AB9" i="887"/>
  <c r="M11" i="887"/>
  <c r="AB11" i="887"/>
  <c r="M13" i="887"/>
  <c r="M16" i="887"/>
  <c r="Y18" i="16"/>
  <c r="Y17" i="16"/>
  <c r="Y16" i="16"/>
  <c r="Y15" i="16"/>
  <c r="Y14" i="16"/>
  <c r="Y13" i="16"/>
  <c r="Y12" i="16"/>
  <c r="Y11" i="16"/>
  <c r="Y10" i="16"/>
  <c r="Y9" i="16"/>
  <c r="Y8" i="16"/>
  <c r="Y7" i="16"/>
  <c r="Y6" i="16"/>
  <c r="Y5" i="16"/>
  <c r="Y4" i="16"/>
  <c r="Y3" i="16"/>
  <c r="K21" i="886"/>
  <c r="AF21" i="886"/>
  <c r="AB21" i="886"/>
  <c r="Q21" i="886"/>
  <c r="P21" i="886" s="1"/>
  <c r="AC21" i="886" s="1"/>
  <c r="O21" i="886"/>
  <c r="M21" i="886"/>
  <c r="L19" i="886"/>
  <c r="L17" i="886"/>
  <c r="K17" i="886"/>
  <c r="L15" i="886"/>
  <c r="K15" i="886" s="1"/>
  <c r="L14" i="886"/>
  <c r="K14" i="886" s="1"/>
  <c r="L12" i="886"/>
  <c r="M12" i="886" s="1"/>
  <c r="K12" i="886"/>
  <c r="AF12" i="886"/>
  <c r="AB12" i="886"/>
  <c r="Q12" i="886"/>
  <c r="P12" i="886" s="1"/>
  <c r="AC12" i="886" s="1"/>
  <c r="O12" i="886"/>
  <c r="L10" i="886"/>
  <c r="K10" i="886"/>
  <c r="L9" i="886"/>
  <c r="AF9" i="886"/>
  <c r="AB9" i="886"/>
  <c r="Q9" i="886"/>
  <c r="O9" i="886"/>
  <c r="M9" i="886"/>
  <c r="K9" i="886"/>
  <c r="AE17" i="889" l="1"/>
  <c r="AE15" i="889"/>
  <c r="AE12" i="889"/>
  <c r="AE9" i="889"/>
  <c r="AE6" i="889"/>
  <c r="AE18" i="889"/>
  <c r="AE13" i="889"/>
  <c r="AE10" i="889"/>
  <c r="AE21" i="889"/>
  <c r="AE16" i="889"/>
  <c r="AE14" i="889"/>
  <c r="AE11" i="889"/>
  <c r="AE20" i="889"/>
  <c r="AE8" i="889"/>
  <c r="AE7" i="889"/>
  <c r="AD21" i="888"/>
  <c r="AE13" i="888" s="1"/>
  <c r="AB21" i="887"/>
  <c r="AD11" i="887"/>
  <c r="M21" i="887"/>
  <c r="AD16" i="887"/>
  <c r="P21" i="887"/>
  <c r="AC21" i="887"/>
  <c r="AD9" i="887"/>
  <c r="AD21" i="886"/>
  <c r="AD12" i="886"/>
  <c r="P9" i="886"/>
  <c r="AC9" i="886" s="1"/>
  <c r="AD9" i="886" s="1"/>
  <c r="L7" i="886"/>
  <c r="K7" i="886" s="1"/>
  <c r="K20" i="886"/>
  <c r="K11" i="886"/>
  <c r="A76" i="886"/>
  <c r="A77" i="886" s="1"/>
  <c r="A78" i="886" s="1"/>
  <c r="A79" i="886" s="1"/>
  <c r="A80" i="886" s="1"/>
  <c r="A81" i="886" s="1"/>
  <c r="A82" i="886" s="1"/>
  <c r="A83" i="886" s="1"/>
  <c r="AF62" i="886"/>
  <c r="AF64" i="886" s="1"/>
  <c r="AF61" i="886"/>
  <c r="AA23" i="886"/>
  <c r="Z23" i="886"/>
  <c r="Y23" i="886"/>
  <c r="X23" i="886"/>
  <c r="W23" i="886"/>
  <c r="V23" i="886"/>
  <c r="U23" i="886"/>
  <c r="T23" i="886"/>
  <c r="S23" i="886"/>
  <c r="R23" i="886"/>
  <c r="N23" i="886"/>
  <c r="J23" i="886"/>
  <c r="I23" i="886"/>
  <c r="AF22" i="886"/>
  <c r="AB22" i="886"/>
  <c r="Q22" i="886"/>
  <c r="P22" i="886"/>
  <c r="AC22" i="886" s="1"/>
  <c r="O22" i="886"/>
  <c r="M22" i="886"/>
  <c r="K22" i="886"/>
  <c r="AF20" i="886"/>
  <c r="Q20" i="886"/>
  <c r="P20" i="886" s="1"/>
  <c r="AC20" i="886" s="1"/>
  <c r="O20" i="886"/>
  <c r="AF19" i="886"/>
  <c r="AB19" i="886"/>
  <c r="Q19" i="886"/>
  <c r="P19" i="886" s="1"/>
  <c r="AC19" i="886" s="1"/>
  <c r="O19" i="886"/>
  <c r="M19" i="886"/>
  <c r="K19" i="886"/>
  <c r="AF18" i="886"/>
  <c r="AB18" i="886"/>
  <c r="Q18" i="886"/>
  <c r="P18" i="886"/>
  <c r="AC18" i="886" s="1"/>
  <c r="O18" i="886"/>
  <c r="M18" i="886"/>
  <c r="K18" i="886"/>
  <c r="AF17" i="886"/>
  <c r="Q17" i="886"/>
  <c r="P17" i="886" s="1"/>
  <c r="AC17" i="886" s="1"/>
  <c r="O17" i="886"/>
  <c r="AB17" i="886"/>
  <c r="AF16" i="886"/>
  <c r="AB16" i="886"/>
  <c r="Q16" i="886"/>
  <c r="P16" i="886"/>
  <c r="AC16" i="886" s="1"/>
  <c r="O16" i="886"/>
  <c r="M16" i="886"/>
  <c r="K16" i="886"/>
  <c r="AF15" i="886"/>
  <c r="AB15" i="886"/>
  <c r="Q15" i="886"/>
  <c r="P15" i="886" s="1"/>
  <c r="AC15" i="886" s="1"/>
  <c r="O15" i="886"/>
  <c r="M15" i="886"/>
  <c r="AF14" i="886"/>
  <c r="AB14" i="886"/>
  <c r="Q14" i="886"/>
  <c r="P14" i="886" s="1"/>
  <c r="AC14" i="886" s="1"/>
  <c r="O14" i="886"/>
  <c r="M14" i="886"/>
  <c r="AF13" i="886"/>
  <c r="AB13" i="886"/>
  <c r="Q13" i="886"/>
  <c r="P13" i="886"/>
  <c r="AC13" i="886" s="1"/>
  <c r="O13" i="886"/>
  <c r="M13" i="886"/>
  <c r="K13" i="886"/>
  <c r="AF11" i="886"/>
  <c r="AB11" i="886"/>
  <c r="Q11" i="886"/>
  <c r="P11" i="886" s="1"/>
  <c r="AC11" i="886" s="1"/>
  <c r="O11" i="886"/>
  <c r="M11" i="886"/>
  <c r="AF10" i="886"/>
  <c r="Q10" i="886"/>
  <c r="AB10" i="886"/>
  <c r="AF8" i="886"/>
  <c r="AB8" i="886"/>
  <c r="Q8" i="886"/>
  <c r="P8" i="886"/>
  <c r="AC8" i="886" s="1"/>
  <c r="O8" i="886"/>
  <c r="M8" i="886"/>
  <c r="K8" i="886"/>
  <c r="AF7" i="886"/>
  <c r="Q7" i="886"/>
  <c r="AB7" i="886"/>
  <c r="AF6" i="886"/>
  <c r="AB6" i="886"/>
  <c r="Q6" i="886"/>
  <c r="P6" i="886"/>
  <c r="O6" i="886"/>
  <c r="M6" i="886"/>
  <c r="K6" i="886"/>
  <c r="X18" i="16"/>
  <c r="X17" i="16"/>
  <c r="X16" i="16"/>
  <c r="X15" i="16"/>
  <c r="X14" i="16"/>
  <c r="X13" i="16"/>
  <c r="X12" i="16"/>
  <c r="X11" i="16"/>
  <c r="X10" i="16"/>
  <c r="X9" i="16"/>
  <c r="X8" i="16"/>
  <c r="X7" i="16"/>
  <c r="X6" i="16"/>
  <c r="X5" i="16"/>
  <c r="X4" i="16"/>
  <c r="X3" i="16"/>
  <c r="AE19" i="888" l="1"/>
  <c r="AE17" i="888"/>
  <c r="AE6" i="888"/>
  <c r="AE7" i="888"/>
  <c r="AE10" i="888"/>
  <c r="AE18" i="888"/>
  <c r="AE11" i="888"/>
  <c r="AE16" i="888"/>
  <c r="AE9" i="888"/>
  <c r="AE8" i="888"/>
  <c r="AE20" i="888"/>
  <c r="AE15" i="888"/>
  <c r="AE12" i="888"/>
  <c r="AE14" i="888"/>
  <c r="AD21" i="887"/>
  <c r="AE18" i="887" s="1"/>
  <c r="AE17" i="887"/>
  <c r="AD8" i="886"/>
  <c r="AD13" i="886"/>
  <c r="AD14" i="886"/>
  <c r="Q23" i="886"/>
  <c r="AD11" i="886"/>
  <c r="AD16" i="886"/>
  <c r="AD15" i="886"/>
  <c r="AD18" i="886"/>
  <c r="AD19" i="886"/>
  <c r="AD22" i="886"/>
  <c r="AD17" i="886"/>
  <c r="O7" i="886"/>
  <c r="O10" i="886"/>
  <c r="M20" i="886"/>
  <c r="AB20" i="886"/>
  <c r="AD20" i="886" s="1"/>
  <c r="AC6" i="886"/>
  <c r="P7" i="886"/>
  <c r="AC7" i="886" s="1"/>
  <c r="K23" i="886"/>
  <c r="P10" i="886"/>
  <c r="AC10" i="886" s="1"/>
  <c r="M17" i="886"/>
  <c r="L23" i="886"/>
  <c r="O23" i="886" s="1"/>
  <c r="M7" i="886"/>
  <c r="M10" i="886"/>
  <c r="AE19" i="887" l="1"/>
  <c r="AE20" i="887"/>
  <c r="AE11" i="887"/>
  <c r="AE6" i="887"/>
  <c r="AE16" i="887"/>
  <c r="AE9" i="887"/>
  <c r="AE12" i="887"/>
  <c r="AE7" i="887"/>
  <c r="AE14" i="887"/>
  <c r="AE8" i="887"/>
  <c r="AE15" i="887"/>
  <c r="AE10" i="887"/>
  <c r="AE13" i="887"/>
  <c r="M23" i="886"/>
  <c r="AD10" i="886"/>
  <c r="AD7" i="886"/>
  <c r="P23" i="886"/>
  <c r="AB23" i="886"/>
  <c r="AC23" i="886"/>
  <c r="AD6" i="886"/>
  <c r="AD23" i="886" l="1"/>
  <c r="AE21" i="886" s="1"/>
  <c r="AE7" i="886" l="1"/>
  <c r="AE12" i="886"/>
  <c r="AE11" i="886"/>
  <c r="AE15" i="886"/>
  <c r="AE17" i="886"/>
  <c r="AE19" i="886"/>
  <c r="AE20" i="886"/>
  <c r="AE16" i="886"/>
  <c r="AE22" i="886"/>
  <c r="AE13" i="886"/>
  <c r="AE9" i="886"/>
  <c r="AE10" i="886"/>
  <c r="AE8" i="886"/>
  <c r="AE14" i="886"/>
  <c r="AE18" i="886"/>
  <c r="AE6" i="886"/>
  <c r="L19" i="885"/>
  <c r="L16" i="885"/>
  <c r="K16" i="885" s="1"/>
  <c r="L11" i="885"/>
  <c r="K11" i="885"/>
  <c r="L10" i="885"/>
  <c r="L9" i="885"/>
  <c r="L7" i="885"/>
  <c r="K19" i="885" l="1"/>
  <c r="K17" i="885"/>
  <c r="K14" i="885"/>
  <c r="K10" i="885"/>
  <c r="K9" i="885"/>
  <c r="K7" i="885"/>
  <c r="A74" i="885"/>
  <c r="A75" i="885" s="1"/>
  <c r="A76" i="885" s="1"/>
  <c r="A77" i="885" s="1"/>
  <c r="A78" i="885" s="1"/>
  <c r="A79" i="885" s="1"/>
  <c r="A80" i="885" s="1"/>
  <c r="A81" i="885" s="1"/>
  <c r="AF60" i="885"/>
  <c r="AF62" i="885" s="1"/>
  <c r="AF59" i="885"/>
  <c r="AA21" i="885"/>
  <c r="Z21" i="885"/>
  <c r="Y21" i="885"/>
  <c r="X21" i="885"/>
  <c r="W21" i="885"/>
  <c r="V21" i="885"/>
  <c r="U21" i="885"/>
  <c r="T21" i="885"/>
  <c r="S21" i="885"/>
  <c r="R21" i="885"/>
  <c r="N21" i="885"/>
  <c r="J21" i="885"/>
  <c r="I21" i="885"/>
  <c r="AF20" i="885"/>
  <c r="AB20" i="885"/>
  <c r="Q20" i="885"/>
  <c r="P20" i="885"/>
  <c r="AC20" i="885" s="1"/>
  <c r="AD20" i="885" s="1"/>
  <c r="O20" i="885"/>
  <c r="M20" i="885"/>
  <c r="K20" i="885"/>
  <c r="AF19" i="885"/>
  <c r="Q19" i="885"/>
  <c r="P19" i="885" s="1"/>
  <c r="AC19" i="885" s="1"/>
  <c r="AF18" i="885"/>
  <c r="AB18" i="885"/>
  <c r="Q18" i="885"/>
  <c r="P18" i="885"/>
  <c r="AC18" i="885" s="1"/>
  <c r="AD18" i="885" s="1"/>
  <c r="O18" i="885"/>
  <c r="M18" i="885"/>
  <c r="K18" i="885"/>
  <c r="AF17" i="885"/>
  <c r="AB17" i="885"/>
  <c r="Q17" i="885"/>
  <c r="P17" i="885" s="1"/>
  <c r="AC17" i="885" s="1"/>
  <c r="AD17" i="885" s="1"/>
  <c r="O17" i="885"/>
  <c r="M17" i="885"/>
  <c r="AF16" i="885"/>
  <c r="AB16" i="885"/>
  <c r="Q16" i="885"/>
  <c r="P16" i="885" s="1"/>
  <c r="AC16" i="885" s="1"/>
  <c r="O16" i="885"/>
  <c r="M16" i="885"/>
  <c r="AF15" i="885"/>
  <c r="AB15" i="885"/>
  <c r="Q15" i="885"/>
  <c r="P15" i="885"/>
  <c r="AC15" i="885" s="1"/>
  <c r="O15" i="885"/>
  <c r="M15" i="885"/>
  <c r="K15" i="885"/>
  <c r="AF14" i="885"/>
  <c r="Q14" i="885"/>
  <c r="P14" i="885"/>
  <c r="AC14" i="885" s="1"/>
  <c r="O14" i="885"/>
  <c r="AB14" i="885"/>
  <c r="AF13" i="885"/>
  <c r="AB13" i="885"/>
  <c r="Q13" i="885"/>
  <c r="P13" i="885" s="1"/>
  <c r="AC13" i="885" s="1"/>
  <c r="O13" i="885"/>
  <c r="M13" i="885"/>
  <c r="K13" i="885"/>
  <c r="AF12" i="885"/>
  <c r="AB12" i="885"/>
  <c r="Q12" i="885"/>
  <c r="P12" i="885"/>
  <c r="AC12" i="885" s="1"/>
  <c r="O12" i="885"/>
  <c r="M12" i="885"/>
  <c r="K12" i="885"/>
  <c r="AF11" i="885"/>
  <c r="AB11" i="885"/>
  <c r="Q11" i="885"/>
  <c r="P11" i="885" s="1"/>
  <c r="AC11" i="885" s="1"/>
  <c r="O11" i="885"/>
  <c r="M11" i="885"/>
  <c r="AF10" i="885"/>
  <c r="Q10" i="885"/>
  <c r="P10" i="885"/>
  <c r="AC10" i="885" s="1"/>
  <c r="O10" i="885"/>
  <c r="AF9" i="885"/>
  <c r="AB9" i="885"/>
  <c r="Q9" i="885"/>
  <c r="P9" i="885" s="1"/>
  <c r="AC9" i="885" s="1"/>
  <c r="O9" i="885"/>
  <c r="M9" i="885"/>
  <c r="AF8" i="885"/>
  <c r="AB8" i="885"/>
  <c r="Q8" i="885"/>
  <c r="P8" i="885"/>
  <c r="AC8" i="885" s="1"/>
  <c r="O8" i="885"/>
  <c r="M8" i="885"/>
  <c r="K8" i="885"/>
  <c r="AF7" i="885"/>
  <c r="Q7" i="885"/>
  <c r="P7" i="885"/>
  <c r="AC7" i="885" s="1"/>
  <c r="O7" i="885"/>
  <c r="L21" i="885"/>
  <c r="O21" i="885" s="1"/>
  <c r="AF6" i="885"/>
  <c r="AC6" i="885"/>
  <c r="AB6" i="885"/>
  <c r="Q6" i="885"/>
  <c r="P6" i="885"/>
  <c r="O6" i="885"/>
  <c r="M6" i="885"/>
  <c r="K6" i="885"/>
  <c r="W18" i="16"/>
  <c r="W17" i="16"/>
  <c r="W16" i="16"/>
  <c r="W15" i="16"/>
  <c r="W14" i="16"/>
  <c r="W13" i="16"/>
  <c r="W12" i="16"/>
  <c r="W11" i="16"/>
  <c r="W10" i="16"/>
  <c r="W9" i="16"/>
  <c r="W8" i="16"/>
  <c r="W7" i="16"/>
  <c r="W6" i="16"/>
  <c r="W5" i="16"/>
  <c r="W4" i="16"/>
  <c r="W3" i="16"/>
  <c r="L19" i="884"/>
  <c r="L14" i="884"/>
  <c r="K13" i="884"/>
  <c r="L10" i="884"/>
  <c r="K9" i="884"/>
  <c r="L7" i="884"/>
  <c r="Q21" i="885" l="1"/>
  <c r="AD11" i="885"/>
  <c r="AD8" i="885"/>
  <c r="AC21" i="885"/>
  <c r="AD9" i="885"/>
  <c r="AD12" i="885"/>
  <c r="P21" i="885"/>
  <c r="AD15" i="885"/>
  <c r="AD13" i="885"/>
  <c r="AD16" i="885"/>
  <c r="AD14" i="885"/>
  <c r="AD6" i="885"/>
  <c r="M10" i="885"/>
  <c r="AB10" i="885"/>
  <c r="AD10" i="885" s="1"/>
  <c r="M19" i="885"/>
  <c r="AB19" i="885"/>
  <c r="AD19" i="885" s="1"/>
  <c r="M7" i="885"/>
  <c r="AB7" i="885"/>
  <c r="AB21" i="885" s="1"/>
  <c r="M14" i="885"/>
  <c r="O19" i="885"/>
  <c r="K21" i="885"/>
  <c r="K19" i="884"/>
  <c r="K17" i="884"/>
  <c r="K16" i="884"/>
  <c r="K14" i="884"/>
  <c r="K11" i="884"/>
  <c r="K10" i="884"/>
  <c r="K7" i="884"/>
  <c r="A74" i="884"/>
  <c r="A75" i="884" s="1"/>
  <c r="A76" i="884" s="1"/>
  <c r="A77" i="884" s="1"/>
  <c r="A78" i="884" s="1"/>
  <c r="A79" i="884" s="1"/>
  <c r="A80" i="884" s="1"/>
  <c r="A81" i="884" s="1"/>
  <c r="AF60" i="884"/>
  <c r="AF59" i="884"/>
  <c r="AF62" i="884" s="1"/>
  <c r="AA21" i="884"/>
  <c r="Z21" i="884"/>
  <c r="Y21" i="884"/>
  <c r="X21" i="884"/>
  <c r="W21" i="884"/>
  <c r="V21" i="884"/>
  <c r="U21" i="884"/>
  <c r="T21" i="884"/>
  <c r="S21" i="884"/>
  <c r="R21" i="884"/>
  <c r="N21" i="884"/>
  <c r="J21" i="884"/>
  <c r="I21" i="884"/>
  <c r="AF20" i="884"/>
  <c r="AB20" i="884"/>
  <c r="Q20" i="884"/>
  <c r="P20" i="884"/>
  <c r="AC20" i="884" s="1"/>
  <c r="O20" i="884"/>
  <c r="M20" i="884"/>
  <c r="K20" i="884"/>
  <c r="AF19" i="884"/>
  <c r="Q19" i="884"/>
  <c r="P19" i="884" s="1"/>
  <c r="AC19" i="884" s="1"/>
  <c r="AF18" i="884"/>
  <c r="AB18" i="884"/>
  <c r="Q18" i="884"/>
  <c r="P18" i="884"/>
  <c r="AC18" i="884" s="1"/>
  <c r="O18" i="884"/>
  <c r="M18" i="884"/>
  <c r="K18" i="884"/>
  <c r="AF17" i="884"/>
  <c r="AB17" i="884"/>
  <c r="Q17" i="884"/>
  <c r="P17" i="884" s="1"/>
  <c r="AC17" i="884" s="1"/>
  <c r="M17" i="884"/>
  <c r="AF16" i="884"/>
  <c r="Q16" i="884"/>
  <c r="P16" i="884" s="1"/>
  <c r="AC16" i="884" s="1"/>
  <c r="AF15" i="884"/>
  <c r="AB15" i="884"/>
  <c r="Q15" i="884"/>
  <c r="P15" i="884"/>
  <c r="AC15" i="884" s="1"/>
  <c r="O15" i="884"/>
  <c r="M15" i="884"/>
  <c r="K15" i="884"/>
  <c r="AF14" i="884"/>
  <c r="AB14" i="884"/>
  <c r="Q14" i="884"/>
  <c r="P14" i="884" s="1"/>
  <c r="AC14" i="884" s="1"/>
  <c r="O14" i="884"/>
  <c r="M14" i="884"/>
  <c r="AF13" i="884"/>
  <c r="AB13" i="884"/>
  <c r="Q13" i="884"/>
  <c r="P13" i="884" s="1"/>
  <c r="AC13" i="884" s="1"/>
  <c r="O13" i="884"/>
  <c r="M13" i="884"/>
  <c r="AF12" i="884"/>
  <c r="AB12" i="884"/>
  <c r="Q12" i="884"/>
  <c r="P12" i="884"/>
  <c r="AC12" i="884" s="1"/>
  <c r="O12" i="884"/>
  <c r="M12" i="884"/>
  <c r="K12" i="884"/>
  <c r="AF11" i="884"/>
  <c r="AB11" i="884"/>
  <c r="Q11" i="884"/>
  <c r="P11" i="884" s="1"/>
  <c r="AC11" i="884" s="1"/>
  <c r="O11" i="884"/>
  <c r="M11" i="884"/>
  <c r="AF10" i="884"/>
  <c r="AB10" i="884"/>
  <c r="Q10" i="884"/>
  <c r="P10" i="884" s="1"/>
  <c r="AC10" i="884" s="1"/>
  <c r="O10" i="884"/>
  <c r="M10" i="884"/>
  <c r="AF9" i="884"/>
  <c r="AB9" i="884"/>
  <c r="Q9" i="884"/>
  <c r="P9" i="884" s="1"/>
  <c r="AC9" i="884" s="1"/>
  <c r="O9" i="884"/>
  <c r="M9" i="884"/>
  <c r="AF8" i="884"/>
  <c r="AB8" i="884"/>
  <c r="Q8" i="884"/>
  <c r="P8" i="884"/>
  <c r="AC8" i="884" s="1"/>
  <c r="O8" i="884"/>
  <c r="M8" i="884"/>
  <c r="K8" i="884"/>
  <c r="AF7" i="884"/>
  <c r="AB7" i="884"/>
  <c r="Q7" i="884"/>
  <c r="M7" i="884"/>
  <c r="L21" i="884"/>
  <c r="O21" i="884" s="1"/>
  <c r="AF6" i="884"/>
  <c r="AB6" i="884"/>
  <c r="Q6" i="884"/>
  <c r="Q21" i="884" s="1"/>
  <c r="P6" i="884"/>
  <c r="O6" i="884"/>
  <c r="M6" i="884"/>
  <c r="K6" i="884"/>
  <c r="V18" i="16"/>
  <c r="V17" i="16"/>
  <c r="V16" i="16"/>
  <c r="V15" i="16"/>
  <c r="V14" i="16"/>
  <c r="V13" i="16"/>
  <c r="V12" i="16"/>
  <c r="V11" i="16"/>
  <c r="V10" i="16"/>
  <c r="V9" i="16"/>
  <c r="V8" i="16"/>
  <c r="V7" i="16"/>
  <c r="V6" i="16"/>
  <c r="V5" i="16"/>
  <c r="V4" i="16"/>
  <c r="V3" i="16"/>
  <c r="K11" i="883"/>
  <c r="AF11" i="883"/>
  <c r="Q11" i="883"/>
  <c r="P11" i="883" s="1"/>
  <c r="AC11" i="883" s="1"/>
  <c r="M11" i="883"/>
  <c r="L21" i="883"/>
  <c r="K20" i="883"/>
  <c r="L19" i="883"/>
  <c r="K19" i="883" s="1"/>
  <c r="L18" i="883"/>
  <c r="K16" i="883"/>
  <c r="L15" i="883"/>
  <c r="K15" i="883" s="1"/>
  <c r="AF15" i="883"/>
  <c r="AB15" i="883"/>
  <c r="Q15" i="883"/>
  <c r="P15" i="883" s="1"/>
  <c r="AC15" i="883" s="1"/>
  <c r="O15" i="883"/>
  <c r="M15" i="883"/>
  <c r="L10" i="883"/>
  <c r="K10" i="883" s="1"/>
  <c r="K9" i="883"/>
  <c r="L7" i="883"/>
  <c r="M21" i="885" l="1"/>
  <c r="AD7" i="885"/>
  <c r="AD21" i="885"/>
  <c r="AD18" i="884"/>
  <c r="AD8" i="884"/>
  <c r="AD11" i="884"/>
  <c r="AD9" i="884"/>
  <c r="AD10" i="884"/>
  <c r="AD14" i="884"/>
  <c r="AD13" i="884"/>
  <c r="AD15" i="884"/>
  <c r="AD20" i="884"/>
  <c r="AD12" i="884"/>
  <c r="O7" i="884"/>
  <c r="K21" i="884"/>
  <c r="M16" i="884"/>
  <c r="M21" i="884" s="1"/>
  <c r="AB16" i="884"/>
  <c r="O17" i="884"/>
  <c r="AD17" i="884" s="1"/>
  <c r="M19" i="884"/>
  <c r="AB19" i="884"/>
  <c r="AC6" i="884"/>
  <c r="P7" i="884"/>
  <c r="AC7" i="884" s="1"/>
  <c r="AD7" i="884" s="1"/>
  <c r="O16" i="884"/>
  <c r="O19" i="884"/>
  <c r="AB11" i="883"/>
  <c r="AD11" i="883" s="1"/>
  <c r="O11" i="883"/>
  <c r="AD15" i="883"/>
  <c r="AE19" i="885" l="1"/>
  <c r="AE12" i="885"/>
  <c r="AE10" i="885"/>
  <c r="AE17" i="885"/>
  <c r="AE15" i="885"/>
  <c r="AE8" i="885"/>
  <c r="AE20" i="885"/>
  <c r="AE13" i="885"/>
  <c r="AE11" i="885"/>
  <c r="AE6" i="885"/>
  <c r="AE18" i="885"/>
  <c r="AE16" i="885"/>
  <c r="AE14" i="885"/>
  <c r="AE9" i="885"/>
  <c r="AE7" i="885"/>
  <c r="AD16" i="884"/>
  <c r="P21" i="884"/>
  <c r="AB21" i="884"/>
  <c r="AC21" i="884"/>
  <c r="AD6" i="884"/>
  <c r="AD19" i="884"/>
  <c r="AD21" i="884" l="1"/>
  <c r="AE12" i="884" s="1"/>
  <c r="AE11" i="884" l="1"/>
  <c r="AE20" i="884"/>
  <c r="AE6" i="884"/>
  <c r="AE18" i="884"/>
  <c r="AE7" i="884"/>
  <c r="AE16" i="884"/>
  <c r="AE8" i="884"/>
  <c r="AE17" i="884"/>
  <c r="AE10" i="884"/>
  <c r="AE9" i="884"/>
  <c r="AE19" i="884"/>
  <c r="AE15" i="884"/>
  <c r="AE13" i="884"/>
  <c r="AE14" i="884"/>
  <c r="K21" i="883" l="1"/>
  <c r="K18" i="883"/>
  <c r="K14" i="883"/>
  <c r="K12" i="883"/>
  <c r="K7" i="883"/>
  <c r="A76" i="883"/>
  <c r="A77" i="883" s="1"/>
  <c r="A78" i="883" s="1"/>
  <c r="A79" i="883" s="1"/>
  <c r="A80" i="883" s="1"/>
  <c r="A81" i="883" s="1"/>
  <c r="A82" i="883" s="1"/>
  <c r="A83" i="883" s="1"/>
  <c r="AF62" i="883"/>
  <c r="AF64" i="883" s="1"/>
  <c r="AF61" i="883"/>
  <c r="AA23" i="883"/>
  <c r="Z23" i="883"/>
  <c r="Y23" i="883"/>
  <c r="X23" i="883"/>
  <c r="W23" i="883"/>
  <c r="V23" i="883"/>
  <c r="U23" i="883"/>
  <c r="T23" i="883"/>
  <c r="S23" i="883"/>
  <c r="R23" i="883"/>
  <c r="N23" i="883"/>
  <c r="J23" i="883"/>
  <c r="I23" i="883"/>
  <c r="AF22" i="883"/>
  <c r="AB22" i="883"/>
  <c r="Q22" i="883"/>
  <c r="P22" i="883"/>
  <c r="AC22" i="883" s="1"/>
  <c r="AD22" i="883" s="1"/>
  <c r="O22" i="883"/>
  <c r="M22" i="883"/>
  <c r="K22" i="883"/>
  <c r="AF21" i="883"/>
  <c r="Q21" i="883"/>
  <c r="P21" i="883" s="1"/>
  <c r="AC21" i="883" s="1"/>
  <c r="AF20" i="883"/>
  <c r="AB20" i="883"/>
  <c r="Q20" i="883"/>
  <c r="P20" i="883"/>
  <c r="AC20" i="883" s="1"/>
  <c r="O20" i="883"/>
  <c r="M20" i="883"/>
  <c r="AF19" i="883"/>
  <c r="AB19" i="883"/>
  <c r="Q19" i="883"/>
  <c r="P19" i="883" s="1"/>
  <c r="AC19" i="883" s="1"/>
  <c r="O19" i="883"/>
  <c r="M19" i="883"/>
  <c r="AF18" i="883"/>
  <c r="Q18" i="883"/>
  <c r="P18" i="883" s="1"/>
  <c r="AC18" i="883" s="1"/>
  <c r="O18" i="883"/>
  <c r="AB18" i="883"/>
  <c r="AF17" i="883"/>
  <c r="AB17" i="883"/>
  <c r="Q17" i="883"/>
  <c r="P17" i="883"/>
  <c r="AC17" i="883" s="1"/>
  <c r="O17" i="883"/>
  <c r="M17" i="883"/>
  <c r="K17" i="883"/>
  <c r="AF16" i="883"/>
  <c r="Q16" i="883"/>
  <c r="P16" i="883" s="1"/>
  <c r="AC16" i="883" s="1"/>
  <c r="AF14" i="883"/>
  <c r="Q14" i="883"/>
  <c r="P14" i="883" s="1"/>
  <c r="AC14" i="883" s="1"/>
  <c r="O14" i="883"/>
  <c r="AB14" i="883"/>
  <c r="AF13" i="883"/>
  <c r="AB13" i="883"/>
  <c r="Q13" i="883"/>
  <c r="P13" i="883"/>
  <c r="AC13" i="883" s="1"/>
  <c r="O13" i="883"/>
  <c r="M13" i="883"/>
  <c r="K13" i="883"/>
  <c r="AF12" i="883"/>
  <c r="Q12" i="883"/>
  <c r="P12" i="883" s="1"/>
  <c r="AC12" i="883" s="1"/>
  <c r="AF10" i="883"/>
  <c r="AB10" i="883"/>
  <c r="Q10" i="883"/>
  <c r="P10" i="883" s="1"/>
  <c r="AC10" i="883" s="1"/>
  <c r="O10" i="883"/>
  <c r="M10" i="883"/>
  <c r="AF9" i="883"/>
  <c r="AB9" i="883"/>
  <c r="Q9" i="883"/>
  <c r="P9" i="883" s="1"/>
  <c r="AC9" i="883" s="1"/>
  <c r="O9" i="883"/>
  <c r="M9" i="883"/>
  <c r="AF8" i="883"/>
  <c r="AB8" i="883"/>
  <c r="Q8" i="883"/>
  <c r="P8" i="883"/>
  <c r="AC8" i="883" s="1"/>
  <c r="O8" i="883"/>
  <c r="M8" i="883"/>
  <c r="K8" i="883"/>
  <c r="AF7" i="883"/>
  <c r="Q7" i="883"/>
  <c r="L23" i="883"/>
  <c r="O23" i="883" s="1"/>
  <c r="AF6" i="883"/>
  <c r="AB6" i="883"/>
  <c r="Q6" i="883"/>
  <c r="P6" i="883"/>
  <c r="O6" i="883"/>
  <c r="M6" i="883"/>
  <c r="K6" i="883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U4" i="16"/>
  <c r="U3" i="16"/>
  <c r="AE19" i="882"/>
  <c r="L19" i="882"/>
  <c r="K19" i="882" s="1"/>
  <c r="AF19" i="882"/>
  <c r="AB19" i="882"/>
  <c r="Q19" i="882"/>
  <c r="L16" i="882"/>
  <c r="K16" i="882" s="1"/>
  <c r="L14" i="882"/>
  <c r="K14" i="882" s="1"/>
  <c r="L13" i="882"/>
  <c r="K13" i="882" s="1"/>
  <c r="L11" i="882"/>
  <c r="K11" i="882" s="1"/>
  <c r="K9" i="882"/>
  <c r="L7" i="882"/>
  <c r="K7" i="882" s="1"/>
  <c r="K18" i="882"/>
  <c r="K12" i="882"/>
  <c r="K10" i="882"/>
  <c r="A74" i="882"/>
  <c r="A75" i="882" s="1"/>
  <c r="A76" i="882" s="1"/>
  <c r="A77" i="882" s="1"/>
  <c r="A78" i="882" s="1"/>
  <c r="A79" i="882" s="1"/>
  <c r="A80" i="882" s="1"/>
  <c r="A81" i="882" s="1"/>
  <c r="AF60" i="882"/>
  <c r="AF62" i="882" s="1"/>
  <c r="AF59" i="882"/>
  <c r="AA21" i="882"/>
  <c r="Z21" i="882"/>
  <c r="Y21" i="882"/>
  <c r="X21" i="882"/>
  <c r="W21" i="882"/>
  <c r="V21" i="882"/>
  <c r="U21" i="882"/>
  <c r="T21" i="882"/>
  <c r="S21" i="882"/>
  <c r="R21" i="882"/>
  <c r="N21" i="882"/>
  <c r="J21" i="882"/>
  <c r="I21" i="882"/>
  <c r="AF20" i="882"/>
  <c r="AB20" i="882"/>
  <c r="Q20" i="882"/>
  <c r="P20" i="882"/>
  <c r="AC20" i="882" s="1"/>
  <c r="AD20" i="882" s="1"/>
  <c r="O20" i="882"/>
  <c r="M20" i="882"/>
  <c r="K20" i="882"/>
  <c r="AF18" i="882"/>
  <c r="AB18" i="882"/>
  <c r="Q18" i="882"/>
  <c r="P18" i="882"/>
  <c r="AC18" i="882" s="1"/>
  <c r="O18" i="882"/>
  <c r="M18" i="882"/>
  <c r="AF17" i="882"/>
  <c r="AB17" i="882"/>
  <c r="Q17" i="882"/>
  <c r="P17" i="882"/>
  <c r="AC17" i="882" s="1"/>
  <c r="O17" i="882"/>
  <c r="M17" i="882"/>
  <c r="K17" i="882"/>
  <c r="AF16" i="882"/>
  <c r="Q16" i="882"/>
  <c r="P16" i="882" s="1"/>
  <c r="AC16" i="882" s="1"/>
  <c r="O16" i="882"/>
  <c r="AF15" i="882"/>
  <c r="AC15" i="882"/>
  <c r="AB15" i="882"/>
  <c r="Q15" i="882"/>
  <c r="P15" i="882"/>
  <c r="O15" i="882"/>
  <c r="M15" i="882"/>
  <c r="K15" i="882"/>
  <c r="AF14" i="882"/>
  <c r="Q14" i="882"/>
  <c r="AB14" i="882"/>
  <c r="AF13" i="882"/>
  <c r="Q13" i="882"/>
  <c r="P13" i="882" s="1"/>
  <c r="AC13" i="882" s="1"/>
  <c r="O13" i="882"/>
  <c r="AF12" i="882"/>
  <c r="Q12" i="882"/>
  <c r="O12" i="882"/>
  <c r="P12" i="882"/>
  <c r="AC12" i="882" s="1"/>
  <c r="AF11" i="882"/>
  <c r="AB11" i="882"/>
  <c r="Q11" i="882"/>
  <c r="P11" i="882" s="1"/>
  <c r="AC11" i="882" s="1"/>
  <c r="O11" i="882"/>
  <c r="M11" i="882"/>
  <c r="AF10" i="882"/>
  <c r="Q10" i="882"/>
  <c r="AB10" i="882"/>
  <c r="AF9" i="882"/>
  <c r="AB9" i="882"/>
  <c r="Q9" i="882"/>
  <c r="P9" i="882" s="1"/>
  <c r="AC9" i="882" s="1"/>
  <c r="M9" i="882"/>
  <c r="O9" i="882"/>
  <c r="AF8" i="882"/>
  <c r="AC8" i="882"/>
  <c r="AB8" i="882"/>
  <c r="Q8" i="882"/>
  <c r="P8" i="882"/>
  <c r="O8" i="882"/>
  <c r="M8" i="882"/>
  <c r="K8" i="882"/>
  <c r="AF7" i="882"/>
  <c r="Q7" i="882"/>
  <c r="AB7" i="882"/>
  <c r="AF6" i="882"/>
  <c r="AB6" i="882"/>
  <c r="Q6" i="882"/>
  <c r="P6" i="882"/>
  <c r="O6" i="882"/>
  <c r="M6" i="882"/>
  <c r="K6" i="882"/>
  <c r="AD17" i="883" l="1"/>
  <c r="AD20" i="883"/>
  <c r="AD13" i="883"/>
  <c r="Q23" i="883"/>
  <c r="AD14" i="883"/>
  <c r="AD9" i="883"/>
  <c r="AD8" i="883"/>
  <c r="AD10" i="883"/>
  <c r="AD19" i="883"/>
  <c r="AD18" i="883"/>
  <c r="M7" i="883"/>
  <c r="AB7" i="883"/>
  <c r="O7" i="883"/>
  <c r="M12" i="883"/>
  <c r="AB12" i="883"/>
  <c r="M16" i="883"/>
  <c r="AB16" i="883"/>
  <c r="M21" i="883"/>
  <c r="AB21" i="883"/>
  <c r="AC6" i="883"/>
  <c r="K23" i="883"/>
  <c r="P7" i="883"/>
  <c r="AC7" i="883" s="1"/>
  <c r="O12" i="883"/>
  <c r="M14" i="883"/>
  <c r="O16" i="883"/>
  <c r="M18" i="883"/>
  <c r="O21" i="883"/>
  <c r="P19" i="882"/>
  <c r="AC19" i="882" s="1"/>
  <c r="M19" i="882"/>
  <c r="O19" i="882"/>
  <c r="Q21" i="882"/>
  <c r="AD9" i="882"/>
  <c r="AD8" i="882"/>
  <c r="AD11" i="882"/>
  <c r="AD15" i="882"/>
  <c r="AD17" i="882"/>
  <c r="AD18" i="882"/>
  <c r="O7" i="882"/>
  <c r="O10" i="882"/>
  <c r="M13" i="882"/>
  <c r="AB13" i="882"/>
  <c r="AD13" i="882" s="1"/>
  <c r="O14" i="882"/>
  <c r="M16" i="882"/>
  <c r="AB16" i="882"/>
  <c r="AD16" i="882" s="1"/>
  <c r="AC6" i="882"/>
  <c r="K21" i="882"/>
  <c r="P7" i="882"/>
  <c r="AC7" i="882" s="1"/>
  <c r="P10" i="882"/>
  <c r="AC10" i="882" s="1"/>
  <c r="AD10" i="882" s="1"/>
  <c r="M12" i="882"/>
  <c r="AB12" i="882"/>
  <c r="AD12" i="882" s="1"/>
  <c r="P14" i="882"/>
  <c r="AC14" i="882" s="1"/>
  <c r="AD14" i="882" s="1"/>
  <c r="L21" i="882"/>
  <c r="O21" i="882" s="1"/>
  <c r="M7" i="882"/>
  <c r="M10" i="882"/>
  <c r="M14" i="882"/>
  <c r="R18" i="16"/>
  <c r="R17" i="16"/>
  <c r="R16" i="16"/>
  <c r="R15" i="16"/>
  <c r="R14" i="16"/>
  <c r="R13" i="16"/>
  <c r="R12" i="16"/>
  <c r="R11" i="16"/>
  <c r="R10" i="16"/>
  <c r="R9" i="16"/>
  <c r="R8" i="16"/>
  <c r="R7" i="16"/>
  <c r="R6" i="16"/>
  <c r="R5" i="16"/>
  <c r="R4" i="16"/>
  <c r="R3" i="16"/>
  <c r="K20" i="881"/>
  <c r="K19" i="881"/>
  <c r="AF19" i="881"/>
  <c r="AB19" i="881"/>
  <c r="Q19" i="881"/>
  <c r="P19" i="881" s="1"/>
  <c r="AC19" i="881" s="1"/>
  <c r="O19" i="881"/>
  <c r="M19" i="881"/>
  <c r="K18" i="881"/>
  <c r="L16" i="881"/>
  <c r="L14" i="881"/>
  <c r="L13" i="881"/>
  <c r="L12" i="881"/>
  <c r="K12" i="881" s="1"/>
  <c r="L11" i="881"/>
  <c r="K11" i="881" s="1"/>
  <c r="L10" i="881"/>
  <c r="K10" i="881" s="1"/>
  <c r="L9" i="881"/>
  <c r="K9" i="881" s="1"/>
  <c r="L7" i="881"/>
  <c r="K17" i="881"/>
  <c r="K16" i="881"/>
  <c r="K15" i="881"/>
  <c r="K14" i="881"/>
  <c r="K13" i="881"/>
  <c r="A75" i="881"/>
  <c r="A76" i="881" s="1"/>
  <c r="A77" i="881" s="1"/>
  <c r="A78" i="881" s="1"/>
  <c r="A79" i="881" s="1"/>
  <c r="A80" i="881" s="1"/>
  <c r="A81" i="881" s="1"/>
  <c r="A82" i="881" s="1"/>
  <c r="AF63" i="881"/>
  <c r="AF61" i="881"/>
  <c r="AF60" i="881"/>
  <c r="AA22" i="881"/>
  <c r="Z22" i="881"/>
  <c r="Y22" i="881"/>
  <c r="X22" i="881"/>
  <c r="W22" i="881"/>
  <c r="V22" i="881"/>
  <c r="U22" i="881"/>
  <c r="T22" i="881"/>
  <c r="S22" i="881"/>
  <c r="R22" i="881"/>
  <c r="N22" i="881"/>
  <c r="J22" i="881"/>
  <c r="I22" i="881"/>
  <c r="AF21" i="881"/>
  <c r="AB21" i="881"/>
  <c r="Q21" i="881"/>
  <c r="P21" i="881"/>
  <c r="AC21" i="881" s="1"/>
  <c r="O21" i="881"/>
  <c r="M21" i="881"/>
  <c r="K21" i="881"/>
  <c r="AF20" i="881"/>
  <c r="AB20" i="881"/>
  <c r="Q20" i="881"/>
  <c r="M20" i="881"/>
  <c r="P20" i="881"/>
  <c r="AC20" i="881" s="1"/>
  <c r="AF18" i="881"/>
  <c r="AB18" i="881"/>
  <c r="Q18" i="881"/>
  <c r="P18" i="881" s="1"/>
  <c r="AC18" i="881" s="1"/>
  <c r="O18" i="881"/>
  <c r="M18" i="881"/>
  <c r="AF17" i="881"/>
  <c r="AB17" i="881"/>
  <c r="Q17" i="881"/>
  <c r="O17" i="881"/>
  <c r="M17" i="881"/>
  <c r="P17" i="881"/>
  <c r="AC17" i="881" s="1"/>
  <c r="AF16" i="881"/>
  <c r="AB16" i="881"/>
  <c r="Q16" i="881"/>
  <c r="M16" i="881"/>
  <c r="P16" i="881"/>
  <c r="AC16" i="881" s="1"/>
  <c r="AF15" i="881"/>
  <c r="AB15" i="881"/>
  <c r="Q15" i="881"/>
  <c r="P15" i="881" s="1"/>
  <c r="AC15" i="881" s="1"/>
  <c r="O15" i="881"/>
  <c r="M15" i="881"/>
  <c r="AF14" i="881"/>
  <c r="AB14" i="881"/>
  <c r="Q14" i="881"/>
  <c r="P14" i="881"/>
  <c r="AC14" i="881" s="1"/>
  <c r="O14" i="881"/>
  <c r="M14" i="881"/>
  <c r="AF13" i="881"/>
  <c r="Q13" i="881"/>
  <c r="P13" i="881" s="1"/>
  <c r="AC13" i="881" s="1"/>
  <c r="AF12" i="881"/>
  <c r="AB12" i="881"/>
  <c r="Q12" i="881"/>
  <c r="P12" i="881" s="1"/>
  <c r="AC12" i="881" s="1"/>
  <c r="O12" i="881"/>
  <c r="M12" i="881"/>
  <c r="AF11" i="881"/>
  <c r="AB11" i="881"/>
  <c r="Q11" i="881"/>
  <c r="P11" i="881" s="1"/>
  <c r="AC11" i="881" s="1"/>
  <c r="M11" i="881"/>
  <c r="AF10" i="881"/>
  <c r="AB10" i="881"/>
  <c r="Q10" i="881"/>
  <c r="P10" i="881" s="1"/>
  <c r="AC10" i="881" s="1"/>
  <c r="O10" i="881"/>
  <c r="M10" i="881"/>
  <c r="AF9" i="881"/>
  <c r="AB9" i="881"/>
  <c r="Q9" i="881"/>
  <c r="P9" i="881" s="1"/>
  <c r="AC9" i="881" s="1"/>
  <c r="O9" i="881"/>
  <c r="M9" i="881"/>
  <c r="AF8" i="881"/>
  <c r="AB8" i="881"/>
  <c r="Q8" i="881"/>
  <c r="P8" i="881"/>
  <c r="AC8" i="881" s="1"/>
  <c r="O8" i="881"/>
  <c r="M8" i="881"/>
  <c r="K8" i="881"/>
  <c r="AF7" i="881"/>
  <c r="Q7" i="881"/>
  <c r="AF6" i="881"/>
  <c r="AC6" i="881"/>
  <c r="AB6" i="881"/>
  <c r="Q6" i="881"/>
  <c r="P6" i="881"/>
  <c r="O6" i="881"/>
  <c r="M6" i="881"/>
  <c r="K6" i="881"/>
  <c r="Q18" i="16"/>
  <c r="Q17" i="16"/>
  <c r="Q16" i="16"/>
  <c r="Q15" i="16"/>
  <c r="Q14" i="16"/>
  <c r="Q13" i="16"/>
  <c r="Q12" i="16"/>
  <c r="Q11" i="16"/>
  <c r="Q10" i="16"/>
  <c r="Q9" i="16"/>
  <c r="Q8" i="16"/>
  <c r="Q7" i="16"/>
  <c r="Q6" i="16"/>
  <c r="Q5" i="16"/>
  <c r="Q4" i="16"/>
  <c r="Q3" i="16"/>
  <c r="L19" i="880"/>
  <c r="K18" i="880"/>
  <c r="L17" i="880"/>
  <c r="L16" i="880"/>
  <c r="P16" i="880" s="1"/>
  <c r="AC16" i="880" s="1"/>
  <c r="AF16" i="880"/>
  <c r="Q16" i="880"/>
  <c r="M16" i="880"/>
  <c r="K15" i="880"/>
  <c r="AF15" i="880"/>
  <c r="AB15" i="880"/>
  <c r="Q15" i="880"/>
  <c r="P15" i="880" s="1"/>
  <c r="AC15" i="880" s="1"/>
  <c r="O15" i="880"/>
  <c r="M15" i="880"/>
  <c r="K14" i="880"/>
  <c r="L13" i="880"/>
  <c r="K13" i="880" s="1"/>
  <c r="L11" i="880"/>
  <c r="L9" i="880"/>
  <c r="K9" i="880" s="1"/>
  <c r="L7" i="880"/>
  <c r="K19" i="880"/>
  <c r="K12" i="880"/>
  <c r="K11" i="880"/>
  <c r="K8" i="880"/>
  <c r="A74" i="880"/>
  <c r="A75" i="880" s="1"/>
  <c r="A76" i="880" s="1"/>
  <c r="A77" i="880" s="1"/>
  <c r="A78" i="880" s="1"/>
  <c r="A79" i="880" s="1"/>
  <c r="A80" i="880" s="1"/>
  <c r="A81" i="880" s="1"/>
  <c r="AF60" i="880"/>
  <c r="AF59" i="880"/>
  <c r="AF62" i="880" s="1"/>
  <c r="AA21" i="880"/>
  <c r="Z21" i="880"/>
  <c r="Y21" i="880"/>
  <c r="X21" i="880"/>
  <c r="W21" i="880"/>
  <c r="V21" i="880"/>
  <c r="U21" i="880"/>
  <c r="T21" i="880"/>
  <c r="S21" i="880"/>
  <c r="R21" i="880"/>
  <c r="N21" i="880"/>
  <c r="J21" i="880"/>
  <c r="I21" i="880"/>
  <c r="AF20" i="880"/>
  <c r="AB20" i="880"/>
  <c r="Q20" i="880"/>
  <c r="P20" i="880"/>
  <c r="AC20" i="880" s="1"/>
  <c r="O20" i="880"/>
  <c r="M20" i="880"/>
  <c r="K20" i="880"/>
  <c r="AF19" i="880"/>
  <c r="Q19" i="880"/>
  <c r="O19" i="880"/>
  <c r="P19" i="880"/>
  <c r="AC19" i="880" s="1"/>
  <c r="AF18" i="880"/>
  <c r="AB18" i="880"/>
  <c r="Q18" i="880"/>
  <c r="P18" i="880"/>
  <c r="AC18" i="880" s="1"/>
  <c r="M18" i="880"/>
  <c r="O18" i="880"/>
  <c r="AF17" i="880"/>
  <c r="AB17" i="880"/>
  <c r="Q17" i="880"/>
  <c r="P17" i="880" s="1"/>
  <c r="AC17" i="880" s="1"/>
  <c r="O17" i="880"/>
  <c r="M17" i="880"/>
  <c r="K17" i="880"/>
  <c r="AF14" i="880"/>
  <c r="AB14" i="880"/>
  <c r="Q14" i="880"/>
  <c r="P14" i="880" s="1"/>
  <c r="AC14" i="880" s="1"/>
  <c r="O14" i="880"/>
  <c r="M14" i="880"/>
  <c r="AF13" i="880"/>
  <c r="AB13" i="880"/>
  <c r="Q13" i="880"/>
  <c r="P13" i="880" s="1"/>
  <c r="AC13" i="880" s="1"/>
  <c r="O13" i="880"/>
  <c r="M13" i="880"/>
  <c r="AF12" i="880"/>
  <c r="Q12" i="880"/>
  <c r="P12" i="880"/>
  <c r="AC12" i="880" s="1"/>
  <c r="AF11" i="880"/>
  <c r="AB11" i="880"/>
  <c r="Q11" i="880"/>
  <c r="P11" i="880" s="1"/>
  <c r="AC11" i="880" s="1"/>
  <c r="M11" i="880"/>
  <c r="O11" i="880"/>
  <c r="AF10" i="880"/>
  <c r="AB10" i="880"/>
  <c r="Q10" i="880"/>
  <c r="P10" i="880"/>
  <c r="AC10" i="880" s="1"/>
  <c r="O10" i="880"/>
  <c r="M10" i="880"/>
  <c r="K10" i="880"/>
  <c r="AF9" i="880"/>
  <c r="Q9" i="880"/>
  <c r="O9" i="880"/>
  <c r="AF8" i="880"/>
  <c r="AB8" i="880"/>
  <c r="Q8" i="880"/>
  <c r="P8" i="880"/>
  <c r="AC8" i="880" s="1"/>
  <c r="O8" i="880"/>
  <c r="M8" i="880"/>
  <c r="AF7" i="880"/>
  <c r="Q7" i="880"/>
  <c r="AF6" i="880"/>
  <c r="AB6" i="880"/>
  <c r="Q6" i="880"/>
  <c r="P6" i="880"/>
  <c r="AC6" i="880" s="1"/>
  <c r="O6" i="880"/>
  <c r="M6" i="880"/>
  <c r="K6" i="880"/>
  <c r="AD16" i="883" l="1"/>
  <c r="P23" i="883"/>
  <c r="AB23" i="883"/>
  <c r="AD21" i="883"/>
  <c r="AD12" i="883"/>
  <c r="M23" i="883"/>
  <c r="AD7" i="883"/>
  <c r="AC23" i="883"/>
  <c r="AD6" i="883"/>
  <c r="AD19" i="882"/>
  <c r="M21" i="882"/>
  <c r="AD7" i="882"/>
  <c r="AC21" i="882"/>
  <c r="AD6" i="882"/>
  <c r="AD21" i="882" s="1"/>
  <c r="P21" i="882"/>
  <c r="AB21" i="882"/>
  <c r="AD19" i="881"/>
  <c r="AD9" i="881"/>
  <c r="P7" i="881"/>
  <c r="AC7" i="881" s="1"/>
  <c r="AC22" i="881" s="1"/>
  <c r="AD8" i="881"/>
  <c r="AD21" i="881"/>
  <c r="AD17" i="881"/>
  <c r="Q22" i="881"/>
  <c r="L22" i="881"/>
  <c r="O22" i="881" s="1"/>
  <c r="O7" i="881"/>
  <c r="K7" i="881"/>
  <c r="K22" i="881" s="1"/>
  <c r="AD12" i="881"/>
  <c r="AD14" i="881"/>
  <c r="AD15" i="881"/>
  <c r="AD10" i="881"/>
  <c r="AD18" i="881"/>
  <c r="M22" i="881"/>
  <c r="AD6" i="881"/>
  <c r="O11" i="881"/>
  <c r="AD11" i="881" s="1"/>
  <c r="M13" i="881"/>
  <c r="AB13" i="881"/>
  <c r="O16" i="881"/>
  <c r="AD16" i="881" s="1"/>
  <c r="O20" i="881"/>
  <c r="AD20" i="881" s="1"/>
  <c r="M7" i="881"/>
  <c r="AB7" i="881"/>
  <c r="AB22" i="881" s="1"/>
  <c r="O13" i="881"/>
  <c r="AD8" i="880"/>
  <c r="AB9" i="880"/>
  <c r="K16" i="880"/>
  <c r="AB16" i="880"/>
  <c r="AD16" i="880" s="1"/>
  <c r="O16" i="880"/>
  <c r="AD15" i="880"/>
  <c r="AD13" i="880"/>
  <c r="P7" i="880"/>
  <c r="AC7" i="880" s="1"/>
  <c r="Q21" i="880"/>
  <c r="L21" i="880"/>
  <c r="O21" i="880" s="1"/>
  <c r="AB7" i="880"/>
  <c r="K7" i="880"/>
  <c r="M7" i="880"/>
  <c r="AD11" i="880"/>
  <c r="AD14" i="880"/>
  <c r="AD20" i="880"/>
  <c r="AD10" i="880"/>
  <c r="AD17" i="880"/>
  <c r="AD18" i="880"/>
  <c r="AD6" i="880"/>
  <c r="K21" i="880"/>
  <c r="P9" i="880"/>
  <c r="AC9" i="880" s="1"/>
  <c r="AD9" i="880" s="1"/>
  <c r="M12" i="880"/>
  <c r="AB12" i="880"/>
  <c r="M19" i="880"/>
  <c r="AB19" i="880"/>
  <c r="AD19" i="880" s="1"/>
  <c r="O12" i="880"/>
  <c r="O7" i="880"/>
  <c r="M9" i="880"/>
  <c r="P18" i="16"/>
  <c r="P17" i="16"/>
  <c r="P16" i="16"/>
  <c r="P15" i="16"/>
  <c r="P14" i="16"/>
  <c r="P13" i="16"/>
  <c r="P12" i="16"/>
  <c r="P11" i="16"/>
  <c r="P10" i="16"/>
  <c r="P9" i="16"/>
  <c r="P8" i="16"/>
  <c r="P7" i="16"/>
  <c r="P6" i="16"/>
  <c r="P5" i="16"/>
  <c r="P4" i="16"/>
  <c r="P3" i="16"/>
  <c r="L12" i="879"/>
  <c r="L21" i="879"/>
  <c r="L20" i="879"/>
  <c r="K20" i="879" s="1"/>
  <c r="AF18" i="879"/>
  <c r="AB18" i="879"/>
  <c r="Q18" i="879"/>
  <c r="P18" i="879" s="1"/>
  <c r="AC18" i="879" s="1"/>
  <c r="O18" i="879"/>
  <c r="M18" i="879"/>
  <c r="K18" i="879"/>
  <c r="K17" i="879"/>
  <c r="L16" i="879"/>
  <c r="L14" i="879"/>
  <c r="L13" i="879"/>
  <c r="K13" i="879" s="1"/>
  <c r="K11" i="879"/>
  <c r="AF11" i="879"/>
  <c r="AB11" i="879"/>
  <c r="Q11" i="879"/>
  <c r="P11" i="879" s="1"/>
  <c r="AC11" i="879" s="1"/>
  <c r="M11" i="879"/>
  <c r="O11" i="879"/>
  <c r="K12" i="879"/>
  <c r="L9" i="879"/>
  <c r="K9" i="879" s="1"/>
  <c r="L7" i="879"/>
  <c r="K7" i="879" s="1"/>
  <c r="K21" i="879"/>
  <c r="K19" i="879"/>
  <c r="K16" i="879"/>
  <c r="K14" i="879"/>
  <c r="K10" i="879"/>
  <c r="K8" i="879"/>
  <c r="A77" i="879"/>
  <c r="A78" i="879" s="1"/>
  <c r="A79" i="879" s="1"/>
  <c r="A80" i="879" s="1"/>
  <c r="A81" i="879" s="1"/>
  <c r="A82" i="879" s="1"/>
  <c r="A83" i="879" s="1"/>
  <c r="A76" i="879"/>
  <c r="AF62" i="879"/>
  <c r="AF61" i="879"/>
  <c r="AF64" i="879" s="1"/>
  <c r="AA23" i="879"/>
  <c r="Z23" i="879"/>
  <c r="Y23" i="879"/>
  <c r="X23" i="879"/>
  <c r="W23" i="879"/>
  <c r="V23" i="879"/>
  <c r="U23" i="879"/>
  <c r="T23" i="879"/>
  <c r="S23" i="879"/>
  <c r="R23" i="879"/>
  <c r="N23" i="879"/>
  <c r="J23" i="879"/>
  <c r="I23" i="879"/>
  <c r="AF22" i="879"/>
  <c r="AB22" i="879"/>
  <c r="Q22" i="879"/>
  <c r="P22" i="879"/>
  <c r="AC22" i="879" s="1"/>
  <c r="AD22" i="879" s="1"/>
  <c r="O22" i="879"/>
  <c r="M22" i="879"/>
  <c r="K22" i="879"/>
  <c r="AF21" i="879"/>
  <c r="Q21" i="879"/>
  <c r="P21" i="879" s="1"/>
  <c r="AC21" i="879" s="1"/>
  <c r="O21" i="879"/>
  <c r="AF20" i="879"/>
  <c r="AB20" i="879"/>
  <c r="Q20" i="879"/>
  <c r="M20" i="879"/>
  <c r="P20" i="879"/>
  <c r="AC20" i="879" s="1"/>
  <c r="AF19" i="879"/>
  <c r="Q19" i="879"/>
  <c r="O19" i="879"/>
  <c r="AF17" i="879"/>
  <c r="AB17" i="879"/>
  <c r="Q17" i="879"/>
  <c r="P17" i="879" s="1"/>
  <c r="AC17" i="879" s="1"/>
  <c r="O17" i="879"/>
  <c r="M17" i="879"/>
  <c r="AF16" i="879"/>
  <c r="Q16" i="879"/>
  <c r="P16" i="879" s="1"/>
  <c r="AC16" i="879" s="1"/>
  <c r="O16" i="879"/>
  <c r="AF15" i="879"/>
  <c r="AB15" i="879"/>
  <c r="Q15" i="879"/>
  <c r="P15" i="879"/>
  <c r="AC15" i="879" s="1"/>
  <c r="O15" i="879"/>
  <c r="M15" i="879"/>
  <c r="K15" i="879"/>
  <c r="AF14" i="879"/>
  <c r="Q14" i="879"/>
  <c r="P14" i="879" s="1"/>
  <c r="AC14" i="879" s="1"/>
  <c r="M14" i="879"/>
  <c r="AB14" i="879"/>
  <c r="AF13" i="879"/>
  <c r="AB13" i="879"/>
  <c r="Q13" i="879"/>
  <c r="P13" i="879"/>
  <c r="AC13" i="879" s="1"/>
  <c r="O13" i="879"/>
  <c r="M13" i="879"/>
  <c r="AF12" i="879"/>
  <c r="AB12" i="879"/>
  <c r="Q12" i="879"/>
  <c r="P12" i="879" s="1"/>
  <c r="AC12" i="879" s="1"/>
  <c r="O12" i="879"/>
  <c r="M12" i="879"/>
  <c r="AF10" i="879"/>
  <c r="Q10" i="879"/>
  <c r="O10" i="879"/>
  <c r="P10" i="879"/>
  <c r="AC10" i="879" s="1"/>
  <c r="AF9" i="879"/>
  <c r="AB9" i="879"/>
  <c r="Q9" i="879"/>
  <c r="P9" i="879" s="1"/>
  <c r="AC9" i="879" s="1"/>
  <c r="M9" i="879"/>
  <c r="AF8" i="879"/>
  <c r="Q8" i="879"/>
  <c r="O8" i="879"/>
  <c r="AF7" i="879"/>
  <c r="Q7" i="879"/>
  <c r="P7" i="879" s="1"/>
  <c r="AC7" i="879" s="1"/>
  <c r="AB7" i="879"/>
  <c r="AF6" i="879"/>
  <c r="AB6" i="879"/>
  <c r="Q6" i="879"/>
  <c r="P6" i="879"/>
  <c r="AC6" i="879" s="1"/>
  <c r="O6" i="879"/>
  <c r="M6" i="879"/>
  <c r="K6" i="879"/>
  <c r="AD23" i="883" l="1"/>
  <c r="AE16" i="882"/>
  <c r="AE13" i="882"/>
  <c r="AE9" i="882"/>
  <c r="AE6" i="882"/>
  <c r="AE10" i="882"/>
  <c r="AE20" i="882"/>
  <c r="AE18" i="882"/>
  <c r="AE17" i="882"/>
  <c r="AE11" i="882"/>
  <c r="AE14" i="882"/>
  <c r="AE15" i="882"/>
  <c r="AE12" i="882"/>
  <c r="AE8" i="882"/>
  <c r="AE7" i="882"/>
  <c r="AD13" i="881"/>
  <c r="P22" i="881"/>
  <c r="AD7" i="881"/>
  <c r="AD22" i="881" s="1"/>
  <c r="AE19" i="881" s="1"/>
  <c r="AC21" i="880"/>
  <c r="AD7" i="880"/>
  <c r="M21" i="880"/>
  <c r="AB21" i="880"/>
  <c r="AD12" i="880"/>
  <c r="P21" i="880"/>
  <c r="AD18" i="879"/>
  <c r="AD11" i="879"/>
  <c r="Q23" i="879"/>
  <c r="AD13" i="879"/>
  <c r="AD12" i="879"/>
  <c r="AD15" i="879"/>
  <c r="AD17" i="879"/>
  <c r="O7" i="879"/>
  <c r="AD7" i="879" s="1"/>
  <c r="K23" i="879"/>
  <c r="P8" i="879"/>
  <c r="AC8" i="879" s="1"/>
  <c r="M10" i="879"/>
  <c r="AB10" i="879"/>
  <c r="AD10" i="879" s="1"/>
  <c r="O14" i="879"/>
  <c r="AD14" i="879" s="1"/>
  <c r="M16" i="879"/>
  <c r="AB16" i="879"/>
  <c r="AD16" i="879" s="1"/>
  <c r="P19" i="879"/>
  <c r="AC19" i="879" s="1"/>
  <c r="M21" i="879"/>
  <c r="AB21" i="879"/>
  <c r="AD21" i="879" s="1"/>
  <c r="AD6" i="879"/>
  <c r="M8" i="879"/>
  <c r="AB8" i="879"/>
  <c r="O9" i="879"/>
  <c r="AD9" i="879" s="1"/>
  <c r="M19" i="879"/>
  <c r="AB19" i="879"/>
  <c r="O20" i="879"/>
  <c r="AD20" i="879" s="1"/>
  <c r="L23" i="879"/>
  <c r="O23" i="879" s="1"/>
  <c r="M7" i="879"/>
  <c r="AE15" i="883" l="1"/>
  <c r="AE11" i="883"/>
  <c r="AE21" i="883"/>
  <c r="AE16" i="883"/>
  <c r="AE12" i="883"/>
  <c r="AE6" i="883"/>
  <c r="AE19" i="883"/>
  <c r="AE9" i="883"/>
  <c r="AE7" i="883"/>
  <c r="AE22" i="883"/>
  <c r="AE17" i="883"/>
  <c r="AE13" i="883"/>
  <c r="AE20" i="883"/>
  <c r="AE18" i="883"/>
  <c r="AE14" i="883"/>
  <c r="AE10" i="883"/>
  <c r="AE8" i="883"/>
  <c r="AE20" i="881"/>
  <c r="AE16" i="881"/>
  <c r="AE11" i="881"/>
  <c r="AE8" i="881"/>
  <c r="AE17" i="881"/>
  <c r="AE14" i="881"/>
  <c r="AE9" i="881"/>
  <c r="AE6" i="881"/>
  <c r="AE21" i="881"/>
  <c r="AE12" i="881"/>
  <c r="AE7" i="881"/>
  <c r="AE18" i="881"/>
  <c r="AE15" i="881"/>
  <c r="AE13" i="881"/>
  <c r="AE10" i="881"/>
  <c r="AD21" i="880"/>
  <c r="AE16" i="880" s="1"/>
  <c r="AD19" i="879"/>
  <c r="M23" i="879"/>
  <c r="AC23" i="879"/>
  <c r="AB23" i="879"/>
  <c r="P23" i="879"/>
  <c r="AD8" i="879"/>
  <c r="AD23" i="879" s="1"/>
  <c r="AE15" i="880" l="1"/>
  <c r="AE18" i="880"/>
  <c r="AE6" i="880"/>
  <c r="AE8" i="880"/>
  <c r="AE19" i="880"/>
  <c r="AE20" i="880"/>
  <c r="AE11" i="880"/>
  <c r="AE10" i="880"/>
  <c r="AE14" i="880"/>
  <c r="AE12" i="880"/>
  <c r="AE13" i="880"/>
  <c r="AE9" i="880"/>
  <c r="AE7" i="880"/>
  <c r="AE17" i="880"/>
  <c r="AE11" i="879"/>
  <c r="AE18" i="879"/>
  <c r="AE21" i="879"/>
  <c r="AE16" i="879"/>
  <c r="AE13" i="879"/>
  <c r="AE10" i="879"/>
  <c r="AE6" i="879"/>
  <c r="AE8" i="879"/>
  <c r="AE17" i="879"/>
  <c r="AE14" i="879"/>
  <c r="AE7" i="879"/>
  <c r="AE22" i="879"/>
  <c r="AE19" i="879"/>
  <c r="AE20" i="879"/>
  <c r="AE15" i="879"/>
  <c r="AE9" i="879"/>
  <c r="AE12" i="879"/>
  <c r="O18" i="16" l="1"/>
  <c r="O17" i="16"/>
  <c r="O16" i="16"/>
  <c r="O15" i="16"/>
  <c r="O14" i="16"/>
  <c r="O13" i="16"/>
  <c r="O12" i="16"/>
  <c r="O11" i="16"/>
  <c r="O10" i="16"/>
  <c r="O9" i="16"/>
  <c r="O8" i="16"/>
  <c r="O7" i="16"/>
  <c r="O6" i="16"/>
  <c r="O5" i="16"/>
  <c r="O4" i="16"/>
  <c r="O3" i="16"/>
  <c r="L19" i="878"/>
  <c r="K19" i="878" s="1"/>
  <c r="L18" i="878"/>
  <c r="K18" i="878" s="1"/>
  <c r="L17" i="878"/>
  <c r="K17" i="878" s="1"/>
  <c r="L16" i="878"/>
  <c r="K16" i="878" s="1"/>
  <c r="L15" i="878"/>
  <c r="K15" i="878" s="1"/>
  <c r="L13" i="878"/>
  <c r="K13" i="878" s="1"/>
  <c r="L10" i="878"/>
  <c r="K10" i="878" s="1"/>
  <c r="L9" i="878"/>
  <c r="K9" i="878" s="1"/>
  <c r="L8" i="878"/>
  <c r="K8" i="878" s="1"/>
  <c r="L7" i="878"/>
  <c r="M7" i="878" s="1"/>
  <c r="K14" i="878"/>
  <c r="K7" i="878"/>
  <c r="A74" i="878"/>
  <c r="A75" i="878" s="1"/>
  <c r="A76" i="878" s="1"/>
  <c r="A77" i="878" s="1"/>
  <c r="A78" i="878" s="1"/>
  <c r="A79" i="878" s="1"/>
  <c r="A80" i="878" s="1"/>
  <c r="A81" i="878" s="1"/>
  <c r="AF62" i="878"/>
  <c r="AF60" i="878"/>
  <c r="AF59" i="878"/>
  <c r="AA21" i="878"/>
  <c r="Z21" i="878"/>
  <c r="Y21" i="878"/>
  <c r="X21" i="878"/>
  <c r="W21" i="878"/>
  <c r="V21" i="878"/>
  <c r="U21" i="878"/>
  <c r="T21" i="878"/>
  <c r="S21" i="878"/>
  <c r="R21" i="878"/>
  <c r="N21" i="878"/>
  <c r="J21" i="878"/>
  <c r="I21" i="878"/>
  <c r="AF20" i="878"/>
  <c r="AB20" i="878"/>
  <c r="Q20" i="878"/>
  <c r="P20" i="878"/>
  <c r="AC20" i="878" s="1"/>
  <c r="AD20" i="878" s="1"/>
  <c r="O20" i="878"/>
  <c r="M20" i="878"/>
  <c r="K20" i="878"/>
  <c r="AF19" i="878"/>
  <c r="AB19" i="878"/>
  <c r="Q19" i="878"/>
  <c r="M19" i="878"/>
  <c r="P19" i="878"/>
  <c r="AC19" i="878" s="1"/>
  <c r="AF18" i="878"/>
  <c r="Q18" i="878"/>
  <c r="P18" i="878" s="1"/>
  <c r="AC18" i="878" s="1"/>
  <c r="AF17" i="878"/>
  <c r="AB17" i="878"/>
  <c r="Q17" i="878"/>
  <c r="P17" i="878" s="1"/>
  <c r="AC17" i="878" s="1"/>
  <c r="O17" i="878"/>
  <c r="M17" i="878"/>
  <c r="AF16" i="878"/>
  <c r="AB16" i="878"/>
  <c r="Q16" i="878"/>
  <c r="P16" i="878" s="1"/>
  <c r="AC16" i="878" s="1"/>
  <c r="M16" i="878"/>
  <c r="AF15" i="878"/>
  <c r="Q15" i="878"/>
  <c r="P15" i="878"/>
  <c r="AC15" i="878" s="1"/>
  <c r="AF14" i="878"/>
  <c r="Q14" i="878"/>
  <c r="P14" i="878"/>
  <c r="AC14" i="878" s="1"/>
  <c r="O14" i="878"/>
  <c r="AB14" i="878"/>
  <c r="AF13" i="878"/>
  <c r="AB13" i="878"/>
  <c r="Q13" i="878"/>
  <c r="O13" i="878"/>
  <c r="M13" i="878"/>
  <c r="P13" i="878"/>
  <c r="AC13" i="878" s="1"/>
  <c r="AD13" i="878" s="1"/>
  <c r="AF12" i="878"/>
  <c r="AB12" i="878"/>
  <c r="Q12" i="878"/>
  <c r="P12" i="878"/>
  <c r="AC12" i="878" s="1"/>
  <c r="AD12" i="878" s="1"/>
  <c r="O12" i="878"/>
  <c r="M12" i="878"/>
  <c r="K12" i="878"/>
  <c r="AF11" i="878"/>
  <c r="AB11" i="878"/>
  <c r="Q11" i="878"/>
  <c r="P11" i="878"/>
  <c r="AC11" i="878" s="1"/>
  <c r="O11" i="878"/>
  <c r="M11" i="878"/>
  <c r="K11" i="878"/>
  <c r="AF10" i="878"/>
  <c r="AB10" i="878"/>
  <c r="Q10" i="878"/>
  <c r="P10" i="878" s="1"/>
  <c r="AC10" i="878" s="1"/>
  <c r="M10" i="878"/>
  <c r="AF9" i="878"/>
  <c r="AB9" i="878"/>
  <c r="Q9" i="878"/>
  <c r="P9" i="878" s="1"/>
  <c r="AC9" i="878" s="1"/>
  <c r="O9" i="878"/>
  <c r="M9" i="878"/>
  <c r="AF8" i="878"/>
  <c r="AB8" i="878"/>
  <c r="Q8" i="878"/>
  <c r="O8" i="878"/>
  <c r="M8" i="878"/>
  <c r="P8" i="878"/>
  <c r="AC8" i="878" s="1"/>
  <c r="AF7" i="878"/>
  <c r="AB7" i="878"/>
  <c r="Q7" i="878"/>
  <c r="L21" i="878"/>
  <c r="O21" i="878" s="1"/>
  <c r="AF6" i="878"/>
  <c r="AB6" i="878"/>
  <c r="Q6" i="878"/>
  <c r="P6" i="878"/>
  <c r="O6" i="878"/>
  <c r="M6" i="878"/>
  <c r="K6" i="878"/>
  <c r="AD8" i="878" l="1"/>
  <c r="Q21" i="878"/>
  <c r="AD11" i="878"/>
  <c r="AD17" i="878"/>
  <c r="AD9" i="878"/>
  <c r="AD14" i="878"/>
  <c r="O7" i="878"/>
  <c r="K21" i="878"/>
  <c r="O10" i="878"/>
  <c r="AD10" i="878" s="1"/>
  <c r="M15" i="878"/>
  <c r="AB15" i="878"/>
  <c r="O16" i="878"/>
  <c r="AD16" i="878" s="1"/>
  <c r="M18" i="878"/>
  <c r="AB18" i="878"/>
  <c r="O19" i="878"/>
  <c r="AD19" i="878" s="1"/>
  <c r="AC6" i="878"/>
  <c r="P7" i="878"/>
  <c r="AC7" i="878" s="1"/>
  <c r="M14" i="878"/>
  <c r="O15" i="878"/>
  <c r="O18" i="878"/>
  <c r="N18" i="16"/>
  <c r="N17" i="16"/>
  <c r="N16" i="16"/>
  <c r="N15" i="16"/>
  <c r="N14" i="16"/>
  <c r="N13" i="16"/>
  <c r="N12" i="16"/>
  <c r="N11" i="16"/>
  <c r="N10" i="16"/>
  <c r="N9" i="16"/>
  <c r="N8" i="16"/>
  <c r="N7" i="16"/>
  <c r="N6" i="16"/>
  <c r="N5" i="16"/>
  <c r="N4" i="16"/>
  <c r="N3" i="16"/>
  <c r="L19" i="877"/>
  <c r="K19" i="877" s="1"/>
  <c r="L18" i="877"/>
  <c r="K18" i="877" s="1"/>
  <c r="L16" i="877"/>
  <c r="K16" i="877" s="1"/>
  <c r="L15" i="877"/>
  <c r="L14" i="877"/>
  <c r="L13" i="877"/>
  <c r="L10" i="877"/>
  <c r="K10" i="877" s="1"/>
  <c r="L8" i="877"/>
  <c r="K8" i="877" s="1"/>
  <c r="L7" i="877"/>
  <c r="K7" i="877" s="1"/>
  <c r="K13" i="877"/>
  <c r="K11" i="877"/>
  <c r="A75" i="877"/>
  <c r="A76" i="877" s="1"/>
  <c r="A77" i="877" s="1"/>
  <c r="A78" i="877" s="1"/>
  <c r="A79" i="877" s="1"/>
  <c r="A80" i="877" s="1"/>
  <c r="A81" i="877" s="1"/>
  <c r="A74" i="877"/>
  <c r="AF60" i="877"/>
  <c r="AF59" i="877"/>
  <c r="AF62" i="877" s="1"/>
  <c r="AA21" i="877"/>
  <c r="Z21" i="877"/>
  <c r="Y21" i="877"/>
  <c r="X21" i="877"/>
  <c r="W21" i="877"/>
  <c r="V21" i="877"/>
  <c r="U21" i="877"/>
  <c r="T21" i="877"/>
  <c r="S21" i="877"/>
  <c r="R21" i="877"/>
  <c r="N21" i="877"/>
  <c r="J21" i="877"/>
  <c r="I21" i="877"/>
  <c r="AF20" i="877"/>
  <c r="AB20" i="877"/>
  <c r="Q20" i="877"/>
  <c r="P20" i="877"/>
  <c r="AC20" i="877" s="1"/>
  <c r="O20" i="877"/>
  <c r="M20" i="877"/>
  <c r="K20" i="877"/>
  <c r="AF19" i="877"/>
  <c r="Q19" i="877"/>
  <c r="P19" i="877" s="1"/>
  <c r="AC19" i="877" s="1"/>
  <c r="O19" i="877"/>
  <c r="AB19" i="877"/>
  <c r="AF18" i="877"/>
  <c r="Q18" i="877"/>
  <c r="O18" i="877"/>
  <c r="AF17" i="877"/>
  <c r="AB17" i="877"/>
  <c r="Q17" i="877"/>
  <c r="P17" i="877"/>
  <c r="AC17" i="877" s="1"/>
  <c r="AD17" i="877" s="1"/>
  <c r="O17" i="877"/>
  <c r="M17" i="877"/>
  <c r="K17" i="877"/>
  <c r="AF16" i="877"/>
  <c r="Q16" i="877"/>
  <c r="P16" i="877" s="1"/>
  <c r="AC16" i="877" s="1"/>
  <c r="O16" i="877"/>
  <c r="AB16" i="877"/>
  <c r="AF15" i="877"/>
  <c r="AB15" i="877"/>
  <c r="Q15" i="877"/>
  <c r="P15" i="877" s="1"/>
  <c r="AC15" i="877" s="1"/>
  <c r="O15" i="877"/>
  <c r="M15" i="877"/>
  <c r="K15" i="877"/>
  <c r="AF14" i="877"/>
  <c r="AB14" i="877"/>
  <c r="Q14" i="877"/>
  <c r="P14" i="877" s="1"/>
  <c r="AC14" i="877" s="1"/>
  <c r="O14" i="877"/>
  <c r="M14" i="877"/>
  <c r="K14" i="877"/>
  <c r="AF13" i="877"/>
  <c r="AB13" i="877"/>
  <c r="Q13" i="877"/>
  <c r="P13" i="877" s="1"/>
  <c r="AC13" i="877" s="1"/>
  <c r="O13" i="877"/>
  <c r="M13" i="877"/>
  <c r="AF12" i="877"/>
  <c r="AC12" i="877"/>
  <c r="AB12" i="877"/>
  <c r="Q12" i="877"/>
  <c r="P12" i="877"/>
  <c r="O12" i="877"/>
  <c r="M12" i="877"/>
  <c r="K12" i="877"/>
  <c r="AF11" i="877"/>
  <c r="AB11" i="877"/>
  <c r="Q11" i="877"/>
  <c r="P11" i="877"/>
  <c r="AC11" i="877" s="1"/>
  <c r="O11" i="877"/>
  <c r="M11" i="877"/>
  <c r="AF10" i="877"/>
  <c r="AB10" i="877"/>
  <c r="Q10" i="877"/>
  <c r="P10" i="877" s="1"/>
  <c r="AC10" i="877" s="1"/>
  <c r="O10" i="877"/>
  <c r="M10" i="877"/>
  <c r="AF9" i="877"/>
  <c r="AB9" i="877"/>
  <c r="Q9" i="877"/>
  <c r="P9" i="877"/>
  <c r="AC9" i="877" s="1"/>
  <c r="O9" i="877"/>
  <c r="M9" i="877"/>
  <c r="K9" i="877"/>
  <c r="AF8" i="877"/>
  <c r="AB8" i="877"/>
  <c r="Q8" i="877"/>
  <c r="P8" i="877" s="1"/>
  <c r="AC8" i="877" s="1"/>
  <c r="O8" i="877"/>
  <c r="M8" i="877"/>
  <c r="AF7" i="877"/>
  <c r="Q7" i="877"/>
  <c r="L21" i="877"/>
  <c r="O21" i="877" s="1"/>
  <c r="AF6" i="877"/>
  <c r="AB6" i="877"/>
  <c r="Q6" i="877"/>
  <c r="P6" i="877"/>
  <c r="O6" i="877"/>
  <c r="M6" i="877"/>
  <c r="K6" i="877"/>
  <c r="AD18" i="878" l="1"/>
  <c r="AB21" i="878"/>
  <c r="M21" i="878"/>
  <c r="AD7" i="878"/>
  <c r="AD15" i="878"/>
  <c r="P21" i="878"/>
  <c r="AC21" i="878"/>
  <c r="AD6" i="878"/>
  <c r="AD8" i="877"/>
  <c r="AD10" i="877"/>
  <c r="AD13" i="877"/>
  <c r="Q21" i="877"/>
  <c r="AD15" i="877"/>
  <c r="P18" i="877"/>
  <c r="AC18" i="877" s="1"/>
  <c r="AB18" i="877"/>
  <c r="M18" i="877"/>
  <c r="AD9" i="877"/>
  <c r="AD12" i="877"/>
  <c r="AD14" i="877"/>
  <c r="AD19" i="877"/>
  <c r="AD11" i="877"/>
  <c r="AD16" i="877"/>
  <c r="AD20" i="877"/>
  <c r="O7" i="877"/>
  <c r="M16" i="877"/>
  <c r="M19" i="877"/>
  <c r="M7" i="877"/>
  <c r="AB7" i="877"/>
  <c r="AC6" i="877"/>
  <c r="K21" i="877"/>
  <c r="P7" i="877"/>
  <c r="AC7" i="877" s="1"/>
  <c r="L18" i="16"/>
  <c r="L17" i="16"/>
  <c r="L16" i="16"/>
  <c r="L15" i="16"/>
  <c r="L14" i="16"/>
  <c r="L13" i="16"/>
  <c r="L12" i="16"/>
  <c r="L11" i="16"/>
  <c r="L10" i="16"/>
  <c r="L9" i="16"/>
  <c r="L8" i="16"/>
  <c r="L7" i="16"/>
  <c r="L6" i="16"/>
  <c r="L5" i="16"/>
  <c r="L4" i="16"/>
  <c r="L3" i="16"/>
  <c r="L19" i="876"/>
  <c r="L18" i="876"/>
  <c r="L16" i="876"/>
  <c r="L13" i="876"/>
  <c r="L8" i="876"/>
  <c r="K8" i="876" s="1"/>
  <c r="L7" i="876"/>
  <c r="K7" i="876" s="1"/>
  <c r="K19" i="876"/>
  <c r="K18" i="876"/>
  <c r="K14" i="876"/>
  <c r="K13" i="876"/>
  <c r="K10" i="876"/>
  <c r="K9" i="876"/>
  <c r="A74" i="876"/>
  <c r="A75" i="876" s="1"/>
  <c r="A76" i="876" s="1"/>
  <c r="A77" i="876" s="1"/>
  <c r="A78" i="876" s="1"/>
  <c r="A79" i="876" s="1"/>
  <c r="A80" i="876" s="1"/>
  <c r="A81" i="876" s="1"/>
  <c r="AF60" i="876"/>
  <c r="AF59" i="876"/>
  <c r="AF62" i="876" s="1"/>
  <c r="AA21" i="876"/>
  <c r="Z21" i="876"/>
  <c r="Y21" i="876"/>
  <c r="X21" i="876"/>
  <c r="W21" i="876"/>
  <c r="V21" i="876"/>
  <c r="U21" i="876"/>
  <c r="T21" i="876"/>
  <c r="S21" i="876"/>
  <c r="R21" i="876"/>
  <c r="N21" i="876"/>
  <c r="J21" i="876"/>
  <c r="I21" i="876"/>
  <c r="AF20" i="876"/>
  <c r="AB20" i="876"/>
  <c r="Q20" i="876"/>
  <c r="P20" i="876"/>
  <c r="AC20" i="876" s="1"/>
  <c r="O20" i="876"/>
  <c r="M20" i="876"/>
  <c r="K20" i="876"/>
  <c r="AF19" i="876"/>
  <c r="AB19" i="876"/>
  <c r="Q19" i="876"/>
  <c r="M19" i="876"/>
  <c r="P19" i="876"/>
  <c r="AC19" i="876" s="1"/>
  <c r="AF18" i="876"/>
  <c r="Q18" i="876"/>
  <c r="P18" i="876"/>
  <c r="AC18" i="876" s="1"/>
  <c r="AF17" i="876"/>
  <c r="AB17" i="876"/>
  <c r="Q17" i="876"/>
  <c r="P17" i="876"/>
  <c r="AC17" i="876" s="1"/>
  <c r="O17" i="876"/>
  <c r="M17" i="876"/>
  <c r="K17" i="876"/>
  <c r="AF16" i="876"/>
  <c r="AB16" i="876"/>
  <c r="Q16" i="876"/>
  <c r="M16" i="876"/>
  <c r="AF15" i="876"/>
  <c r="AB15" i="876"/>
  <c r="Q15" i="876"/>
  <c r="P15" i="876"/>
  <c r="AC15" i="876" s="1"/>
  <c r="O15" i="876"/>
  <c r="M15" i="876"/>
  <c r="K15" i="876"/>
  <c r="AF14" i="876"/>
  <c r="AB14" i="876"/>
  <c r="Q14" i="876"/>
  <c r="P14" i="876" s="1"/>
  <c r="AC14" i="876" s="1"/>
  <c r="O14" i="876"/>
  <c r="M14" i="876"/>
  <c r="AF13" i="876"/>
  <c r="Q13" i="876"/>
  <c r="P13" i="876" s="1"/>
  <c r="AC13" i="876" s="1"/>
  <c r="AF12" i="876"/>
  <c r="AB12" i="876"/>
  <c r="Q12" i="876"/>
  <c r="P12" i="876"/>
  <c r="AC12" i="876" s="1"/>
  <c r="AD12" i="876" s="1"/>
  <c r="O12" i="876"/>
  <c r="M12" i="876"/>
  <c r="K12" i="876"/>
  <c r="AF11" i="876"/>
  <c r="AB11" i="876"/>
  <c r="Q11" i="876"/>
  <c r="P11" i="876" s="1"/>
  <c r="AC11" i="876" s="1"/>
  <c r="O11" i="876"/>
  <c r="M11" i="876"/>
  <c r="K11" i="876"/>
  <c r="AF10" i="876"/>
  <c r="AB10" i="876"/>
  <c r="Q10" i="876"/>
  <c r="P10" i="876"/>
  <c r="AC10" i="876" s="1"/>
  <c r="O10" i="876"/>
  <c r="M10" i="876"/>
  <c r="AF9" i="876"/>
  <c r="AB9" i="876"/>
  <c r="Q9" i="876"/>
  <c r="O9" i="876"/>
  <c r="M9" i="876"/>
  <c r="P9" i="876"/>
  <c r="AC9" i="876" s="1"/>
  <c r="AF8" i="876"/>
  <c r="Q8" i="876"/>
  <c r="AF7" i="876"/>
  <c r="Q7" i="876"/>
  <c r="P7" i="876" s="1"/>
  <c r="AC7" i="876" s="1"/>
  <c r="AF6" i="876"/>
  <c r="AC6" i="876"/>
  <c r="AB6" i="876"/>
  <c r="Q6" i="876"/>
  <c r="P6" i="876"/>
  <c r="O6" i="876"/>
  <c r="M6" i="876"/>
  <c r="K6" i="876"/>
  <c r="AD21" i="878" l="1"/>
  <c r="AE12" i="878" s="1"/>
  <c r="AB21" i="877"/>
  <c r="AD18" i="877"/>
  <c r="M21" i="877"/>
  <c r="P21" i="877"/>
  <c r="AC21" i="877"/>
  <c r="AD6" i="877"/>
  <c r="AD7" i="877"/>
  <c r="P16" i="876"/>
  <c r="AC16" i="876" s="1"/>
  <c r="K16" i="876"/>
  <c r="L21" i="876"/>
  <c r="O21" i="876" s="1"/>
  <c r="P8" i="876"/>
  <c r="AC8" i="876" s="1"/>
  <c r="AC21" i="876" s="1"/>
  <c r="Q21" i="876"/>
  <c r="AD9" i="876"/>
  <c r="AD15" i="876"/>
  <c r="AD17" i="876"/>
  <c r="AD14" i="876"/>
  <c r="AD11" i="876"/>
  <c r="AD10" i="876"/>
  <c r="AD20" i="876"/>
  <c r="AB8" i="876"/>
  <c r="AD8" i="876" s="1"/>
  <c r="M7" i="876"/>
  <c r="AB7" i="876"/>
  <c r="O8" i="876"/>
  <c r="M13" i="876"/>
  <c r="AB13" i="876"/>
  <c r="O16" i="876"/>
  <c r="AD16" i="876" s="1"/>
  <c r="M18" i="876"/>
  <c r="AB18" i="876"/>
  <c r="O19" i="876"/>
  <c r="AD19" i="876" s="1"/>
  <c r="AD6" i="876"/>
  <c r="M8" i="876"/>
  <c r="O7" i="876"/>
  <c r="K21" i="876"/>
  <c r="O13" i="876"/>
  <c r="O18" i="876"/>
  <c r="AE11" i="866"/>
  <c r="AE12" i="866"/>
  <c r="AE13" i="866"/>
  <c r="AE14" i="866"/>
  <c r="AE15" i="866"/>
  <c r="AE16" i="866"/>
  <c r="AE10" i="867"/>
  <c r="AE11" i="867"/>
  <c r="AE12" i="867"/>
  <c r="AE13" i="867"/>
  <c r="AE14" i="867"/>
  <c r="AE15" i="867"/>
  <c r="AE16" i="867"/>
  <c r="AE17" i="867"/>
  <c r="AE11" i="868"/>
  <c r="AE12" i="868"/>
  <c r="AE13" i="868"/>
  <c r="AE14" i="868"/>
  <c r="AE15" i="868"/>
  <c r="AE16" i="868"/>
  <c r="AE12" i="869"/>
  <c r="AE13" i="869"/>
  <c r="AE14" i="869"/>
  <c r="AE15" i="869"/>
  <c r="AE16" i="869"/>
  <c r="AE17" i="869"/>
  <c r="AE18" i="869"/>
  <c r="AE12" i="870"/>
  <c r="AE13" i="870"/>
  <c r="AE14" i="870"/>
  <c r="AE15" i="870"/>
  <c r="AE12" i="871"/>
  <c r="AE13" i="871"/>
  <c r="AE14" i="871"/>
  <c r="AE15" i="871"/>
  <c r="AE16" i="871"/>
  <c r="AE17" i="871"/>
  <c r="AE13" i="872"/>
  <c r="AE14" i="872"/>
  <c r="AE15" i="872"/>
  <c r="AE16" i="872"/>
  <c r="AE17" i="872"/>
  <c r="AE12" i="873"/>
  <c r="AE13" i="873"/>
  <c r="AE14" i="873"/>
  <c r="AE15" i="873"/>
  <c r="AE16" i="873"/>
  <c r="AE17" i="873"/>
  <c r="AE14" i="874"/>
  <c r="AE15" i="874"/>
  <c r="AE16" i="874"/>
  <c r="AE17" i="874"/>
  <c r="AE14" i="875"/>
  <c r="AE15" i="875"/>
  <c r="AE16" i="875"/>
  <c r="AE17" i="875"/>
  <c r="AE18" i="875"/>
  <c r="AE19" i="875"/>
  <c r="K18" i="16"/>
  <c r="K17" i="16"/>
  <c r="K16" i="16"/>
  <c r="K15" i="16"/>
  <c r="K14" i="16"/>
  <c r="K13" i="16"/>
  <c r="K12" i="16"/>
  <c r="K11" i="16"/>
  <c r="K10" i="16"/>
  <c r="K9" i="16"/>
  <c r="K8" i="16"/>
  <c r="K7" i="16"/>
  <c r="K6" i="16"/>
  <c r="K5" i="16"/>
  <c r="K4" i="16"/>
  <c r="K3" i="16"/>
  <c r="AF7" i="875"/>
  <c r="L19" i="875"/>
  <c r="L18" i="875"/>
  <c r="L16" i="875"/>
  <c r="K16" i="875" s="1"/>
  <c r="L13" i="875"/>
  <c r="K13" i="875" s="1"/>
  <c r="K11" i="875"/>
  <c r="L10" i="875"/>
  <c r="K10" i="875" s="1"/>
  <c r="L9" i="875"/>
  <c r="K9" i="875" s="1"/>
  <c r="L8" i="875"/>
  <c r="L7" i="875"/>
  <c r="O7" i="875" s="1"/>
  <c r="Q7" i="875"/>
  <c r="P7" i="875" s="1"/>
  <c r="AC7" i="875" s="1"/>
  <c r="M7" i="875"/>
  <c r="K19" i="875"/>
  <c r="K18" i="875"/>
  <c r="K17" i="875"/>
  <c r="K12" i="875"/>
  <c r="K8" i="875"/>
  <c r="K6" i="875"/>
  <c r="A74" i="875"/>
  <c r="A75" i="875" s="1"/>
  <c r="A76" i="875" s="1"/>
  <c r="A77" i="875" s="1"/>
  <c r="A78" i="875" s="1"/>
  <c r="A79" i="875" s="1"/>
  <c r="A80" i="875" s="1"/>
  <c r="A81" i="875" s="1"/>
  <c r="AF60" i="875"/>
  <c r="AF59" i="875"/>
  <c r="AA21" i="875"/>
  <c r="Z21" i="875"/>
  <c r="Y21" i="875"/>
  <c r="X21" i="875"/>
  <c r="W21" i="875"/>
  <c r="V21" i="875"/>
  <c r="U21" i="875"/>
  <c r="T21" i="875"/>
  <c r="S21" i="875"/>
  <c r="R21" i="875"/>
  <c r="N21" i="875"/>
  <c r="J21" i="875"/>
  <c r="I21" i="875"/>
  <c r="AF20" i="875"/>
  <c r="AB20" i="875"/>
  <c r="Q20" i="875"/>
  <c r="P20" i="875"/>
  <c r="AC20" i="875" s="1"/>
  <c r="O20" i="875"/>
  <c r="M20" i="875"/>
  <c r="K20" i="875"/>
  <c r="AF19" i="875"/>
  <c r="Q19" i="875"/>
  <c r="P19" i="875" s="1"/>
  <c r="AC19" i="875" s="1"/>
  <c r="O19" i="875"/>
  <c r="AF18" i="875"/>
  <c r="Q18" i="875"/>
  <c r="P18" i="875" s="1"/>
  <c r="AC18" i="875" s="1"/>
  <c r="O18" i="875"/>
  <c r="AB18" i="875"/>
  <c r="AF17" i="875"/>
  <c r="AB17" i="875"/>
  <c r="Q17" i="875"/>
  <c r="P17" i="875"/>
  <c r="AC17" i="875" s="1"/>
  <c r="O17" i="875"/>
  <c r="M17" i="875"/>
  <c r="AF16" i="875"/>
  <c r="Q16" i="875"/>
  <c r="P16" i="875" s="1"/>
  <c r="AC16" i="875" s="1"/>
  <c r="AF15" i="875"/>
  <c r="AB15" i="875"/>
  <c r="Q15" i="875"/>
  <c r="P15" i="875"/>
  <c r="AC15" i="875" s="1"/>
  <c r="O15" i="875"/>
  <c r="M15" i="875"/>
  <c r="K15" i="875"/>
  <c r="AF14" i="875"/>
  <c r="AB14" i="875"/>
  <c r="Q14" i="875"/>
  <c r="P14" i="875" s="1"/>
  <c r="AC14" i="875" s="1"/>
  <c r="O14" i="875"/>
  <c r="M14" i="875"/>
  <c r="K14" i="875"/>
  <c r="AF13" i="875"/>
  <c r="Q13" i="875"/>
  <c r="P13" i="875" s="1"/>
  <c r="AC13" i="875" s="1"/>
  <c r="O13" i="875"/>
  <c r="AF12" i="875"/>
  <c r="Q12" i="875"/>
  <c r="P12" i="875"/>
  <c r="AC12" i="875" s="1"/>
  <c r="O12" i="875"/>
  <c r="AB12" i="875"/>
  <c r="AF11" i="875"/>
  <c r="AB11" i="875"/>
  <c r="Q11" i="875"/>
  <c r="P11" i="875"/>
  <c r="AC11" i="875" s="1"/>
  <c r="O11" i="875"/>
  <c r="M11" i="875"/>
  <c r="AF10" i="875"/>
  <c r="AB10" i="875"/>
  <c r="Q10" i="875"/>
  <c r="P10" i="875" s="1"/>
  <c r="AC10" i="875" s="1"/>
  <c r="O10" i="875"/>
  <c r="M10" i="875"/>
  <c r="AF9" i="875"/>
  <c r="Q9" i="875"/>
  <c r="P9" i="875" s="1"/>
  <c r="AC9" i="875" s="1"/>
  <c r="AF8" i="875"/>
  <c r="Q8" i="875"/>
  <c r="P8" i="875"/>
  <c r="AC8" i="875" s="1"/>
  <c r="L21" i="875"/>
  <c r="O21" i="875" s="1"/>
  <c r="AF6" i="875"/>
  <c r="AB6" i="875"/>
  <c r="Q6" i="875"/>
  <c r="P6" i="875"/>
  <c r="AC6" i="875" s="1"/>
  <c r="O6" i="875"/>
  <c r="M6" i="875"/>
  <c r="AE14" i="878" l="1"/>
  <c r="AE20" i="878"/>
  <c r="AE18" i="878"/>
  <c r="AE9" i="878"/>
  <c r="AE11" i="878"/>
  <c r="AE13" i="878"/>
  <c r="AE15" i="878"/>
  <c r="AE7" i="878"/>
  <c r="AE16" i="878"/>
  <c r="AE10" i="878"/>
  <c r="AE19" i="878"/>
  <c r="AE6" i="878"/>
  <c r="AE17" i="878"/>
  <c r="AE8" i="878"/>
  <c r="AD21" i="877"/>
  <c r="M21" i="876"/>
  <c r="AD18" i="876"/>
  <c r="P21" i="876"/>
  <c r="AB21" i="876"/>
  <c r="AD13" i="876"/>
  <c r="AD7" i="876"/>
  <c r="AD17" i="875"/>
  <c r="AD18" i="875"/>
  <c r="AF62" i="875"/>
  <c r="AD14" i="875"/>
  <c r="AD10" i="875"/>
  <c r="K7" i="875"/>
  <c r="K21" i="875" s="1"/>
  <c r="AB7" i="875"/>
  <c r="AD7" i="875" s="1"/>
  <c r="Q21" i="875"/>
  <c r="AD11" i="875"/>
  <c r="AD15" i="875"/>
  <c r="AD20" i="875"/>
  <c r="P21" i="875"/>
  <c r="AC21" i="875"/>
  <c r="AD12" i="875"/>
  <c r="M9" i="875"/>
  <c r="AB9" i="875"/>
  <c r="AB16" i="875"/>
  <c r="AD6" i="875"/>
  <c r="M8" i="875"/>
  <c r="AB8" i="875"/>
  <c r="O9" i="875"/>
  <c r="M13" i="875"/>
  <c r="AB13" i="875"/>
  <c r="AD13" i="875" s="1"/>
  <c r="O16" i="875"/>
  <c r="M19" i="875"/>
  <c r="AB19" i="875"/>
  <c r="AD19" i="875" s="1"/>
  <c r="M16" i="875"/>
  <c r="O8" i="875"/>
  <c r="M12" i="875"/>
  <c r="M18" i="875"/>
  <c r="J18" i="16"/>
  <c r="J17" i="16"/>
  <c r="J16" i="16"/>
  <c r="J15" i="16"/>
  <c r="J14" i="16"/>
  <c r="J13" i="16"/>
  <c r="J12" i="16"/>
  <c r="J11" i="16"/>
  <c r="J10" i="16"/>
  <c r="J9" i="16"/>
  <c r="J8" i="16"/>
  <c r="J7" i="16"/>
  <c r="J6" i="16"/>
  <c r="J5" i="16"/>
  <c r="J4" i="16"/>
  <c r="J3" i="16"/>
  <c r="L20" i="874"/>
  <c r="L19" i="874"/>
  <c r="L18" i="874"/>
  <c r="K18" i="874" s="1"/>
  <c r="L17" i="874"/>
  <c r="K17" i="874" s="1"/>
  <c r="L14" i="874"/>
  <c r="K12" i="874"/>
  <c r="AF12" i="874"/>
  <c r="Q12" i="874"/>
  <c r="P12" i="874" s="1"/>
  <c r="AC12" i="874" s="1"/>
  <c r="AB12" i="874"/>
  <c r="L13" i="874"/>
  <c r="K13" i="874" s="1"/>
  <c r="L10" i="874"/>
  <c r="K10" i="874" s="1"/>
  <c r="L9" i="874"/>
  <c r="K9" i="874" s="1"/>
  <c r="L8" i="874"/>
  <c r="L7" i="874"/>
  <c r="K7" i="874" s="1"/>
  <c r="L6" i="874"/>
  <c r="K6" i="874" s="1"/>
  <c r="K20" i="874"/>
  <c r="K19" i="874"/>
  <c r="K14" i="874"/>
  <c r="K8" i="874"/>
  <c r="A76" i="874"/>
  <c r="A77" i="874" s="1"/>
  <c r="A78" i="874" s="1"/>
  <c r="A79" i="874" s="1"/>
  <c r="A80" i="874" s="1"/>
  <c r="A81" i="874" s="1"/>
  <c r="A82" i="874" s="1"/>
  <c r="A75" i="874"/>
  <c r="AF61" i="874"/>
  <c r="AF60" i="874"/>
  <c r="AF63" i="874" s="1"/>
  <c r="AA22" i="874"/>
  <c r="Z22" i="874"/>
  <c r="Y22" i="874"/>
  <c r="X22" i="874"/>
  <c r="W22" i="874"/>
  <c r="V22" i="874"/>
  <c r="U22" i="874"/>
  <c r="T22" i="874"/>
  <c r="S22" i="874"/>
  <c r="R22" i="874"/>
  <c r="N22" i="874"/>
  <c r="J22" i="874"/>
  <c r="I22" i="874"/>
  <c r="AF21" i="874"/>
  <c r="AB21" i="874"/>
  <c r="Q21" i="874"/>
  <c r="P21" i="874"/>
  <c r="AC21" i="874" s="1"/>
  <c r="AD21" i="874" s="1"/>
  <c r="O21" i="874"/>
  <c r="M21" i="874"/>
  <c r="K21" i="874"/>
  <c r="AF20" i="874"/>
  <c r="Q20" i="874"/>
  <c r="O20" i="874"/>
  <c r="M20" i="874"/>
  <c r="P20" i="874"/>
  <c r="AC20" i="874" s="1"/>
  <c r="AF19" i="874"/>
  <c r="AB19" i="874"/>
  <c r="Q19" i="874"/>
  <c r="P19" i="874" s="1"/>
  <c r="AC19" i="874" s="1"/>
  <c r="M19" i="874"/>
  <c r="AF18" i="874"/>
  <c r="AB18" i="874"/>
  <c r="Q18" i="874"/>
  <c r="P18" i="874" s="1"/>
  <c r="AC18" i="874" s="1"/>
  <c r="O18" i="874"/>
  <c r="M18" i="874"/>
  <c r="AF17" i="874"/>
  <c r="AB17" i="874"/>
  <c r="Q17" i="874"/>
  <c r="O17" i="874"/>
  <c r="M17" i="874"/>
  <c r="P17" i="874"/>
  <c r="AC17" i="874" s="1"/>
  <c r="AF16" i="874"/>
  <c r="AB16" i="874"/>
  <c r="Q16" i="874"/>
  <c r="P16" i="874"/>
  <c r="AC16" i="874" s="1"/>
  <c r="O16" i="874"/>
  <c r="M16" i="874"/>
  <c r="K16" i="874"/>
  <c r="AF15" i="874"/>
  <c r="AB15" i="874"/>
  <c r="Q15" i="874"/>
  <c r="P15" i="874"/>
  <c r="AC15" i="874" s="1"/>
  <c r="O15" i="874"/>
  <c r="M15" i="874"/>
  <c r="K15" i="874"/>
  <c r="AF14" i="874"/>
  <c r="AB14" i="874"/>
  <c r="Q14" i="874"/>
  <c r="P14" i="874" s="1"/>
  <c r="AC14" i="874" s="1"/>
  <c r="M14" i="874"/>
  <c r="AF13" i="874"/>
  <c r="AB13" i="874"/>
  <c r="Q13" i="874"/>
  <c r="P13" i="874" s="1"/>
  <c r="AC13" i="874" s="1"/>
  <c r="O13" i="874"/>
  <c r="M13" i="874"/>
  <c r="AF11" i="874"/>
  <c r="AB11" i="874"/>
  <c r="Q11" i="874"/>
  <c r="P11" i="874"/>
  <c r="AC11" i="874" s="1"/>
  <c r="O11" i="874"/>
  <c r="M11" i="874"/>
  <c r="K11" i="874"/>
  <c r="AF10" i="874"/>
  <c r="Q10" i="874"/>
  <c r="O10" i="874"/>
  <c r="AF9" i="874"/>
  <c r="AB9" i="874"/>
  <c r="Q9" i="874"/>
  <c r="P9" i="874" s="1"/>
  <c r="AC9" i="874" s="1"/>
  <c r="O9" i="874"/>
  <c r="M9" i="874"/>
  <c r="AF8" i="874"/>
  <c r="AB8" i="874"/>
  <c r="Q8" i="874"/>
  <c r="P8" i="874" s="1"/>
  <c r="AC8" i="874" s="1"/>
  <c r="M8" i="874"/>
  <c r="AF7" i="874"/>
  <c r="Q7" i="874"/>
  <c r="O7" i="874"/>
  <c r="AF6" i="874"/>
  <c r="AB6" i="874"/>
  <c r="Q6" i="874"/>
  <c r="O6" i="874"/>
  <c r="M6" i="874"/>
  <c r="AE19" i="877" l="1"/>
  <c r="AE16" i="877"/>
  <c r="AE20" i="877"/>
  <c r="AE17" i="877"/>
  <c r="AE12" i="877"/>
  <c r="AE10" i="877"/>
  <c r="AE8" i="877"/>
  <c r="AE9" i="877"/>
  <c r="AE6" i="877"/>
  <c r="AE14" i="877"/>
  <c r="AE7" i="877"/>
  <c r="AE18" i="877"/>
  <c r="AE15" i="877"/>
  <c r="AE13" i="877"/>
  <c r="AE11" i="877"/>
  <c r="AD21" i="876"/>
  <c r="AE19" i="876" s="1"/>
  <c r="AD16" i="875"/>
  <c r="AD9" i="875"/>
  <c r="AB21" i="875"/>
  <c r="M21" i="875"/>
  <c r="AD8" i="875"/>
  <c r="AD15" i="874"/>
  <c r="AD18" i="874"/>
  <c r="O12" i="874"/>
  <c r="AD12" i="874" s="1"/>
  <c r="AD11" i="874"/>
  <c r="M12" i="874"/>
  <c r="Q22" i="874"/>
  <c r="AD13" i="874"/>
  <c r="P6" i="874"/>
  <c r="AC6" i="874" s="1"/>
  <c r="AD16" i="874"/>
  <c r="AD17" i="874"/>
  <c r="AD9" i="874"/>
  <c r="P7" i="874"/>
  <c r="AC7" i="874" s="1"/>
  <c r="P10" i="874"/>
  <c r="AC10" i="874" s="1"/>
  <c r="AB20" i="874"/>
  <c r="AD20" i="874" s="1"/>
  <c r="M7" i="874"/>
  <c r="AB7" i="874"/>
  <c r="O8" i="874"/>
  <c r="AD8" i="874" s="1"/>
  <c r="M10" i="874"/>
  <c r="AB10" i="874"/>
  <c r="O14" i="874"/>
  <c r="AD14" i="874" s="1"/>
  <c r="O19" i="874"/>
  <c r="AD19" i="874" s="1"/>
  <c r="K22" i="874"/>
  <c r="L22" i="874"/>
  <c r="O22" i="874" s="1"/>
  <c r="I18" i="16"/>
  <c r="I17" i="16"/>
  <c r="I16" i="16"/>
  <c r="I15" i="16"/>
  <c r="I14" i="16"/>
  <c r="I13" i="16"/>
  <c r="I12" i="16"/>
  <c r="I11" i="16"/>
  <c r="I10" i="16"/>
  <c r="I9" i="16"/>
  <c r="I8" i="16"/>
  <c r="I7" i="16"/>
  <c r="I6" i="16"/>
  <c r="I5" i="16"/>
  <c r="I4" i="16"/>
  <c r="I3" i="16"/>
  <c r="L19" i="873"/>
  <c r="O19" i="873" s="1"/>
  <c r="L18" i="873"/>
  <c r="L16" i="873"/>
  <c r="K16" i="873" s="1"/>
  <c r="L13" i="873"/>
  <c r="K13" i="873" s="1"/>
  <c r="L10" i="873"/>
  <c r="K9" i="873"/>
  <c r="L8" i="873"/>
  <c r="L7" i="873"/>
  <c r="K7" i="873" s="1"/>
  <c r="K19" i="873"/>
  <c r="K18" i="873"/>
  <c r="K17" i="873"/>
  <c r="K11" i="873"/>
  <c r="K10" i="873"/>
  <c r="K8" i="873"/>
  <c r="K6" i="873"/>
  <c r="A74" i="873"/>
  <c r="A75" i="873" s="1"/>
  <c r="A76" i="873" s="1"/>
  <c r="A77" i="873" s="1"/>
  <c r="A78" i="873" s="1"/>
  <c r="A79" i="873" s="1"/>
  <c r="A80" i="873" s="1"/>
  <c r="A81" i="873" s="1"/>
  <c r="AF60" i="873"/>
  <c r="AF62" i="873" s="1"/>
  <c r="AF59" i="873"/>
  <c r="AA21" i="873"/>
  <c r="Z21" i="873"/>
  <c r="Y21" i="873"/>
  <c r="X21" i="873"/>
  <c r="W21" i="873"/>
  <c r="V21" i="873"/>
  <c r="U21" i="873"/>
  <c r="T21" i="873"/>
  <c r="S21" i="873"/>
  <c r="R21" i="873"/>
  <c r="N21" i="873"/>
  <c r="J21" i="873"/>
  <c r="I21" i="873"/>
  <c r="AF20" i="873"/>
  <c r="AB20" i="873"/>
  <c r="Q20" i="873"/>
  <c r="P20" i="873"/>
  <c r="AC20" i="873" s="1"/>
  <c r="O20" i="873"/>
  <c r="M20" i="873"/>
  <c r="K20" i="873"/>
  <c r="AF19" i="873"/>
  <c r="Q19" i="873"/>
  <c r="P19" i="873" s="1"/>
  <c r="AC19" i="873" s="1"/>
  <c r="AF18" i="873"/>
  <c r="Q18" i="873"/>
  <c r="O18" i="873"/>
  <c r="P18" i="873"/>
  <c r="AC18" i="873" s="1"/>
  <c r="AF17" i="873"/>
  <c r="AB17" i="873"/>
  <c r="Q17" i="873"/>
  <c r="P17" i="873"/>
  <c r="AC17" i="873" s="1"/>
  <c r="O17" i="873"/>
  <c r="M17" i="873"/>
  <c r="AF16" i="873"/>
  <c r="Q16" i="873"/>
  <c r="P16" i="873"/>
  <c r="AC16" i="873" s="1"/>
  <c r="M16" i="873"/>
  <c r="O16" i="873"/>
  <c r="AF15" i="873"/>
  <c r="AC15" i="873"/>
  <c r="AB15" i="873"/>
  <c r="Q15" i="873"/>
  <c r="P15" i="873"/>
  <c r="O15" i="873"/>
  <c r="M15" i="873"/>
  <c r="K15" i="873"/>
  <c r="AF14" i="873"/>
  <c r="AC14" i="873"/>
  <c r="AB14" i="873"/>
  <c r="Q14" i="873"/>
  <c r="P14" i="873"/>
  <c r="O14" i="873"/>
  <c r="M14" i="873"/>
  <c r="K14" i="873"/>
  <c r="AF13" i="873"/>
  <c r="Q13" i="873"/>
  <c r="P13" i="873" s="1"/>
  <c r="AC13" i="873" s="1"/>
  <c r="O13" i="873"/>
  <c r="AF12" i="873"/>
  <c r="AB12" i="873"/>
  <c r="Q12" i="873"/>
  <c r="P12" i="873"/>
  <c r="AC12" i="873" s="1"/>
  <c r="O12" i="873"/>
  <c r="M12" i="873"/>
  <c r="K12" i="873"/>
  <c r="AF11" i="873"/>
  <c r="AB11" i="873"/>
  <c r="Q11" i="873"/>
  <c r="P11" i="873"/>
  <c r="AC11" i="873" s="1"/>
  <c r="M11" i="873"/>
  <c r="O11" i="873"/>
  <c r="AF10" i="873"/>
  <c r="Q10" i="873"/>
  <c r="O10" i="873"/>
  <c r="P10" i="873"/>
  <c r="AC10" i="873" s="1"/>
  <c r="AF9" i="873"/>
  <c r="AB9" i="873"/>
  <c r="Q9" i="873"/>
  <c r="P9" i="873" s="1"/>
  <c r="AC9" i="873" s="1"/>
  <c r="O9" i="873"/>
  <c r="M9" i="873"/>
  <c r="AF8" i="873"/>
  <c r="AB8" i="873"/>
  <c r="Q8" i="873"/>
  <c r="P8" i="873"/>
  <c r="AC8" i="873" s="1"/>
  <c r="O8" i="873"/>
  <c r="M8" i="873"/>
  <c r="AF7" i="873"/>
  <c r="Q7" i="873"/>
  <c r="AB7" i="873"/>
  <c r="AF6" i="873"/>
  <c r="AB6" i="873"/>
  <c r="Q6" i="873"/>
  <c r="M6" i="873"/>
  <c r="L21" i="873"/>
  <c r="O21" i="873" s="1"/>
  <c r="AE6" i="876" l="1"/>
  <c r="AE20" i="876"/>
  <c r="AE8" i="876"/>
  <c r="AE15" i="876"/>
  <c r="AE10" i="876"/>
  <c r="AE7" i="876"/>
  <c r="AE11" i="876"/>
  <c r="AE18" i="876"/>
  <c r="AE12" i="876"/>
  <c r="AE9" i="876"/>
  <c r="AE16" i="876"/>
  <c r="AE13" i="876"/>
  <c r="AE17" i="876"/>
  <c r="AE14" i="876"/>
  <c r="AD21" i="875"/>
  <c r="AE7" i="875" s="1"/>
  <c r="AB22" i="874"/>
  <c r="M22" i="874"/>
  <c r="AD7" i="874"/>
  <c r="AD10" i="874"/>
  <c r="AC22" i="874"/>
  <c r="AD6" i="874"/>
  <c r="P22" i="874"/>
  <c r="AD15" i="873"/>
  <c r="AD20" i="873"/>
  <c r="AD8" i="873"/>
  <c r="Q21" i="873"/>
  <c r="P6" i="873"/>
  <c r="AC6" i="873" s="1"/>
  <c r="AD14" i="873"/>
  <c r="AD9" i="873"/>
  <c r="AD17" i="873"/>
  <c r="AD12" i="873"/>
  <c r="AD11" i="873"/>
  <c r="AB16" i="873"/>
  <c r="AD16" i="873" s="1"/>
  <c r="M19" i="873"/>
  <c r="AB19" i="873"/>
  <c r="AD19" i="873" s="1"/>
  <c r="O7" i="873"/>
  <c r="O6" i="873"/>
  <c r="K21" i="873"/>
  <c r="P7" i="873"/>
  <c r="AC7" i="873" s="1"/>
  <c r="AD7" i="873" s="1"/>
  <c r="M10" i="873"/>
  <c r="AB10" i="873"/>
  <c r="AD10" i="873" s="1"/>
  <c r="M13" i="873"/>
  <c r="AB13" i="873"/>
  <c r="M18" i="873"/>
  <c r="AB18" i="873"/>
  <c r="AD18" i="873" s="1"/>
  <c r="M7" i="873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H4" i="16"/>
  <c r="H3" i="16"/>
  <c r="L20" i="872"/>
  <c r="L19" i="872"/>
  <c r="K19" i="872" s="1"/>
  <c r="K18" i="872"/>
  <c r="L17" i="872"/>
  <c r="L14" i="872"/>
  <c r="L12" i="872"/>
  <c r="K12" i="872" s="1"/>
  <c r="L11" i="872"/>
  <c r="K11" i="872" s="1"/>
  <c r="AF11" i="872"/>
  <c r="Q11" i="872"/>
  <c r="P11" i="872" s="1"/>
  <c r="AC11" i="872" s="1"/>
  <c r="K10" i="872"/>
  <c r="L8" i="872"/>
  <c r="K8" i="872" s="1"/>
  <c r="L7" i="872"/>
  <c r="L6" i="872"/>
  <c r="K20" i="872"/>
  <c r="K17" i="872"/>
  <c r="K14" i="872"/>
  <c r="K13" i="872"/>
  <c r="K9" i="872"/>
  <c r="K6" i="872"/>
  <c r="A76" i="872"/>
  <c r="A77" i="872" s="1"/>
  <c r="A78" i="872" s="1"/>
  <c r="A79" i="872" s="1"/>
  <c r="A80" i="872" s="1"/>
  <c r="A81" i="872" s="1"/>
  <c r="A82" i="872" s="1"/>
  <c r="A75" i="872"/>
  <c r="AF61" i="872"/>
  <c r="AF60" i="872"/>
  <c r="AF63" i="872" s="1"/>
  <c r="AA22" i="872"/>
  <c r="Z22" i="872"/>
  <c r="Y22" i="872"/>
  <c r="X22" i="872"/>
  <c r="W22" i="872"/>
  <c r="V22" i="872"/>
  <c r="U22" i="872"/>
  <c r="T22" i="872"/>
  <c r="S22" i="872"/>
  <c r="R22" i="872"/>
  <c r="N22" i="872"/>
  <c r="J22" i="872"/>
  <c r="I22" i="872"/>
  <c r="AF21" i="872"/>
  <c r="AB21" i="872"/>
  <c r="Q21" i="872"/>
  <c r="P21" i="872"/>
  <c r="AC21" i="872" s="1"/>
  <c r="O21" i="872"/>
  <c r="M21" i="872"/>
  <c r="K21" i="872"/>
  <c r="AF20" i="872"/>
  <c r="Q20" i="872"/>
  <c r="O20" i="872"/>
  <c r="M20" i="872"/>
  <c r="P20" i="872"/>
  <c r="AC20" i="872" s="1"/>
  <c r="AF19" i="872"/>
  <c r="AB19" i="872"/>
  <c r="Q19" i="872"/>
  <c r="M19" i="872"/>
  <c r="AF18" i="872"/>
  <c r="AB18" i="872"/>
  <c r="Q18" i="872"/>
  <c r="P18" i="872"/>
  <c r="AC18" i="872" s="1"/>
  <c r="O18" i="872"/>
  <c r="M18" i="872"/>
  <c r="AF17" i="872"/>
  <c r="AB17" i="872"/>
  <c r="Q17" i="872"/>
  <c r="P17" i="872" s="1"/>
  <c r="AC17" i="872" s="1"/>
  <c r="M17" i="872"/>
  <c r="AF16" i="872"/>
  <c r="AB16" i="872"/>
  <c r="Q16" i="872"/>
  <c r="P16" i="872"/>
  <c r="AC16" i="872" s="1"/>
  <c r="AD16" i="872" s="1"/>
  <c r="O16" i="872"/>
  <c r="M16" i="872"/>
  <c r="K16" i="872"/>
  <c r="AF15" i="872"/>
  <c r="AB15" i="872"/>
  <c r="Q15" i="872"/>
  <c r="P15" i="872"/>
  <c r="AC15" i="872" s="1"/>
  <c r="O15" i="872"/>
  <c r="M15" i="872"/>
  <c r="K15" i="872"/>
  <c r="AF14" i="872"/>
  <c r="Q14" i="872"/>
  <c r="O14" i="872"/>
  <c r="AF13" i="872"/>
  <c r="AB13" i="872"/>
  <c r="Q13" i="872"/>
  <c r="P13" i="872"/>
  <c r="AC13" i="872" s="1"/>
  <c r="O13" i="872"/>
  <c r="M13" i="872"/>
  <c r="AF12" i="872"/>
  <c r="AB12" i="872"/>
  <c r="Q12" i="872"/>
  <c r="P12" i="872"/>
  <c r="AC12" i="872" s="1"/>
  <c r="O12" i="872"/>
  <c r="M12" i="872"/>
  <c r="AF10" i="872"/>
  <c r="AB10" i="872"/>
  <c r="Q10" i="872"/>
  <c r="P10" i="872"/>
  <c r="AC10" i="872" s="1"/>
  <c r="O10" i="872"/>
  <c r="M10" i="872"/>
  <c r="AF9" i="872"/>
  <c r="AB9" i="872"/>
  <c r="Q9" i="872"/>
  <c r="M9" i="872"/>
  <c r="P9" i="872"/>
  <c r="AC9" i="872" s="1"/>
  <c r="AF8" i="872"/>
  <c r="Q8" i="872"/>
  <c r="O8" i="872"/>
  <c r="AF7" i="872"/>
  <c r="AB7" i="872"/>
  <c r="Q7" i="872"/>
  <c r="P7" i="872" s="1"/>
  <c r="AC7" i="872" s="1"/>
  <c r="O7" i="872"/>
  <c r="M7" i="872"/>
  <c r="K7" i="872"/>
  <c r="AF6" i="872"/>
  <c r="AB6" i="872"/>
  <c r="Q6" i="872"/>
  <c r="M6" i="872"/>
  <c r="P6" i="872"/>
  <c r="AE13" i="875" l="1"/>
  <c r="AE9" i="875"/>
  <c r="AE8" i="875"/>
  <c r="AE6" i="875"/>
  <c r="AE10" i="875"/>
  <c r="AE20" i="875"/>
  <c r="AE11" i="875"/>
  <c r="AE12" i="875"/>
  <c r="AD22" i="874"/>
  <c r="AE18" i="874" s="1"/>
  <c r="AB21" i="873"/>
  <c r="M21" i="873"/>
  <c r="AC21" i="873"/>
  <c r="AD6" i="873"/>
  <c r="AD13" i="873"/>
  <c r="P21" i="873"/>
  <c r="O19" i="872"/>
  <c r="P19" i="872"/>
  <c r="AC19" i="872" s="1"/>
  <c r="AB11" i="872"/>
  <c r="M11" i="872"/>
  <c r="O11" i="872"/>
  <c r="Q22" i="872"/>
  <c r="AD12" i="872"/>
  <c r="AD7" i="872"/>
  <c r="AD13" i="872"/>
  <c r="AD19" i="872"/>
  <c r="AD15" i="872"/>
  <c r="AD18" i="872"/>
  <c r="AD10" i="872"/>
  <c r="AD21" i="872"/>
  <c r="AC6" i="872"/>
  <c r="P8" i="872"/>
  <c r="AC8" i="872" s="1"/>
  <c r="P14" i="872"/>
  <c r="AC14" i="872" s="1"/>
  <c r="AB20" i="872"/>
  <c r="AD20" i="872" s="1"/>
  <c r="O6" i="872"/>
  <c r="M8" i="872"/>
  <c r="AB8" i="872"/>
  <c r="O9" i="872"/>
  <c r="AD9" i="872" s="1"/>
  <c r="M14" i="872"/>
  <c r="AB14" i="872"/>
  <c r="O17" i="872"/>
  <c r="AD17" i="872" s="1"/>
  <c r="L22" i="872"/>
  <c r="O22" i="872" s="1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L19" i="871"/>
  <c r="L16" i="871"/>
  <c r="L13" i="871"/>
  <c r="K12" i="871"/>
  <c r="L9" i="871"/>
  <c r="K9" i="871" s="1"/>
  <c r="L8" i="871"/>
  <c r="L6" i="871"/>
  <c r="K6" i="871" s="1"/>
  <c r="K19" i="871"/>
  <c r="K18" i="871"/>
  <c r="K16" i="871"/>
  <c r="K8" i="871"/>
  <c r="A75" i="871"/>
  <c r="A76" i="871" s="1"/>
  <c r="A77" i="871" s="1"/>
  <c r="A78" i="871" s="1"/>
  <c r="A79" i="871" s="1"/>
  <c r="A80" i="871" s="1"/>
  <c r="A81" i="871" s="1"/>
  <c r="A74" i="871"/>
  <c r="AF60" i="871"/>
  <c r="AF59" i="871"/>
  <c r="AF62" i="871" s="1"/>
  <c r="AA21" i="871"/>
  <c r="Z21" i="871"/>
  <c r="Y21" i="871"/>
  <c r="X21" i="871"/>
  <c r="W21" i="871"/>
  <c r="V21" i="871"/>
  <c r="U21" i="871"/>
  <c r="T21" i="871"/>
  <c r="S21" i="871"/>
  <c r="R21" i="871"/>
  <c r="N21" i="871"/>
  <c r="J21" i="871"/>
  <c r="I21" i="871"/>
  <c r="AF20" i="871"/>
  <c r="AC20" i="871"/>
  <c r="AB20" i="871"/>
  <c r="Q20" i="871"/>
  <c r="P20" i="871"/>
  <c r="O20" i="871"/>
  <c r="M20" i="871"/>
  <c r="K20" i="871"/>
  <c r="AF19" i="871"/>
  <c r="Q19" i="871"/>
  <c r="O19" i="871"/>
  <c r="P19" i="871"/>
  <c r="AC19" i="871" s="1"/>
  <c r="AF18" i="871"/>
  <c r="AB18" i="871"/>
  <c r="Q18" i="871"/>
  <c r="P18" i="871" s="1"/>
  <c r="AC18" i="871" s="1"/>
  <c r="M18" i="871"/>
  <c r="O18" i="871"/>
  <c r="AF17" i="871"/>
  <c r="AB17" i="871"/>
  <c r="Q17" i="871"/>
  <c r="P17" i="871"/>
  <c r="AC17" i="871" s="1"/>
  <c r="AD17" i="871" s="1"/>
  <c r="O17" i="871"/>
  <c r="M17" i="871"/>
  <c r="K17" i="871"/>
  <c r="AF16" i="871"/>
  <c r="Q16" i="871"/>
  <c r="P16" i="871"/>
  <c r="AC16" i="871" s="1"/>
  <c r="AF15" i="871"/>
  <c r="AB15" i="871"/>
  <c r="Q15" i="871"/>
  <c r="P15" i="871"/>
  <c r="AC15" i="871" s="1"/>
  <c r="O15" i="871"/>
  <c r="M15" i="871"/>
  <c r="K15" i="871"/>
  <c r="AF14" i="871"/>
  <c r="AB14" i="871"/>
  <c r="Q14" i="871"/>
  <c r="P14" i="871"/>
  <c r="AC14" i="871" s="1"/>
  <c r="O14" i="871"/>
  <c r="M14" i="871"/>
  <c r="K14" i="871"/>
  <c r="AF13" i="871"/>
  <c r="AB13" i="871"/>
  <c r="Q13" i="871"/>
  <c r="P13" i="871" s="1"/>
  <c r="AC13" i="871" s="1"/>
  <c r="O13" i="871"/>
  <c r="M13" i="871"/>
  <c r="K13" i="871"/>
  <c r="AF12" i="871"/>
  <c r="AB12" i="871"/>
  <c r="Q12" i="871"/>
  <c r="P12" i="871" s="1"/>
  <c r="AC12" i="871" s="1"/>
  <c r="O12" i="871"/>
  <c r="M12" i="871"/>
  <c r="AF11" i="871"/>
  <c r="AC11" i="871"/>
  <c r="AD11" i="871" s="1"/>
  <c r="AB11" i="871"/>
  <c r="Q11" i="871"/>
  <c r="P11" i="871"/>
  <c r="O11" i="871"/>
  <c r="M11" i="871"/>
  <c r="K11" i="871"/>
  <c r="AF10" i="871"/>
  <c r="AC10" i="871"/>
  <c r="AB10" i="871"/>
  <c r="Q10" i="871"/>
  <c r="P10" i="871"/>
  <c r="O10" i="871"/>
  <c r="M10" i="871"/>
  <c r="K10" i="871"/>
  <c r="AF9" i="871"/>
  <c r="Q9" i="871"/>
  <c r="P9" i="871" s="1"/>
  <c r="AC9" i="871" s="1"/>
  <c r="AF8" i="871"/>
  <c r="AB8" i="871"/>
  <c r="Q8" i="871"/>
  <c r="P8" i="871"/>
  <c r="AC8" i="871" s="1"/>
  <c r="M8" i="871"/>
  <c r="O8" i="871"/>
  <c r="AF7" i="871"/>
  <c r="AB7" i="871"/>
  <c r="Q7" i="871"/>
  <c r="P7" i="871"/>
  <c r="AC7" i="871" s="1"/>
  <c r="AD7" i="871" s="1"/>
  <c r="O7" i="871"/>
  <c r="M7" i="871"/>
  <c r="K7" i="871"/>
  <c r="AF6" i="871"/>
  <c r="Q6" i="871"/>
  <c r="L21" i="871"/>
  <c r="O21" i="871" s="1"/>
  <c r="AE20" i="874" l="1"/>
  <c r="AE12" i="874"/>
  <c r="AE7" i="874"/>
  <c r="AE19" i="874"/>
  <c r="AE21" i="874"/>
  <c r="AE11" i="874"/>
  <c r="AE8" i="874"/>
  <c r="AE10" i="874"/>
  <c r="AE6" i="874"/>
  <c r="AE13" i="874"/>
  <c r="AE9" i="874"/>
  <c r="AD21" i="873"/>
  <c r="AE11" i="873" s="1"/>
  <c r="AE20" i="873"/>
  <c r="AE18" i="873"/>
  <c r="AD14" i="872"/>
  <c r="AD11" i="872"/>
  <c r="M22" i="872"/>
  <c r="AB22" i="872"/>
  <c r="K22" i="872"/>
  <c r="AC22" i="872"/>
  <c r="AD6" i="872"/>
  <c r="AD8" i="872"/>
  <c r="P22" i="872"/>
  <c r="AD13" i="871"/>
  <c r="Q21" i="871"/>
  <c r="AD8" i="871"/>
  <c r="AD12" i="871"/>
  <c r="AD15" i="871"/>
  <c r="AD14" i="871"/>
  <c r="AD10" i="871"/>
  <c r="AD20" i="871"/>
  <c r="AD18" i="871"/>
  <c r="M6" i="871"/>
  <c r="AB6" i="871"/>
  <c r="M9" i="871"/>
  <c r="AB9" i="871"/>
  <c r="M16" i="871"/>
  <c r="AB16" i="871"/>
  <c r="M19" i="871"/>
  <c r="AB19" i="871"/>
  <c r="AD19" i="871" s="1"/>
  <c r="O6" i="871"/>
  <c r="O9" i="871"/>
  <c r="O16" i="871"/>
  <c r="P6" i="871"/>
  <c r="F18" i="16"/>
  <c r="F17" i="16"/>
  <c r="F16" i="16"/>
  <c r="F15" i="16"/>
  <c r="F14" i="16"/>
  <c r="F13" i="16"/>
  <c r="F12" i="16"/>
  <c r="F11" i="16"/>
  <c r="F10" i="16"/>
  <c r="F9" i="16"/>
  <c r="F8" i="16"/>
  <c r="F7" i="16"/>
  <c r="F6" i="16"/>
  <c r="F5" i="16"/>
  <c r="F4" i="16"/>
  <c r="F3" i="16"/>
  <c r="K14" i="870"/>
  <c r="L19" i="870"/>
  <c r="K19" i="870" s="1"/>
  <c r="L18" i="870"/>
  <c r="O18" i="870" s="1"/>
  <c r="L16" i="870"/>
  <c r="K16" i="870" s="1"/>
  <c r="L12" i="870"/>
  <c r="O12" i="870" s="1"/>
  <c r="L9" i="870"/>
  <c r="K9" i="870" s="1"/>
  <c r="L8" i="870"/>
  <c r="K8" i="870" s="1"/>
  <c r="L6" i="870"/>
  <c r="K6" i="870" s="1"/>
  <c r="K13" i="870"/>
  <c r="K10" i="870"/>
  <c r="A74" i="870"/>
  <c r="A75" i="870" s="1"/>
  <c r="A76" i="870" s="1"/>
  <c r="A77" i="870" s="1"/>
  <c r="A78" i="870" s="1"/>
  <c r="A79" i="870" s="1"/>
  <c r="A80" i="870" s="1"/>
  <c r="A81" i="870" s="1"/>
  <c r="AF60" i="870"/>
  <c r="AF59" i="870"/>
  <c r="AA21" i="870"/>
  <c r="Z21" i="870"/>
  <c r="Y21" i="870"/>
  <c r="X21" i="870"/>
  <c r="W21" i="870"/>
  <c r="V21" i="870"/>
  <c r="U21" i="870"/>
  <c r="T21" i="870"/>
  <c r="S21" i="870"/>
  <c r="R21" i="870"/>
  <c r="N21" i="870"/>
  <c r="J21" i="870"/>
  <c r="I21" i="870"/>
  <c r="AF20" i="870"/>
  <c r="AB20" i="870"/>
  <c r="Q20" i="870"/>
  <c r="P20" i="870"/>
  <c r="AC20" i="870" s="1"/>
  <c r="O20" i="870"/>
  <c r="M20" i="870"/>
  <c r="K20" i="870"/>
  <c r="AF19" i="870"/>
  <c r="Q19" i="870"/>
  <c r="P19" i="870" s="1"/>
  <c r="AC19" i="870" s="1"/>
  <c r="M19" i="870"/>
  <c r="AB19" i="870"/>
  <c r="AF18" i="870"/>
  <c r="Q18" i="870"/>
  <c r="M18" i="870"/>
  <c r="AF17" i="870"/>
  <c r="AB17" i="870"/>
  <c r="Q17" i="870"/>
  <c r="P17" i="870"/>
  <c r="AC17" i="870" s="1"/>
  <c r="O17" i="870"/>
  <c r="M17" i="870"/>
  <c r="K17" i="870"/>
  <c r="AF16" i="870"/>
  <c r="AB16" i="870"/>
  <c r="Q16" i="870"/>
  <c r="P16" i="870"/>
  <c r="AC16" i="870" s="1"/>
  <c r="O16" i="870"/>
  <c r="M16" i="870"/>
  <c r="AF15" i="870"/>
  <c r="AC15" i="870"/>
  <c r="AB15" i="870"/>
  <c r="Q15" i="870"/>
  <c r="P15" i="870"/>
  <c r="O15" i="870"/>
  <c r="M15" i="870"/>
  <c r="K15" i="870"/>
  <c r="AF14" i="870"/>
  <c r="AB14" i="870"/>
  <c r="Q14" i="870"/>
  <c r="P14" i="870"/>
  <c r="AC14" i="870" s="1"/>
  <c r="O14" i="870"/>
  <c r="M14" i="870"/>
  <c r="AF13" i="870"/>
  <c r="AB13" i="870"/>
  <c r="Q13" i="870"/>
  <c r="O13" i="870"/>
  <c r="M13" i="870"/>
  <c r="P13" i="870"/>
  <c r="AC13" i="870" s="1"/>
  <c r="AD13" i="870" s="1"/>
  <c r="AF12" i="870"/>
  <c r="Q12" i="870"/>
  <c r="AF11" i="870"/>
  <c r="AB11" i="870"/>
  <c r="Q11" i="870"/>
  <c r="P11" i="870"/>
  <c r="AC11" i="870" s="1"/>
  <c r="O11" i="870"/>
  <c r="M11" i="870"/>
  <c r="K11" i="870"/>
  <c r="AF10" i="870"/>
  <c r="AB10" i="870"/>
  <c r="Q10" i="870"/>
  <c r="O10" i="870"/>
  <c r="M10" i="870"/>
  <c r="P10" i="870"/>
  <c r="AC10" i="870" s="1"/>
  <c r="AF9" i="870"/>
  <c r="Q9" i="870"/>
  <c r="O9" i="870"/>
  <c r="AF8" i="870"/>
  <c r="AB8" i="870"/>
  <c r="Q8" i="870"/>
  <c r="P8" i="870" s="1"/>
  <c r="AC8" i="870" s="1"/>
  <c r="O8" i="870"/>
  <c r="M8" i="870"/>
  <c r="AF7" i="870"/>
  <c r="AB7" i="870"/>
  <c r="Q7" i="870"/>
  <c r="P7" i="870"/>
  <c r="AC7" i="870" s="1"/>
  <c r="O7" i="870"/>
  <c r="M7" i="870"/>
  <c r="K7" i="870"/>
  <c r="AF6" i="870"/>
  <c r="Q6" i="870"/>
  <c r="O6" i="870"/>
  <c r="L21" i="870"/>
  <c r="O21" i="870" s="1"/>
  <c r="AE6" i="873" l="1"/>
  <c r="AE7" i="873"/>
  <c r="AE8" i="873"/>
  <c r="AE19" i="873"/>
  <c r="AE9" i="873"/>
  <c r="AE10" i="873"/>
  <c r="AD22" i="872"/>
  <c r="AE10" i="872" s="1"/>
  <c r="AD9" i="871"/>
  <c r="AD16" i="871"/>
  <c r="K21" i="871"/>
  <c r="AB21" i="871"/>
  <c r="P21" i="871"/>
  <c r="AC6" i="871"/>
  <c r="M21" i="871"/>
  <c r="AD10" i="870"/>
  <c r="AD20" i="870"/>
  <c r="K18" i="870"/>
  <c r="AD17" i="870"/>
  <c r="P18" i="870"/>
  <c r="AC18" i="870" s="1"/>
  <c r="AD18" i="870" s="1"/>
  <c r="AB18" i="870"/>
  <c r="O19" i="870"/>
  <c r="AF62" i="870"/>
  <c r="Q21" i="870"/>
  <c r="P6" i="870"/>
  <c r="AC6" i="870" s="1"/>
  <c r="AD16" i="870"/>
  <c r="K12" i="870"/>
  <c r="K21" i="870" s="1"/>
  <c r="AD8" i="870"/>
  <c r="AD11" i="870"/>
  <c r="AD15" i="870"/>
  <c r="AD7" i="870"/>
  <c r="AD14" i="870"/>
  <c r="AD19" i="870"/>
  <c r="M9" i="870"/>
  <c r="M12" i="870"/>
  <c r="M6" i="870"/>
  <c r="AB6" i="870"/>
  <c r="AD6" i="870" s="1"/>
  <c r="P9" i="870"/>
  <c r="AC9" i="870" s="1"/>
  <c r="P12" i="870"/>
  <c r="AC12" i="870" s="1"/>
  <c r="AB9" i="870"/>
  <c r="AB12" i="870"/>
  <c r="E18" i="16"/>
  <c r="E17" i="16"/>
  <c r="E16" i="16"/>
  <c r="E15" i="16"/>
  <c r="E14" i="16"/>
  <c r="E13" i="16"/>
  <c r="E12" i="16"/>
  <c r="E11" i="16"/>
  <c r="E10" i="16"/>
  <c r="E9" i="16"/>
  <c r="E8" i="16"/>
  <c r="E7" i="16"/>
  <c r="E6" i="16"/>
  <c r="E5" i="16"/>
  <c r="E4" i="16"/>
  <c r="E3" i="16"/>
  <c r="L20" i="869"/>
  <c r="K20" i="869" s="1"/>
  <c r="L19" i="869"/>
  <c r="K19" i="869" s="1"/>
  <c r="L17" i="869"/>
  <c r="K17" i="869" s="1"/>
  <c r="L14" i="869"/>
  <c r="L13" i="869"/>
  <c r="K13" i="869" s="1"/>
  <c r="L11" i="869"/>
  <c r="K11" i="869" s="1"/>
  <c r="L10" i="869"/>
  <c r="K10" i="869" s="1"/>
  <c r="AF10" i="869"/>
  <c r="AB10" i="869"/>
  <c r="Q10" i="869"/>
  <c r="P10" i="869" s="1"/>
  <c r="AC10" i="869" s="1"/>
  <c r="M10" i="869"/>
  <c r="L8" i="869"/>
  <c r="K8" i="869" s="1"/>
  <c r="L6" i="869"/>
  <c r="K6" i="869" s="1"/>
  <c r="K21" i="869"/>
  <c r="K18" i="869"/>
  <c r="K16" i="869"/>
  <c r="K15" i="869"/>
  <c r="K14" i="869"/>
  <c r="K9" i="869"/>
  <c r="A76" i="869"/>
  <c r="A77" i="869" s="1"/>
  <c r="A78" i="869" s="1"/>
  <c r="A79" i="869" s="1"/>
  <c r="A80" i="869" s="1"/>
  <c r="A81" i="869" s="1"/>
  <c r="A82" i="869" s="1"/>
  <c r="A75" i="869"/>
  <c r="AF61" i="869"/>
  <c r="AF60" i="869"/>
  <c r="AF63" i="869" s="1"/>
  <c r="AA22" i="869"/>
  <c r="Z22" i="869"/>
  <c r="Y22" i="869"/>
  <c r="X22" i="869"/>
  <c r="W22" i="869"/>
  <c r="V22" i="869"/>
  <c r="U22" i="869"/>
  <c r="T22" i="869"/>
  <c r="S22" i="869"/>
  <c r="R22" i="869"/>
  <c r="N22" i="869"/>
  <c r="J22" i="869"/>
  <c r="I22" i="869"/>
  <c r="AF21" i="869"/>
  <c r="Q21" i="869"/>
  <c r="O21" i="869"/>
  <c r="AF20" i="869"/>
  <c r="AB20" i="869"/>
  <c r="Q20" i="869"/>
  <c r="P20" i="869" s="1"/>
  <c r="AC20" i="869" s="1"/>
  <c r="O20" i="869"/>
  <c r="M20" i="869"/>
  <c r="AF19" i="869"/>
  <c r="AB19" i="869"/>
  <c r="Q19" i="869"/>
  <c r="P19" i="869" s="1"/>
  <c r="AC19" i="869" s="1"/>
  <c r="O19" i="869"/>
  <c r="M19" i="869"/>
  <c r="AF18" i="869"/>
  <c r="AB18" i="869"/>
  <c r="Q18" i="869"/>
  <c r="P18" i="869" s="1"/>
  <c r="AC18" i="869" s="1"/>
  <c r="O18" i="869"/>
  <c r="M18" i="869"/>
  <c r="AF17" i="869"/>
  <c r="Q17" i="869"/>
  <c r="O17" i="869"/>
  <c r="P17" i="869"/>
  <c r="AC17" i="869" s="1"/>
  <c r="AF16" i="869"/>
  <c r="AB16" i="869"/>
  <c r="Q16" i="869"/>
  <c r="P16" i="869"/>
  <c r="AC16" i="869" s="1"/>
  <c r="O16" i="869"/>
  <c r="M16" i="869"/>
  <c r="AF15" i="869"/>
  <c r="Q15" i="869"/>
  <c r="AB15" i="869"/>
  <c r="AF14" i="869"/>
  <c r="AB14" i="869"/>
  <c r="Q14" i="869"/>
  <c r="P14" i="869" s="1"/>
  <c r="AC14" i="869" s="1"/>
  <c r="M14" i="869"/>
  <c r="O14" i="869"/>
  <c r="AF13" i="869"/>
  <c r="Q13" i="869"/>
  <c r="P13" i="869" s="1"/>
  <c r="AC13" i="869" s="1"/>
  <c r="M13" i="869"/>
  <c r="AB13" i="869"/>
  <c r="AF12" i="869"/>
  <c r="AB12" i="869"/>
  <c r="Q12" i="869"/>
  <c r="P12" i="869"/>
  <c r="AC12" i="869" s="1"/>
  <c r="O12" i="869"/>
  <c r="M12" i="869"/>
  <c r="K12" i="869"/>
  <c r="AF11" i="869"/>
  <c r="Q11" i="869"/>
  <c r="AB11" i="869"/>
  <c r="AF9" i="869"/>
  <c r="AB9" i="869"/>
  <c r="Q9" i="869"/>
  <c r="P9" i="869" s="1"/>
  <c r="AC9" i="869" s="1"/>
  <c r="M9" i="869"/>
  <c r="O9" i="869"/>
  <c r="AF8" i="869"/>
  <c r="Q8" i="869"/>
  <c r="O8" i="869"/>
  <c r="L22" i="869"/>
  <c r="O22" i="869" s="1"/>
  <c r="AF7" i="869"/>
  <c r="AB7" i="869"/>
  <c r="Q7" i="869"/>
  <c r="P7" i="869"/>
  <c r="AC7" i="869" s="1"/>
  <c r="O7" i="869"/>
  <c r="M7" i="869"/>
  <c r="K7" i="869"/>
  <c r="AF6" i="869"/>
  <c r="AB6" i="869"/>
  <c r="Q6" i="869"/>
  <c r="O6" i="869"/>
  <c r="M6" i="869"/>
  <c r="AE8" i="872" l="1"/>
  <c r="AE11" i="872"/>
  <c r="AE6" i="872"/>
  <c r="AE12" i="872"/>
  <c r="AE19" i="872"/>
  <c r="AE9" i="872"/>
  <c r="AE21" i="872"/>
  <c r="AE7" i="872"/>
  <c r="AE18" i="872"/>
  <c r="AE20" i="872"/>
  <c r="AC21" i="871"/>
  <c r="AD6" i="871"/>
  <c r="AD21" i="871" s="1"/>
  <c r="M21" i="870"/>
  <c r="AC21" i="870"/>
  <c r="AD12" i="870"/>
  <c r="AD21" i="870" s="1"/>
  <c r="AB21" i="870"/>
  <c r="AD9" i="870"/>
  <c r="P21" i="870"/>
  <c r="O10" i="869"/>
  <c r="AD10" i="869"/>
  <c r="AD18" i="869"/>
  <c r="AD14" i="869"/>
  <c r="AD9" i="869"/>
  <c r="Q22" i="869"/>
  <c r="P6" i="869"/>
  <c r="AD12" i="869"/>
  <c r="AD20" i="869"/>
  <c r="AD19" i="869"/>
  <c r="AD7" i="869"/>
  <c r="AD16" i="869"/>
  <c r="O11" i="869"/>
  <c r="O15" i="869"/>
  <c r="AC6" i="869"/>
  <c r="M8" i="869"/>
  <c r="AB8" i="869"/>
  <c r="P11" i="869"/>
  <c r="AC11" i="869" s="1"/>
  <c r="O13" i="869"/>
  <c r="AD13" i="869" s="1"/>
  <c r="P15" i="869"/>
  <c r="AC15" i="869" s="1"/>
  <c r="AD15" i="869" s="1"/>
  <c r="M17" i="869"/>
  <c r="AB17" i="869"/>
  <c r="AD17" i="869" s="1"/>
  <c r="P21" i="869"/>
  <c r="AC21" i="869" s="1"/>
  <c r="P8" i="869"/>
  <c r="AC8" i="869" s="1"/>
  <c r="M11" i="869"/>
  <c r="M15" i="869"/>
  <c r="M21" i="869"/>
  <c r="AB21" i="869"/>
  <c r="D18" i="16"/>
  <c r="D17" i="16"/>
  <c r="D16" i="16"/>
  <c r="D15" i="16"/>
  <c r="D14" i="16"/>
  <c r="D13" i="16"/>
  <c r="D12" i="16"/>
  <c r="D11" i="16"/>
  <c r="D10" i="16"/>
  <c r="D9" i="16"/>
  <c r="D8" i="16"/>
  <c r="D7" i="16"/>
  <c r="D6" i="16"/>
  <c r="D5" i="16"/>
  <c r="D4" i="16"/>
  <c r="D3" i="16"/>
  <c r="L20" i="868"/>
  <c r="K20" i="868" s="1"/>
  <c r="L18" i="868"/>
  <c r="K17" i="868"/>
  <c r="L16" i="868"/>
  <c r="K16" i="868" s="1"/>
  <c r="L15" i="868"/>
  <c r="L14" i="868"/>
  <c r="K14" i="868" s="1"/>
  <c r="L13" i="868"/>
  <c r="K13" i="868" s="1"/>
  <c r="L12" i="868"/>
  <c r="K12" i="868" s="1"/>
  <c r="L10" i="868"/>
  <c r="K10" i="868" s="1"/>
  <c r="L9" i="868"/>
  <c r="K9" i="868" s="1"/>
  <c r="L8" i="868"/>
  <c r="K19" i="868"/>
  <c r="K18" i="868"/>
  <c r="K15" i="868"/>
  <c r="K11" i="868"/>
  <c r="K8" i="868"/>
  <c r="AE6" i="871" l="1"/>
  <c r="AE20" i="871"/>
  <c r="AE10" i="871"/>
  <c r="AE7" i="871"/>
  <c r="AE11" i="871"/>
  <c r="AE9" i="871"/>
  <c r="AE18" i="871"/>
  <c r="AE8" i="871"/>
  <c r="AE19" i="871"/>
  <c r="AE19" i="870"/>
  <c r="AE16" i="870"/>
  <c r="AE6" i="870"/>
  <c r="AE9" i="870"/>
  <c r="AE20" i="870"/>
  <c r="AE7" i="870"/>
  <c r="AE18" i="870"/>
  <c r="AE10" i="870"/>
  <c r="AE8" i="870"/>
  <c r="AE11" i="870"/>
  <c r="AE17" i="870"/>
  <c r="AD11" i="869"/>
  <c r="AD8" i="869"/>
  <c r="M22" i="869"/>
  <c r="AD21" i="869"/>
  <c r="AB22" i="869"/>
  <c r="K22" i="869"/>
  <c r="AC22" i="869"/>
  <c r="AD6" i="869"/>
  <c r="P22" i="869"/>
  <c r="A74" i="868"/>
  <c r="A75" i="868" s="1"/>
  <c r="A76" i="868" s="1"/>
  <c r="A77" i="868" s="1"/>
  <c r="A78" i="868" s="1"/>
  <c r="A79" i="868" s="1"/>
  <c r="A80" i="868" s="1"/>
  <c r="A81" i="868" s="1"/>
  <c r="AF62" i="868"/>
  <c r="AF60" i="868"/>
  <c r="AF59" i="868"/>
  <c r="AA21" i="868"/>
  <c r="Z21" i="868"/>
  <c r="Y21" i="868"/>
  <c r="X21" i="868"/>
  <c r="W21" i="868"/>
  <c r="V21" i="868"/>
  <c r="U21" i="868"/>
  <c r="T21" i="868"/>
  <c r="R21" i="868"/>
  <c r="N21" i="868"/>
  <c r="J21" i="868"/>
  <c r="I21" i="868"/>
  <c r="AF20" i="868"/>
  <c r="Q20" i="868"/>
  <c r="P20" i="868" s="1"/>
  <c r="AC20" i="868" s="1"/>
  <c r="AD20" i="868" s="1"/>
  <c r="O20" i="868"/>
  <c r="AB20" i="868"/>
  <c r="AF19" i="868"/>
  <c r="AB19" i="868"/>
  <c r="Q19" i="868"/>
  <c r="P19" i="868" s="1"/>
  <c r="AC19" i="868" s="1"/>
  <c r="O19" i="868"/>
  <c r="M19" i="868"/>
  <c r="AF18" i="868"/>
  <c r="AB18" i="868"/>
  <c r="Q18" i="868"/>
  <c r="M18" i="868"/>
  <c r="P18" i="868"/>
  <c r="AC18" i="868" s="1"/>
  <c r="AF17" i="868"/>
  <c r="Q17" i="868"/>
  <c r="P17" i="868" s="1"/>
  <c r="AC17" i="868" s="1"/>
  <c r="AF16" i="868"/>
  <c r="Q16" i="868"/>
  <c r="P16" i="868" s="1"/>
  <c r="AC16" i="868" s="1"/>
  <c r="O16" i="868"/>
  <c r="AB16" i="868"/>
  <c r="AF15" i="868"/>
  <c r="AB15" i="868"/>
  <c r="Q15" i="868"/>
  <c r="P15" i="868" s="1"/>
  <c r="AC15" i="868" s="1"/>
  <c r="O15" i="868"/>
  <c r="M15" i="868"/>
  <c r="AF14" i="868"/>
  <c r="AB14" i="868"/>
  <c r="Q14" i="868"/>
  <c r="M14" i="868"/>
  <c r="P14" i="868"/>
  <c r="AC14" i="868" s="1"/>
  <c r="AF13" i="868"/>
  <c r="Q13" i="868"/>
  <c r="P13" i="868" s="1"/>
  <c r="AC13" i="868" s="1"/>
  <c r="AF12" i="868"/>
  <c r="S12" i="868"/>
  <c r="S21" i="868" s="1"/>
  <c r="AF11" i="868"/>
  <c r="AB11" i="868"/>
  <c r="Q11" i="868"/>
  <c r="M11" i="868"/>
  <c r="P11" i="868"/>
  <c r="AC11" i="868" s="1"/>
  <c r="AF10" i="868"/>
  <c r="Q10" i="868"/>
  <c r="P10" i="868" s="1"/>
  <c r="AC10" i="868" s="1"/>
  <c r="AF9" i="868"/>
  <c r="AB9" i="868"/>
  <c r="Q9" i="868"/>
  <c r="P9" i="868" s="1"/>
  <c r="AC9" i="868" s="1"/>
  <c r="O9" i="868"/>
  <c r="M9" i="868"/>
  <c r="AF8" i="868"/>
  <c r="AB8" i="868"/>
  <c r="Q8" i="868"/>
  <c r="M8" i="868"/>
  <c r="L21" i="868"/>
  <c r="O21" i="868" s="1"/>
  <c r="AF7" i="868"/>
  <c r="AB7" i="868"/>
  <c r="Q7" i="868"/>
  <c r="P7" i="868"/>
  <c r="AC7" i="868" s="1"/>
  <c r="O7" i="868"/>
  <c r="M7" i="868"/>
  <c r="K7" i="868"/>
  <c r="AF6" i="868"/>
  <c r="AC6" i="868"/>
  <c r="AB6" i="868"/>
  <c r="Q6" i="868"/>
  <c r="P6" i="868"/>
  <c r="O6" i="868"/>
  <c r="M6" i="868"/>
  <c r="K6" i="868"/>
  <c r="AD22" i="869" l="1"/>
  <c r="AE10" i="869" s="1"/>
  <c r="Q12" i="868"/>
  <c r="P12" i="868" s="1"/>
  <c r="AC12" i="868" s="1"/>
  <c r="AD19" i="868"/>
  <c r="Q21" i="868"/>
  <c r="AD15" i="868"/>
  <c r="AD16" i="868"/>
  <c r="AD7" i="868"/>
  <c r="AD9" i="868"/>
  <c r="AD6" i="868"/>
  <c r="O8" i="868"/>
  <c r="M10" i="868"/>
  <c r="AB10" i="868"/>
  <c r="O11" i="868"/>
  <c r="AD11" i="868" s="1"/>
  <c r="M12" i="868"/>
  <c r="M13" i="868"/>
  <c r="AB13" i="868"/>
  <c r="O14" i="868"/>
  <c r="AD14" i="868" s="1"/>
  <c r="M17" i="868"/>
  <c r="AB17" i="868"/>
  <c r="O18" i="868"/>
  <c r="AD18" i="868" s="1"/>
  <c r="K21" i="868"/>
  <c r="P8" i="868"/>
  <c r="AC8" i="868" s="1"/>
  <c r="O10" i="868"/>
  <c r="O12" i="868"/>
  <c r="AB12" i="868"/>
  <c r="O13" i="868"/>
  <c r="M16" i="868"/>
  <c r="O17" i="868"/>
  <c r="M20" i="868"/>
  <c r="C18" i="16"/>
  <c r="C17" i="16"/>
  <c r="C16" i="16"/>
  <c r="C15" i="16"/>
  <c r="C14" i="16"/>
  <c r="C13" i="16"/>
  <c r="C12" i="16"/>
  <c r="C11" i="16"/>
  <c r="C10" i="16"/>
  <c r="C9" i="16"/>
  <c r="C8" i="16"/>
  <c r="C7" i="16"/>
  <c r="C6" i="16"/>
  <c r="C5" i="16"/>
  <c r="C4" i="16"/>
  <c r="C3" i="16"/>
  <c r="L21" i="867"/>
  <c r="L20" i="867"/>
  <c r="L19" i="867"/>
  <c r="L18" i="867"/>
  <c r="L17" i="867"/>
  <c r="L16" i="867"/>
  <c r="L15" i="867"/>
  <c r="K15" i="867"/>
  <c r="L14" i="867"/>
  <c r="L22" i="867" s="1"/>
  <c r="O22" i="867" s="1"/>
  <c r="S13" i="867"/>
  <c r="L13" i="867"/>
  <c r="K13" i="867" s="1"/>
  <c r="AF13" i="867"/>
  <c r="AB13" i="867"/>
  <c r="Q13" i="867"/>
  <c r="P13" i="867" s="1"/>
  <c r="AC13" i="867" s="1"/>
  <c r="O13" i="867"/>
  <c r="L11" i="867"/>
  <c r="L10" i="867"/>
  <c r="K10" i="867" s="1"/>
  <c r="L8" i="867"/>
  <c r="K8" i="867" s="1"/>
  <c r="K21" i="867"/>
  <c r="K20" i="867"/>
  <c r="K19" i="867"/>
  <c r="K18" i="867"/>
  <c r="K17" i="867"/>
  <c r="K16" i="867"/>
  <c r="K12" i="867"/>
  <c r="K11" i="867"/>
  <c r="K9" i="867"/>
  <c r="A76" i="867"/>
  <c r="A77" i="867" s="1"/>
  <c r="A78" i="867" s="1"/>
  <c r="A79" i="867" s="1"/>
  <c r="A80" i="867" s="1"/>
  <c r="A81" i="867" s="1"/>
  <c r="A82" i="867" s="1"/>
  <c r="A75" i="867"/>
  <c r="AF61" i="867"/>
  <c r="AF60" i="867"/>
  <c r="AF63" i="867" s="1"/>
  <c r="AA22" i="867"/>
  <c r="Z22" i="867"/>
  <c r="Y22" i="867"/>
  <c r="X22" i="867"/>
  <c r="W22" i="867"/>
  <c r="V22" i="867"/>
  <c r="U22" i="867"/>
  <c r="T22" i="867"/>
  <c r="S22" i="867"/>
  <c r="R22" i="867"/>
  <c r="N22" i="867"/>
  <c r="J22" i="867"/>
  <c r="I22" i="867"/>
  <c r="AF21" i="867"/>
  <c r="Q21" i="867"/>
  <c r="O21" i="867"/>
  <c r="AF20" i="867"/>
  <c r="Q20" i="867"/>
  <c r="P20" i="867"/>
  <c r="AC20" i="867" s="1"/>
  <c r="AB20" i="867"/>
  <c r="AF19" i="867"/>
  <c r="Q19" i="867"/>
  <c r="P19" i="867" s="1"/>
  <c r="AC19" i="867" s="1"/>
  <c r="O19" i="867"/>
  <c r="AB19" i="867"/>
  <c r="AF18" i="867"/>
  <c r="AB18" i="867"/>
  <c r="Q18" i="867"/>
  <c r="P18" i="867" s="1"/>
  <c r="AC18" i="867" s="1"/>
  <c r="AD18" i="867" s="1"/>
  <c r="O18" i="867"/>
  <c r="M18" i="867"/>
  <c r="AF17" i="867"/>
  <c r="Q17" i="867"/>
  <c r="O17" i="867"/>
  <c r="AF16" i="867"/>
  <c r="Q16" i="867"/>
  <c r="P16" i="867"/>
  <c r="AC16" i="867" s="1"/>
  <c r="AB16" i="867"/>
  <c r="AF15" i="867"/>
  <c r="AB15" i="867"/>
  <c r="Q15" i="867"/>
  <c r="P15" i="867" s="1"/>
  <c r="AC15" i="867" s="1"/>
  <c r="O15" i="867"/>
  <c r="M15" i="867"/>
  <c r="AF14" i="867"/>
  <c r="Q14" i="867"/>
  <c r="AF12" i="867"/>
  <c r="Q12" i="867"/>
  <c r="P12" i="867" s="1"/>
  <c r="AC12" i="867" s="1"/>
  <c r="AB12" i="867"/>
  <c r="AF11" i="867"/>
  <c r="Q11" i="867"/>
  <c r="P11" i="867" s="1"/>
  <c r="AC11" i="867" s="1"/>
  <c r="O11" i="867"/>
  <c r="AB11" i="867"/>
  <c r="AF10" i="867"/>
  <c r="AB10" i="867"/>
  <c r="Q10" i="867"/>
  <c r="P10" i="867" s="1"/>
  <c r="AC10" i="867" s="1"/>
  <c r="O10" i="867"/>
  <c r="M10" i="867"/>
  <c r="AF9" i="867"/>
  <c r="AB9" i="867"/>
  <c r="Q9" i="867"/>
  <c r="P9" i="867" s="1"/>
  <c r="AC9" i="867" s="1"/>
  <c r="O9" i="867"/>
  <c r="M9" i="867"/>
  <c r="AF8" i="867"/>
  <c r="Q8" i="867"/>
  <c r="P8" i="867"/>
  <c r="AC8" i="867" s="1"/>
  <c r="O8" i="867"/>
  <c r="AF7" i="867"/>
  <c r="AB7" i="867"/>
  <c r="Q7" i="867"/>
  <c r="P7" i="867"/>
  <c r="AC7" i="867" s="1"/>
  <c r="AD7" i="867" s="1"/>
  <c r="O7" i="867"/>
  <c r="M7" i="867"/>
  <c r="K7" i="867"/>
  <c r="AF6" i="867"/>
  <c r="AB6" i="867"/>
  <c r="Q6" i="867"/>
  <c r="P6" i="867"/>
  <c r="O6" i="867"/>
  <c r="M6" i="867"/>
  <c r="K6" i="867"/>
  <c r="AE7" i="869" l="1"/>
  <c r="AE11" i="869"/>
  <c r="AE9" i="869"/>
  <c r="AE8" i="869"/>
  <c r="AE20" i="869"/>
  <c r="AE21" i="869"/>
  <c r="AE19" i="869"/>
  <c r="AE6" i="869"/>
  <c r="AD12" i="868"/>
  <c r="AD13" i="868"/>
  <c r="AB21" i="868"/>
  <c r="AD17" i="868"/>
  <c r="M21" i="868"/>
  <c r="AD10" i="868"/>
  <c r="AD8" i="868"/>
  <c r="P21" i="868"/>
  <c r="AC21" i="868"/>
  <c r="AD15" i="867"/>
  <c r="K14" i="867"/>
  <c r="K22" i="867" s="1"/>
  <c r="O14" i="867"/>
  <c r="M13" i="867"/>
  <c r="AD13" i="867"/>
  <c r="AD10" i="867"/>
  <c r="Q22" i="867"/>
  <c r="AD9" i="867"/>
  <c r="AD11" i="867"/>
  <c r="AD19" i="867"/>
  <c r="M14" i="867"/>
  <c r="AC6" i="867"/>
  <c r="M8" i="867"/>
  <c r="AB8" i="867"/>
  <c r="M11" i="867"/>
  <c r="O12" i="867"/>
  <c r="AD12" i="867" s="1"/>
  <c r="P14" i="867"/>
  <c r="AC14" i="867" s="1"/>
  <c r="O16" i="867"/>
  <c r="AD16" i="867" s="1"/>
  <c r="P17" i="867"/>
  <c r="AC17" i="867" s="1"/>
  <c r="M19" i="867"/>
  <c r="O20" i="867"/>
  <c r="AD20" i="867" s="1"/>
  <c r="P21" i="867"/>
  <c r="AC21" i="867" s="1"/>
  <c r="AB14" i="867"/>
  <c r="M17" i="867"/>
  <c r="AB17" i="867"/>
  <c r="M21" i="867"/>
  <c r="AB21" i="867"/>
  <c r="M12" i="867"/>
  <c r="M16" i="867"/>
  <c r="M20" i="867"/>
  <c r="B18" i="16"/>
  <c r="B17" i="16"/>
  <c r="B16" i="16"/>
  <c r="B15" i="16"/>
  <c r="B14" i="16"/>
  <c r="B13" i="16"/>
  <c r="B12" i="16"/>
  <c r="B11" i="16"/>
  <c r="B10" i="16"/>
  <c r="B9" i="16"/>
  <c r="B8" i="16"/>
  <c r="B7" i="16"/>
  <c r="B6" i="16"/>
  <c r="B5" i="16"/>
  <c r="B4" i="16"/>
  <c r="B3" i="16"/>
  <c r="L20" i="866"/>
  <c r="L19" i="866"/>
  <c r="L18" i="866"/>
  <c r="L17" i="866"/>
  <c r="L16" i="866"/>
  <c r="L15" i="866"/>
  <c r="L13" i="866"/>
  <c r="L12" i="866"/>
  <c r="K12" i="866" s="1"/>
  <c r="L11" i="866"/>
  <c r="K11" i="866" s="1"/>
  <c r="L10" i="866"/>
  <c r="K10" i="866" s="1"/>
  <c r="L8" i="866"/>
  <c r="AD21" i="868" l="1"/>
  <c r="AE8" i="868" s="1"/>
  <c r="AB22" i="867"/>
  <c r="M22" i="867"/>
  <c r="AD14" i="867"/>
  <c r="AC22" i="867"/>
  <c r="AD6" i="867"/>
  <c r="P22" i="867"/>
  <c r="AD8" i="867"/>
  <c r="AD21" i="867"/>
  <c r="AD17" i="867"/>
  <c r="AG18" i="16"/>
  <c r="AG17" i="16"/>
  <c r="AG16" i="16"/>
  <c r="AG15" i="16"/>
  <c r="AG14" i="16"/>
  <c r="AG13" i="16"/>
  <c r="AG12" i="16"/>
  <c r="AG11" i="16"/>
  <c r="AG10" i="16"/>
  <c r="AG9" i="16"/>
  <c r="AG8" i="16"/>
  <c r="AG7" i="16"/>
  <c r="AG6" i="16"/>
  <c r="AG5" i="16"/>
  <c r="AG4" i="16"/>
  <c r="AG3" i="16"/>
  <c r="K20" i="866"/>
  <c r="K19" i="866"/>
  <c r="K18" i="866"/>
  <c r="K17" i="866"/>
  <c r="K16" i="866"/>
  <c r="K15" i="866"/>
  <c r="K13" i="866"/>
  <c r="K9" i="866"/>
  <c r="K8" i="866"/>
  <c r="K6" i="866"/>
  <c r="AE10" i="868" l="1"/>
  <c r="AE9" i="868"/>
  <c r="AE20" i="868"/>
  <c r="AE18" i="868"/>
  <c r="AE6" i="868"/>
  <c r="AE19" i="868"/>
  <c r="AE7" i="868"/>
  <c r="AE17" i="868"/>
  <c r="AD22" i="867"/>
  <c r="K14" i="866"/>
  <c r="A74" i="866"/>
  <c r="A75" i="866" s="1"/>
  <c r="A76" i="866" s="1"/>
  <c r="A77" i="866" s="1"/>
  <c r="A78" i="866" s="1"/>
  <c r="A79" i="866" s="1"/>
  <c r="A80" i="866" s="1"/>
  <c r="A81" i="866" s="1"/>
  <c r="AF60" i="866"/>
  <c r="AF62" i="866" s="1"/>
  <c r="AF59" i="866"/>
  <c r="AA21" i="866"/>
  <c r="Z21" i="866"/>
  <c r="Y21" i="866"/>
  <c r="X21" i="866"/>
  <c r="W21" i="866"/>
  <c r="V21" i="866"/>
  <c r="U21" i="866"/>
  <c r="T21" i="866"/>
  <c r="S21" i="866"/>
  <c r="R21" i="866"/>
  <c r="N21" i="866"/>
  <c r="J21" i="866"/>
  <c r="I21" i="866"/>
  <c r="AF20" i="866"/>
  <c r="AB20" i="866"/>
  <c r="Q20" i="866"/>
  <c r="M20" i="866"/>
  <c r="O20" i="866"/>
  <c r="AF19" i="866"/>
  <c r="Q19" i="866"/>
  <c r="AB19" i="866"/>
  <c r="AF18" i="866"/>
  <c r="Q18" i="866"/>
  <c r="P18" i="866" s="1"/>
  <c r="AC18" i="866" s="1"/>
  <c r="O18" i="866"/>
  <c r="AF17" i="866"/>
  <c r="Q17" i="866"/>
  <c r="P17" i="866" s="1"/>
  <c r="AC17" i="866" s="1"/>
  <c r="O17" i="866"/>
  <c r="M17" i="866"/>
  <c r="AF16" i="866"/>
  <c r="AB16" i="866"/>
  <c r="Q16" i="866"/>
  <c r="M16" i="866"/>
  <c r="O16" i="866"/>
  <c r="AF15" i="866"/>
  <c r="AB15" i="866"/>
  <c r="Q15" i="866"/>
  <c r="P15" i="866" s="1"/>
  <c r="AC15" i="866" s="1"/>
  <c r="O15" i="866"/>
  <c r="M15" i="866"/>
  <c r="AF14" i="866"/>
  <c r="Q14" i="866"/>
  <c r="O14" i="866"/>
  <c r="P14" i="866"/>
  <c r="AC14" i="866" s="1"/>
  <c r="AF13" i="866"/>
  <c r="AB13" i="866"/>
  <c r="Q13" i="866"/>
  <c r="P13" i="866" s="1"/>
  <c r="AC13" i="866" s="1"/>
  <c r="O13" i="866"/>
  <c r="M13" i="866"/>
  <c r="AF12" i="866"/>
  <c r="AB12" i="866"/>
  <c r="Q12" i="866"/>
  <c r="P12" i="866"/>
  <c r="AC12" i="866" s="1"/>
  <c r="O12" i="866"/>
  <c r="M12" i="866"/>
  <c r="AF11" i="866"/>
  <c r="AB11" i="866"/>
  <c r="Q11" i="866"/>
  <c r="P11" i="866"/>
  <c r="AC11" i="866" s="1"/>
  <c r="O11" i="866"/>
  <c r="M11" i="866"/>
  <c r="AF10" i="866"/>
  <c r="AB10" i="866"/>
  <c r="Q10" i="866"/>
  <c r="P10" i="866" s="1"/>
  <c r="AC10" i="866" s="1"/>
  <c r="O10" i="866"/>
  <c r="M10" i="866"/>
  <c r="AF9" i="866"/>
  <c r="AB9" i="866"/>
  <c r="Q9" i="866"/>
  <c r="P9" i="866" s="1"/>
  <c r="AC9" i="866" s="1"/>
  <c r="O9" i="866"/>
  <c r="M9" i="866"/>
  <c r="AF8" i="866"/>
  <c r="AB8" i="866"/>
  <c r="Q8" i="866"/>
  <c r="P8" i="866"/>
  <c r="AC8" i="866" s="1"/>
  <c r="O8" i="866"/>
  <c r="M8" i="866"/>
  <c r="AF7" i="866"/>
  <c r="AB7" i="866"/>
  <c r="Q7" i="866"/>
  <c r="P7" i="866"/>
  <c r="AC7" i="866" s="1"/>
  <c r="AD7" i="866" s="1"/>
  <c r="O7" i="866"/>
  <c r="M7" i="866"/>
  <c r="K7" i="866"/>
  <c r="AF6" i="866"/>
  <c r="Q6" i="866"/>
  <c r="AB6" i="866"/>
  <c r="AE19" i="867" l="1"/>
  <c r="AE20" i="867"/>
  <c r="AE6" i="867"/>
  <c r="AE7" i="867"/>
  <c r="AE21" i="867"/>
  <c r="AE8" i="867"/>
  <c r="AE9" i="867"/>
  <c r="AE18" i="867"/>
  <c r="AD12" i="866"/>
  <c r="Q21" i="866"/>
  <c r="AD8" i="866"/>
  <c r="AD11" i="866"/>
  <c r="AD10" i="866"/>
  <c r="AD15" i="866"/>
  <c r="AD9" i="866"/>
  <c r="AD13" i="866"/>
  <c r="O6" i="866"/>
  <c r="P16" i="866"/>
  <c r="AC16" i="866" s="1"/>
  <c r="AD16" i="866" s="1"/>
  <c r="M18" i="866"/>
  <c r="AB18" i="866"/>
  <c r="AD18" i="866" s="1"/>
  <c r="O19" i="866"/>
  <c r="P20" i="866"/>
  <c r="AC20" i="866" s="1"/>
  <c r="AD20" i="866" s="1"/>
  <c r="P6" i="866"/>
  <c r="M14" i="866"/>
  <c r="AB14" i="866"/>
  <c r="AD14" i="866" s="1"/>
  <c r="AB17" i="866"/>
  <c r="AD17" i="866" s="1"/>
  <c r="P19" i="866"/>
  <c r="AC19" i="866" s="1"/>
  <c r="AD19" i="866" s="1"/>
  <c r="L21" i="866"/>
  <c r="O21" i="866" s="1"/>
  <c r="M6" i="866"/>
  <c r="M19" i="866"/>
  <c r="AB21" i="866" l="1"/>
  <c r="P21" i="866"/>
  <c r="AC6" i="866"/>
  <c r="M21" i="866"/>
  <c r="K21" i="866"/>
  <c r="AC21" i="866" l="1"/>
  <c r="AD6" i="866"/>
  <c r="AD21" i="866" l="1"/>
  <c r="AE18" i="866" s="1"/>
  <c r="AE6" i="866"/>
  <c r="AE17" i="866"/>
  <c r="AE7" i="866"/>
  <c r="AE9" i="866" l="1"/>
  <c r="AE19" i="866"/>
  <c r="AE10" i="866"/>
  <c r="AE20" i="866"/>
  <c r="AE8" i="866"/>
</calcChain>
</file>

<file path=xl/sharedStrings.xml><?xml version="1.0" encoding="utf-8"?>
<sst xmlns="http://schemas.openxmlformats.org/spreadsheetml/2006/main" count="6556" uniqueCount="1182">
  <si>
    <t>호
기</t>
  </si>
  <si>
    <t>구분</t>
  </si>
  <si>
    <t>고객사</t>
  </si>
  <si>
    <t>품  명</t>
  </si>
  <si>
    <t>품   번</t>
  </si>
  <si>
    <t>원료명</t>
  </si>
  <si>
    <t>Cav't</t>
  </si>
  <si>
    <t>C/T
(sec)</t>
  </si>
  <si>
    <t>생산실적</t>
  </si>
  <si>
    <t>시간
실적</t>
  </si>
  <si>
    <t>유실시간(시간)</t>
  </si>
  <si>
    <t>계획정지시간(시간)</t>
  </si>
  <si>
    <t>성능
가동율</t>
  </si>
  <si>
    <t>시간
가동율</t>
  </si>
  <si>
    <t>설비
효율</t>
  </si>
  <si>
    <t>발주
수량</t>
  </si>
  <si>
    <t>당일
목표
수량</t>
  </si>
  <si>
    <t>생산누계
수량</t>
  </si>
  <si>
    <t>생산
수량</t>
  </si>
  <si>
    <t>양품
수량</t>
  </si>
  <si>
    <t>불량
(공정
불량)</t>
  </si>
  <si>
    <t>불
량
율</t>
  </si>
  <si>
    <t>작업
시간</t>
  </si>
  <si>
    <t>총
loss
시간</t>
  </si>
  <si>
    <t>설비
수리</t>
  </si>
  <si>
    <t>금형
수리</t>
  </si>
  <si>
    <t>기종
변경</t>
  </si>
  <si>
    <t>관리
loss</t>
  </si>
  <si>
    <t>기타</t>
  </si>
  <si>
    <t>발주
완료</t>
  </si>
  <si>
    <t>금형
청소</t>
  </si>
  <si>
    <t>교육
조회</t>
  </si>
  <si>
    <t>정기
점검</t>
  </si>
  <si>
    <t>시
사출</t>
  </si>
  <si>
    <t>TOTAL</t>
  </si>
  <si>
    <t>◆ 품목별 생산 계획 대비 실적 현황</t>
  </si>
  <si>
    <t>◆ 품목별 생산 가동효율</t>
  </si>
  <si>
    <t>순위</t>
  </si>
  <si>
    <t>금형번호</t>
  </si>
  <si>
    <t>품  번</t>
  </si>
  <si>
    <t>원재료</t>
  </si>
  <si>
    <t>구 분</t>
  </si>
  <si>
    <t>사용호기</t>
  </si>
  <si>
    <t>수 량</t>
  </si>
  <si>
    <t>내        용</t>
  </si>
  <si>
    <t>비   고</t>
  </si>
  <si>
    <t>ISSUE 사항</t>
  </si>
  <si>
    <t>호기</t>
  </si>
  <si>
    <t>품 명</t>
  </si>
  <si>
    <t>내 용</t>
  </si>
  <si>
    <t>시작일</t>
  </si>
  <si>
    <t>완료예정일</t>
  </si>
  <si>
    <t>비      고</t>
  </si>
  <si>
    <t>호   기</t>
  </si>
  <si>
    <t>Error 내역</t>
  </si>
  <si>
    <t>수 리 내 역</t>
  </si>
  <si>
    <t>업 체</t>
  </si>
  <si>
    <t>발 생 금 액</t>
  </si>
  <si>
    <t>BASE</t>
    <phoneticPr fontId="2" type="noConversion"/>
  </si>
  <si>
    <t>발주</t>
    <phoneticPr fontId="2" type="noConversion"/>
  </si>
  <si>
    <t>불량 내역</t>
    <phoneticPr fontId="2" type="noConversion"/>
  </si>
  <si>
    <t xml:space="preserve"> 세척</t>
    <phoneticPr fontId="2" type="noConversion"/>
  </si>
  <si>
    <t>HICON</t>
    <phoneticPr fontId="2" type="noConversion"/>
  </si>
  <si>
    <t>2829H-05-001</t>
    <phoneticPr fontId="2" type="noConversion"/>
  </si>
  <si>
    <t>호기</t>
    <phoneticPr fontId="2" type="noConversion"/>
  </si>
  <si>
    <t>1호기</t>
    <phoneticPr fontId="2" type="noConversion"/>
  </si>
  <si>
    <t>2호기</t>
    <phoneticPr fontId="2" type="noConversion"/>
  </si>
  <si>
    <t>3호기</t>
  </si>
  <si>
    <t>4호기</t>
  </si>
  <si>
    <t>5호기</t>
  </si>
  <si>
    <t>6호기</t>
  </si>
  <si>
    <t>7호기</t>
  </si>
  <si>
    <t>8호기</t>
  </si>
  <si>
    <t>9호기</t>
  </si>
  <si>
    <t>10호기</t>
  </si>
  <si>
    <t>11호기</t>
  </si>
  <si>
    <t>12호기</t>
  </si>
  <si>
    <t>13호기</t>
  </si>
  <si>
    <t>14호기</t>
  </si>
  <si>
    <t>1일</t>
    <phoneticPr fontId="2" type="noConversion"/>
  </si>
  <si>
    <t>2일</t>
    <phoneticPr fontId="2" type="noConversion"/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</si>
  <si>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</si>
  <si>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</si>
  <si>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</si>
  <si>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</si>
  <si>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</si>
  <si>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</si>
  <si>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</si>
  <si>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</si>
  <si>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</si>
  <si>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</si>
  <si>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</si>
  <si>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</si>
  <si>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</si>
  <si>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</si>
  <si>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</si>
  <si>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</si>
  <si>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</si>
  <si>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</si>
  <si>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</si>
  <si>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</si>
  <si>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</si>
  <si>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</si>
  <si>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</si>
  <si>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</si>
  <si>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</si>
  <si>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</si>
  <si>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</si>
  <si>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</si>
  <si>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</si>
  <si>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평균</t>
    <phoneticPr fontId="2" type="noConversion"/>
  </si>
  <si>
    <t>평균</t>
    <phoneticPr fontId="2" type="noConversion"/>
  </si>
  <si>
    <t>내   용</t>
    <phoneticPr fontId="2" type="noConversion"/>
  </si>
  <si>
    <t>품 번</t>
    <phoneticPr fontId="2" type="noConversion"/>
  </si>
  <si>
    <t>목표</t>
    <phoneticPr fontId="2" type="noConversion"/>
  </si>
  <si>
    <t>품  번</t>
    <phoneticPr fontId="2" type="noConversion"/>
  </si>
  <si>
    <t>15호기</t>
    <phoneticPr fontId="2" type="noConversion"/>
  </si>
  <si>
    <t>고객사</t>
    <phoneticPr fontId="2" type="noConversion"/>
  </si>
  <si>
    <t>순위</t>
    <phoneticPr fontId="2" type="noConversion"/>
  </si>
  <si>
    <t>DI</t>
    <phoneticPr fontId="2" type="noConversion"/>
  </si>
  <si>
    <t>PA46</t>
    <phoneticPr fontId="2" type="noConversion"/>
  </si>
  <si>
    <t>SLIDER</t>
    <phoneticPr fontId="2" type="noConversion"/>
  </si>
  <si>
    <t>MCS</t>
    <phoneticPr fontId="2" type="noConversion"/>
  </si>
  <si>
    <t>STOPPER</t>
    <phoneticPr fontId="2" type="noConversion"/>
  </si>
  <si>
    <t>HSA65-M002C1(A)</t>
    <phoneticPr fontId="2" type="noConversion"/>
  </si>
  <si>
    <t>HSA65-M002C1(CD)</t>
    <phoneticPr fontId="2" type="noConversion"/>
  </si>
  <si>
    <t>HSA65-M001B1(A)</t>
    <phoneticPr fontId="2" type="noConversion"/>
  </si>
  <si>
    <t>SGF2030</t>
    <phoneticPr fontId="2" type="noConversion"/>
  </si>
  <si>
    <t xml:space="preserve"> 코아파손</t>
    <phoneticPr fontId="2" type="noConversion"/>
  </si>
  <si>
    <t>SST</t>
    <phoneticPr fontId="2" type="noConversion"/>
  </si>
  <si>
    <t>SGF2033</t>
    <phoneticPr fontId="2" type="noConversion"/>
  </si>
  <si>
    <t>8</t>
    <phoneticPr fontId="2" type="noConversion"/>
  </si>
  <si>
    <t>KR6182-A308WA</t>
    <phoneticPr fontId="2" type="noConversion"/>
  </si>
  <si>
    <t>LEAD GUIDE</t>
    <phoneticPr fontId="2" type="noConversion"/>
  </si>
  <si>
    <t>SF2255</t>
    <phoneticPr fontId="2" type="noConversion"/>
  </si>
  <si>
    <t>1</t>
    <phoneticPr fontId="2" type="noConversion"/>
  </si>
  <si>
    <t>COVER</t>
    <phoneticPr fontId="2" type="noConversion"/>
  </si>
  <si>
    <t>KR6156AC841TA</t>
    <phoneticPr fontId="2" type="noConversion"/>
  </si>
  <si>
    <t>KR6156FA841YA</t>
    <phoneticPr fontId="2" type="noConversion"/>
  </si>
  <si>
    <t>JD4901</t>
    <phoneticPr fontId="2" type="noConversion"/>
  </si>
  <si>
    <t>7301</t>
    <phoneticPr fontId="2" type="noConversion"/>
  </si>
  <si>
    <t>KR6197AB841CA</t>
    <phoneticPr fontId="2" type="noConversion"/>
  </si>
  <si>
    <t>KR6197-D841PB</t>
    <phoneticPr fontId="2" type="noConversion"/>
  </si>
  <si>
    <t>72P</t>
    <phoneticPr fontId="2" type="noConversion"/>
  </si>
  <si>
    <t>BODY</t>
    <phoneticPr fontId="2" type="noConversion"/>
  </si>
  <si>
    <t>KR6197-D841PB</t>
    <phoneticPr fontId="2" type="noConversion"/>
  </si>
  <si>
    <t>KR6197AF841UA</t>
    <phoneticPr fontId="2" type="noConversion"/>
  </si>
  <si>
    <t>수리후양산</t>
    <phoneticPr fontId="2" type="noConversion"/>
  </si>
  <si>
    <t>AM0148E-K-R2</t>
    <phoneticPr fontId="2" type="noConversion"/>
  </si>
  <si>
    <t>BASE</t>
    <phoneticPr fontId="2" type="noConversion"/>
  </si>
  <si>
    <t>AMM0821A-KAA-R3</t>
    <phoneticPr fontId="2" type="noConversion"/>
  </si>
  <si>
    <t>7301</t>
    <phoneticPr fontId="2" type="noConversion"/>
  </si>
  <si>
    <t>F/ADAPTER</t>
    <phoneticPr fontId="2" type="noConversion"/>
  </si>
  <si>
    <t>AMB2071A-KAA-R1</t>
    <phoneticPr fontId="2" type="noConversion"/>
  </si>
  <si>
    <t>FLOAT</t>
    <phoneticPr fontId="2" type="noConversion"/>
  </si>
  <si>
    <t>K-JR01920-A414AWA</t>
    <phoneticPr fontId="2" type="noConversion"/>
  </si>
  <si>
    <t>BODY</t>
    <phoneticPr fontId="2" type="noConversion"/>
  </si>
  <si>
    <t>AMB0114E-JAA-R2</t>
    <phoneticPr fontId="2" type="noConversion"/>
  </si>
  <si>
    <t>SF2255</t>
    <phoneticPr fontId="2" type="noConversion"/>
  </si>
  <si>
    <t>ODT</t>
    <phoneticPr fontId="2" type="noConversion"/>
  </si>
  <si>
    <t>24V</t>
    <phoneticPr fontId="2" type="noConversion"/>
  </si>
  <si>
    <t>LEN2211</t>
    <phoneticPr fontId="2" type="noConversion"/>
  </si>
  <si>
    <t>ACTUATOR</t>
    <phoneticPr fontId="2" type="noConversion"/>
  </si>
  <si>
    <t>AMB1901D-JAA-R2</t>
    <phoneticPr fontId="2" type="noConversion"/>
  </si>
  <si>
    <t>수리후양산-&gt;코아파손정지</t>
    <phoneticPr fontId="2" type="noConversion"/>
  </si>
  <si>
    <t>5</t>
    <phoneticPr fontId="2" type="noConversion"/>
  </si>
  <si>
    <t>발주분양산</t>
    <phoneticPr fontId="2" type="noConversion"/>
  </si>
  <si>
    <t>SST</t>
    <phoneticPr fontId="2" type="noConversion"/>
  </si>
  <si>
    <t>14</t>
    <phoneticPr fontId="2" type="noConversion"/>
  </si>
  <si>
    <t>KR6197AB841CA</t>
    <phoneticPr fontId="2" type="noConversion"/>
  </si>
  <si>
    <t>BODY</t>
    <phoneticPr fontId="2" type="noConversion"/>
  </si>
  <si>
    <t>SW-003073</t>
    <phoneticPr fontId="2" type="noConversion"/>
  </si>
  <si>
    <t>4</t>
    <phoneticPr fontId="2" type="noConversion"/>
  </si>
  <si>
    <t>SST</t>
    <phoneticPr fontId="2" type="noConversion"/>
  </si>
  <si>
    <t>1</t>
    <phoneticPr fontId="2" type="noConversion"/>
  </si>
  <si>
    <t>STOPPER</t>
    <phoneticPr fontId="2" type="noConversion"/>
  </si>
  <si>
    <t>KR6197-D841PB</t>
    <phoneticPr fontId="2" type="noConversion"/>
  </si>
  <si>
    <t>FLOAT</t>
    <phoneticPr fontId="2" type="noConversion"/>
  </si>
  <si>
    <t>K-JR01920-A414AWA</t>
    <phoneticPr fontId="2" type="noConversion"/>
  </si>
  <si>
    <t>수리후양산</t>
    <phoneticPr fontId="2" type="noConversion"/>
  </si>
  <si>
    <r>
      <t>2017년 03월 01일 일일생산현황</t>
    </r>
    <r>
      <rPr>
        <b/>
        <sz val="14"/>
        <color indexed="8"/>
        <rFont val="굴림체"/>
        <family val="3"/>
        <charset val="129"/>
      </rPr>
      <t>(02일(목) 09시 현재)</t>
    </r>
    <phoneticPr fontId="2" type="noConversion"/>
  </si>
  <si>
    <t>03월 호기별 가동현황</t>
    <phoneticPr fontId="2" type="noConversion"/>
  </si>
  <si>
    <t>SST</t>
    <phoneticPr fontId="2" type="noConversion"/>
  </si>
  <si>
    <t>BASE</t>
    <phoneticPr fontId="2" type="noConversion"/>
  </si>
  <si>
    <t>K-JR01920-B414AZB</t>
    <phoneticPr fontId="2" type="noConversion"/>
  </si>
  <si>
    <t>SGP2020R</t>
    <phoneticPr fontId="2" type="noConversion"/>
  </si>
  <si>
    <t>LEAD IN</t>
    <phoneticPr fontId="2" type="noConversion"/>
  </si>
  <si>
    <t>K-JR01920-M01ABA</t>
    <phoneticPr fontId="2" type="noConversion"/>
  </si>
  <si>
    <t>SGF2030 N/P</t>
    <phoneticPr fontId="2" type="noConversion"/>
  </si>
  <si>
    <t>HOLDER</t>
    <phoneticPr fontId="2" type="noConversion"/>
  </si>
  <si>
    <t>K-JR01920-D432AZA</t>
    <phoneticPr fontId="2" type="noConversion"/>
  </si>
  <si>
    <t>전일 ISSUE 사항(01일)</t>
    <phoneticPr fontId="2" type="noConversion"/>
  </si>
  <si>
    <t>SST</t>
    <phoneticPr fontId="2" type="noConversion"/>
  </si>
  <si>
    <t>6</t>
    <phoneticPr fontId="2" type="noConversion"/>
  </si>
  <si>
    <t>K-JR01920-M01ABA</t>
    <phoneticPr fontId="2" type="noConversion"/>
  </si>
  <si>
    <t>수리후양산</t>
    <phoneticPr fontId="2" type="noConversion"/>
  </si>
  <si>
    <t>4</t>
    <phoneticPr fontId="2" type="noConversion"/>
  </si>
  <si>
    <t>FLOAT</t>
    <phoneticPr fontId="2" type="noConversion"/>
  </si>
  <si>
    <t>HOOK BURR정지</t>
    <phoneticPr fontId="2" type="noConversion"/>
  </si>
  <si>
    <t>7</t>
    <phoneticPr fontId="2" type="noConversion"/>
  </si>
  <si>
    <t>HOLDER</t>
    <phoneticPr fontId="2" type="noConversion"/>
  </si>
  <si>
    <t>K-JR01920-D432AZA</t>
    <phoneticPr fontId="2" type="noConversion"/>
  </si>
  <si>
    <t>발주분양산</t>
    <phoneticPr fontId="2" type="noConversion"/>
  </si>
  <si>
    <t>당일 진행 사항(02일)</t>
    <phoneticPr fontId="2" type="noConversion"/>
  </si>
  <si>
    <t>K-JR01920-B414AZB</t>
    <phoneticPr fontId="2" type="noConversion"/>
  </si>
  <si>
    <t>K-JR01920-B414AZB</t>
    <phoneticPr fontId="2" type="noConversion"/>
  </si>
  <si>
    <t>5</t>
    <phoneticPr fontId="2" type="noConversion"/>
  </si>
  <si>
    <t>BASE</t>
    <phoneticPr fontId="2" type="noConversion"/>
  </si>
  <si>
    <t>발주분양산-&gt;리브박힘정지</t>
    <phoneticPr fontId="2" type="noConversion"/>
  </si>
  <si>
    <t>SAMPLE 진행 사항(01일)</t>
    <phoneticPr fontId="2" type="noConversion"/>
  </si>
  <si>
    <t>금형 수리 내역(01일)</t>
    <phoneticPr fontId="2" type="noConversion"/>
  </si>
  <si>
    <t>설비 점검 내역(01일)</t>
    <phoneticPr fontId="2" type="noConversion"/>
  </si>
  <si>
    <r>
      <t>2017년 03월 02일 일일생산현황</t>
    </r>
    <r>
      <rPr>
        <b/>
        <sz val="14"/>
        <color indexed="8"/>
        <rFont val="굴림체"/>
        <family val="3"/>
        <charset val="129"/>
      </rPr>
      <t>(03일(금) 09시 현재)</t>
    </r>
    <phoneticPr fontId="2" type="noConversion"/>
  </si>
  <si>
    <t>KR6197-C841TA</t>
    <phoneticPr fontId="2" type="noConversion"/>
  </si>
  <si>
    <t>BASE</t>
    <phoneticPr fontId="2" type="noConversion"/>
  </si>
  <si>
    <t>K-JR01918-B484BWA</t>
    <phoneticPr fontId="2" type="noConversion"/>
  </si>
  <si>
    <t>SGF2030</t>
    <phoneticPr fontId="2" type="noConversion"/>
  </si>
  <si>
    <t>COVER</t>
    <phoneticPr fontId="2" type="noConversion"/>
  </si>
  <si>
    <t>K-JR01920-C01AWA</t>
    <phoneticPr fontId="2" type="noConversion"/>
  </si>
  <si>
    <t>전일 ISSUE 사항(02일)</t>
    <phoneticPr fontId="2" type="noConversion"/>
  </si>
  <si>
    <t>3</t>
    <phoneticPr fontId="2" type="noConversion"/>
  </si>
  <si>
    <t>COVER</t>
    <phoneticPr fontId="2" type="noConversion"/>
  </si>
  <si>
    <t>발주분양산</t>
    <phoneticPr fontId="2" type="noConversion"/>
  </si>
  <si>
    <t>9</t>
    <phoneticPr fontId="2" type="noConversion"/>
  </si>
  <si>
    <t>K-JR01920-C01AWA</t>
    <phoneticPr fontId="2" type="noConversion"/>
  </si>
  <si>
    <t>5</t>
    <phoneticPr fontId="2" type="noConversion"/>
  </si>
  <si>
    <t>K-JR01920-B414AZB</t>
    <phoneticPr fontId="2" type="noConversion"/>
  </si>
  <si>
    <t>수리후양산</t>
    <phoneticPr fontId="2" type="noConversion"/>
  </si>
  <si>
    <t>7</t>
    <phoneticPr fontId="2" type="noConversion"/>
  </si>
  <si>
    <t>BASE</t>
    <phoneticPr fontId="2" type="noConversion"/>
  </si>
  <si>
    <t>발주분양산-&gt;박힘정지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</si>
  <si>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</si>
  <si>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</si>
  <si>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</si>
  <si>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</si>
  <si>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코아파손정지</t>
    <phoneticPr fontId="2" type="noConversion"/>
  </si>
  <si>
    <t>당일 진행 사항(03일)</t>
    <phoneticPr fontId="2" type="noConversion"/>
  </si>
  <si>
    <t>4</t>
    <phoneticPr fontId="2" type="noConversion"/>
  </si>
  <si>
    <t>KR6170BD740UA</t>
    <phoneticPr fontId="2" type="noConversion"/>
  </si>
  <si>
    <t>5</t>
    <phoneticPr fontId="2" type="noConversion"/>
  </si>
  <si>
    <t>STOPPER</t>
    <phoneticPr fontId="2" type="noConversion"/>
  </si>
  <si>
    <t>K-JR01920-H432AZA</t>
    <phoneticPr fontId="2" type="noConversion"/>
  </si>
  <si>
    <t>K-JR01918-B484BWA</t>
    <phoneticPr fontId="2" type="noConversion"/>
  </si>
  <si>
    <t>수리후양산</t>
    <phoneticPr fontId="2" type="noConversion"/>
  </si>
  <si>
    <t>SAMPLE 진행 사항(02일)</t>
    <phoneticPr fontId="2" type="noConversion"/>
  </si>
  <si>
    <t>SLIDER</t>
    <phoneticPr fontId="2" type="noConversion"/>
  </si>
  <si>
    <t>KR6197CA432XX</t>
    <phoneticPr fontId="2" type="noConversion"/>
  </si>
  <si>
    <t>SGF2052</t>
    <phoneticPr fontId="2" type="noConversion"/>
  </si>
  <si>
    <t>원재료</t>
    <phoneticPr fontId="2" type="noConversion"/>
  </si>
  <si>
    <t>금형 수리 내역(02일)</t>
    <phoneticPr fontId="2" type="noConversion"/>
  </si>
  <si>
    <t>설비 점검 내역(02일)</t>
    <phoneticPr fontId="2" type="noConversion"/>
  </si>
  <si>
    <r>
      <t>2017년 03월 03일 일일생산현황</t>
    </r>
    <r>
      <rPr>
        <b/>
        <sz val="14"/>
        <color indexed="8"/>
        <rFont val="굴림체"/>
        <family val="3"/>
        <charset val="129"/>
      </rPr>
      <t>(04일(토) 09시 현재)</t>
    </r>
    <phoneticPr fontId="2" type="noConversion"/>
  </si>
  <si>
    <t>STOPPER</t>
    <phoneticPr fontId="2" type="noConversion"/>
  </si>
  <si>
    <t>KR6170BD740UB</t>
    <phoneticPr fontId="2" type="noConversion"/>
  </si>
  <si>
    <t>K-JR01920-H432AZA</t>
    <phoneticPr fontId="2" type="noConversion"/>
  </si>
  <si>
    <t>테라</t>
    <phoneticPr fontId="2" type="noConversion"/>
  </si>
  <si>
    <t>BRACKET</t>
    <phoneticPr fontId="2" type="noConversion"/>
  </si>
  <si>
    <t>CB001</t>
    <phoneticPr fontId="2" type="noConversion"/>
  </si>
  <si>
    <t>LEVER</t>
    <phoneticPr fontId="2" type="noConversion"/>
  </si>
  <si>
    <t>LV006</t>
    <phoneticPr fontId="2" type="noConversion"/>
  </si>
  <si>
    <t>전일 ISSUE 사항(03일)</t>
    <phoneticPr fontId="2" type="noConversion"/>
  </si>
  <si>
    <t>밀핀파손정지</t>
    <phoneticPr fontId="2" type="noConversion"/>
  </si>
  <si>
    <t>STOPPER</t>
    <phoneticPr fontId="2" type="noConversion"/>
  </si>
  <si>
    <t>KR6170BD740UB</t>
    <phoneticPr fontId="2" type="noConversion"/>
  </si>
  <si>
    <t>K-JR01920-H414AZA</t>
    <phoneticPr fontId="2" type="noConversion"/>
  </si>
  <si>
    <t>발주분양산</t>
    <phoneticPr fontId="2" type="noConversion"/>
  </si>
  <si>
    <t>수리후양산</t>
    <phoneticPr fontId="2" type="noConversion"/>
  </si>
  <si>
    <t>MCS</t>
    <phoneticPr fontId="2" type="noConversion"/>
  </si>
  <si>
    <t>8</t>
    <phoneticPr fontId="2" type="noConversion"/>
  </si>
  <si>
    <t>AMB0114E-JAA-R2</t>
    <phoneticPr fontId="2" type="noConversion"/>
  </si>
  <si>
    <t>세척후양산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</si>
  <si>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</si>
  <si>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</si>
  <si>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</si>
  <si>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뜯김-&gt;코아파손정지</t>
    <phoneticPr fontId="2" type="noConversion"/>
  </si>
  <si>
    <t>11</t>
    <phoneticPr fontId="2" type="noConversion"/>
  </si>
  <si>
    <t>12</t>
    <phoneticPr fontId="2" type="noConversion"/>
  </si>
  <si>
    <t>LEVER</t>
    <phoneticPr fontId="2" type="noConversion"/>
  </si>
  <si>
    <t>당일 진행 사항(04일)</t>
    <phoneticPr fontId="2" type="noConversion"/>
  </si>
  <si>
    <t>FLOAT</t>
    <phoneticPr fontId="2" type="noConversion"/>
  </si>
  <si>
    <t>K-JR01920-A414AWA</t>
    <phoneticPr fontId="2" type="noConversion"/>
  </si>
  <si>
    <t>3</t>
    <phoneticPr fontId="2" type="noConversion"/>
  </si>
  <si>
    <t>COVER</t>
    <phoneticPr fontId="2" type="noConversion"/>
  </si>
  <si>
    <t>KR6197-C841TA</t>
    <phoneticPr fontId="2" type="noConversion"/>
  </si>
  <si>
    <t>LEAD GUIDE</t>
    <phoneticPr fontId="2" type="noConversion"/>
  </si>
  <si>
    <t>K-JR01920-F414AWA</t>
    <phoneticPr fontId="2" type="noConversion"/>
  </si>
  <si>
    <t>KR6197AB841CA</t>
    <phoneticPr fontId="2" type="noConversion"/>
  </si>
  <si>
    <t>SAMPLE 진행 사항(03일)</t>
    <phoneticPr fontId="2" type="noConversion"/>
  </si>
  <si>
    <t>ADAPTER</t>
    <phoneticPr fontId="2" type="noConversion"/>
  </si>
  <si>
    <t>KR6414-GA414XX</t>
    <phoneticPr fontId="2" type="noConversion"/>
  </si>
  <si>
    <t>SF2255 I/V</t>
    <phoneticPr fontId="2" type="noConversion"/>
  </si>
  <si>
    <t>개조</t>
    <phoneticPr fontId="2" type="noConversion"/>
  </si>
  <si>
    <t>NEXT</t>
    <phoneticPr fontId="2" type="noConversion"/>
  </si>
  <si>
    <t>11 MIDDLE PLATE/12 BOTTOM PLATE</t>
    <phoneticPr fontId="2" type="noConversion"/>
  </si>
  <si>
    <t>SF2255</t>
    <phoneticPr fontId="2" type="noConversion"/>
  </si>
  <si>
    <t>신작</t>
    <phoneticPr fontId="2" type="noConversion"/>
  </si>
  <si>
    <t>금형 수리 내역(03일)</t>
    <phoneticPr fontId="2" type="noConversion"/>
  </si>
  <si>
    <t>설비 점검 내역(03일)</t>
    <phoneticPr fontId="2" type="noConversion"/>
  </si>
  <si>
    <r>
      <t>2017년 03월 04일 일일생산현황</t>
    </r>
    <r>
      <rPr>
        <b/>
        <sz val="14"/>
        <color indexed="8"/>
        <rFont val="굴림체"/>
        <family val="3"/>
        <charset val="129"/>
      </rPr>
      <t>(05일(일) 09시 현재)</t>
    </r>
    <phoneticPr fontId="2" type="noConversion"/>
  </si>
  <si>
    <t>LEAD GUIDE</t>
    <phoneticPr fontId="2" type="noConversion"/>
  </si>
  <si>
    <t>K-JR01920-F414AWA</t>
    <phoneticPr fontId="2" type="noConversion"/>
  </si>
  <si>
    <t>SST</t>
    <phoneticPr fontId="2" type="noConversion"/>
  </si>
  <si>
    <t>LEAD GUIDE</t>
    <phoneticPr fontId="2" type="noConversion"/>
  </si>
  <si>
    <t>KR6197-F841UA</t>
    <phoneticPr fontId="2" type="noConversion"/>
  </si>
  <si>
    <t>전일 ISSUE 사항(04일)</t>
    <phoneticPr fontId="2" type="noConversion"/>
  </si>
  <si>
    <t>1</t>
    <phoneticPr fontId="2" type="noConversion"/>
  </si>
  <si>
    <t>3</t>
    <phoneticPr fontId="2" type="noConversion"/>
  </si>
  <si>
    <t>수리후양산</t>
    <phoneticPr fontId="2" type="noConversion"/>
  </si>
  <si>
    <t>KR6197-D841PB</t>
    <phoneticPr fontId="2" type="noConversion"/>
  </si>
  <si>
    <t>7</t>
    <phoneticPr fontId="2" type="noConversion"/>
  </si>
  <si>
    <t>LEAD GUIDE</t>
    <phoneticPr fontId="2" type="noConversion"/>
  </si>
  <si>
    <t>K-JR01920-F414AWA</t>
    <phoneticPr fontId="2" type="noConversion"/>
  </si>
  <si>
    <t>발주분양산</t>
    <phoneticPr fontId="2" type="noConversion"/>
  </si>
  <si>
    <t>4</t>
    <phoneticPr fontId="2" type="noConversion"/>
  </si>
  <si>
    <t>FLOAT</t>
    <phoneticPr fontId="2" type="noConversion"/>
  </si>
  <si>
    <t>K-JR01920-A414AWA</t>
    <phoneticPr fontId="2" type="noConversion"/>
  </si>
  <si>
    <t>가스정지</t>
    <phoneticPr fontId="2" type="noConversion"/>
  </si>
  <si>
    <t>코아파손2회정지</t>
    <phoneticPr fontId="2" type="noConversion"/>
  </si>
  <si>
    <t>11</t>
    <phoneticPr fontId="2" type="noConversion"/>
  </si>
  <si>
    <t>KR6197-F841UA</t>
    <phoneticPr fontId="2" type="noConversion"/>
  </si>
  <si>
    <t>당일 진행 사항(05일)</t>
    <phoneticPr fontId="2" type="noConversion"/>
  </si>
  <si>
    <t>MCS</t>
    <phoneticPr fontId="2" type="noConversion"/>
  </si>
  <si>
    <t>8</t>
    <phoneticPr fontId="2" type="noConversion"/>
  </si>
  <si>
    <t>BODY</t>
    <phoneticPr fontId="2" type="noConversion"/>
  </si>
  <si>
    <t>AMB0114E-JAA-R2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</si>
  <si>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</si>
  <si>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</si>
  <si>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</si>
  <si>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AMM0863A-KAA-R2</t>
    <phoneticPr fontId="2" type="noConversion"/>
  </si>
  <si>
    <t>발주분양산</t>
    <phoneticPr fontId="2" type="noConversion"/>
  </si>
  <si>
    <t>SAMPLE 진행 사항(04일)</t>
    <phoneticPr fontId="2" type="noConversion"/>
  </si>
  <si>
    <t>금형 수리 내역(04일)</t>
    <phoneticPr fontId="2" type="noConversion"/>
  </si>
  <si>
    <t>설비 점검 내역(04일)</t>
    <phoneticPr fontId="2" type="noConversion"/>
  </si>
  <si>
    <r>
      <t>2017년 03월 05일 일일생산현황</t>
    </r>
    <r>
      <rPr>
        <b/>
        <sz val="14"/>
        <color indexed="8"/>
        <rFont val="굴림체"/>
        <family val="3"/>
        <charset val="129"/>
      </rPr>
      <t>(06일(월) 09시 현재)</t>
    </r>
    <phoneticPr fontId="2" type="noConversion"/>
  </si>
  <si>
    <t>BASE</t>
    <phoneticPr fontId="2" type="noConversion"/>
  </si>
  <si>
    <t>AMM0863A-KAA-R2</t>
    <phoneticPr fontId="2" type="noConversion"/>
  </si>
  <si>
    <t>BLUE</t>
    <phoneticPr fontId="2" type="noConversion"/>
  </si>
  <si>
    <t>전일 ISSUE 사항(05일)</t>
    <phoneticPr fontId="2" type="noConversion"/>
  </si>
  <si>
    <t>수리후양산</t>
    <phoneticPr fontId="2" type="noConversion"/>
  </si>
  <si>
    <t>BURR양산안됨</t>
    <phoneticPr fontId="2" type="noConversion"/>
  </si>
  <si>
    <t>9</t>
    <phoneticPr fontId="2" type="noConversion"/>
  </si>
  <si>
    <t>코아파손</t>
    <phoneticPr fontId="2" type="noConversion"/>
  </si>
  <si>
    <t>당일 진행 사항(06일)</t>
    <phoneticPr fontId="2" type="noConversion"/>
  </si>
  <si>
    <t>SST</t>
    <phoneticPr fontId="2" type="noConversion"/>
  </si>
  <si>
    <t>4</t>
    <phoneticPr fontId="2" type="noConversion"/>
  </si>
  <si>
    <t>SHAFT</t>
    <phoneticPr fontId="2" type="noConversion"/>
  </si>
  <si>
    <t>KR6202-06KA</t>
    <phoneticPr fontId="2" type="noConversion"/>
  </si>
  <si>
    <t>발주분양산</t>
    <phoneticPr fontId="2" type="noConversion"/>
  </si>
  <si>
    <t>AMB0114B-JAA-R5</t>
    <phoneticPr fontId="2" type="noConversion"/>
  </si>
  <si>
    <t>7</t>
    <phoneticPr fontId="2" type="noConversion"/>
  </si>
  <si>
    <t>BODY</t>
    <phoneticPr fontId="2" type="noConversion"/>
  </si>
  <si>
    <t>발주분양산</t>
    <phoneticPr fontId="2" type="noConversion"/>
  </si>
  <si>
    <t>SAMPLE 진행 사항(05일)</t>
    <phoneticPr fontId="2" type="noConversion"/>
  </si>
  <si>
    <t>SLIDER</t>
    <phoneticPr fontId="2" type="noConversion"/>
  </si>
  <si>
    <t>KR6197CA843XX</t>
    <phoneticPr fontId="2" type="noConversion"/>
  </si>
  <si>
    <t>SGF2052</t>
    <phoneticPr fontId="2" type="noConversion"/>
  </si>
  <si>
    <t>원재료,수정</t>
    <phoneticPr fontId="2" type="noConversion"/>
  </si>
  <si>
    <t>KR6400-B255WA</t>
    <phoneticPr fontId="2" type="noConversion"/>
  </si>
  <si>
    <t>SGF2030</t>
    <phoneticPr fontId="2" type="noConversion"/>
  </si>
  <si>
    <t>요청</t>
    <phoneticPr fontId="2" type="noConversion"/>
  </si>
  <si>
    <t>MCS</t>
    <phoneticPr fontId="2" type="noConversion"/>
  </si>
  <si>
    <t>STOPPER</t>
    <phoneticPr fontId="2" type="noConversion"/>
  </si>
  <si>
    <t>AMB0226A-KAA-R1</t>
    <phoneticPr fontId="2" type="noConversion"/>
  </si>
  <si>
    <t>SF2255</t>
    <phoneticPr fontId="2" type="noConversion"/>
  </si>
  <si>
    <t>이형제작업</t>
    <phoneticPr fontId="2" type="noConversion"/>
  </si>
  <si>
    <t>금형 수리 내역(05일)</t>
    <phoneticPr fontId="2" type="noConversion"/>
  </si>
  <si>
    <t>설비 점검 내역(05일)</t>
    <phoneticPr fontId="2" type="noConversion"/>
  </si>
  <si>
    <r>
      <t>2017년 03월 06일 일일생산현황</t>
    </r>
    <r>
      <rPr>
        <b/>
        <sz val="14"/>
        <color indexed="8"/>
        <rFont val="굴림체"/>
        <family val="3"/>
        <charset val="129"/>
      </rPr>
      <t>(07일(화) 09시 현재)</t>
    </r>
    <phoneticPr fontId="2" type="noConversion"/>
  </si>
  <si>
    <t>SHAFT</t>
    <phoneticPr fontId="2" type="noConversion"/>
  </si>
  <si>
    <t>KR6202-06KA</t>
    <phoneticPr fontId="2" type="noConversion"/>
  </si>
  <si>
    <t>JCL3030</t>
    <phoneticPr fontId="2" type="noConversion"/>
  </si>
  <si>
    <t>BODY</t>
    <phoneticPr fontId="2" type="noConversion"/>
  </si>
  <si>
    <t>AMB0114B-JAA-R5</t>
    <phoneticPr fontId="2" type="noConversion"/>
  </si>
  <si>
    <t>SF2255</t>
    <phoneticPr fontId="2" type="noConversion"/>
  </si>
  <si>
    <t>전일 ISSUE 사항(06일)</t>
    <phoneticPr fontId="2" type="noConversion"/>
  </si>
  <si>
    <t>이물제거</t>
    <phoneticPr fontId="2" type="noConversion"/>
  </si>
  <si>
    <t>BURR수리후양산</t>
    <phoneticPr fontId="2" type="noConversion"/>
  </si>
  <si>
    <t>발주분양산</t>
    <phoneticPr fontId="2" type="noConversion"/>
  </si>
  <si>
    <t>SHAFT</t>
    <phoneticPr fontId="2" type="noConversion"/>
  </si>
  <si>
    <t>당일 진행 사항(07일)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</si>
  <si>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</si>
  <si>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</si>
  <si>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</si>
  <si>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세척</t>
    <phoneticPr fontId="2" type="noConversion"/>
  </si>
  <si>
    <t>AMB1901D-JAA-R2</t>
    <phoneticPr fontId="2" type="noConversion"/>
  </si>
  <si>
    <t>세척후양산</t>
    <phoneticPr fontId="2" type="noConversion"/>
  </si>
  <si>
    <t>12</t>
    <phoneticPr fontId="2" type="noConversion"/>
  </si>
  <si>
    <t>IC GUIDE</t>
    <phoneticPr fontId="2" type="noConversion"/>
  </si>
  <si>
    <t>AMB07A2A-KAA-R2</t>
    <phoneticPr fontId="2" type="noConversion"/>
  </si>
  <si>
    <t>2</t>
    <phoneticPr fontId="2" type="noConversion"/>
  </si>
  <si>
    <t>AM0148E-K-R2</t>
    <phoneticPr fontId="2" type="noConversion"/>
  </si>
  <si>
    <t>뜯김정지</t>
    <phoneticPr fontId="2" type="noConversion"/>
  </si>
  <si>
    <t>SAMPLE 진행 사항(06일)</t>
    <phoneticPr fontId="2" type="noConversion"/>
  </si>
  <si>
    <t>NEXT</t>
    <phoneticPr fontId="2" type="noConversion"/>
  </si>
  <si>
    <t>0.35P/0.4P</t>
    <phoneticPr fontId="2" type="noConversion"/>
  </si>
  <si>
    <t>수정</t>
    <phoneticPr fontId="2" type="noConversion"/>
  </si>
  <si>
    <t>ACTUATOR</t>
    <phoneticPr fontId="2" type="noConversion"/>
  </si>
  <si>
    <t>AMB1917B-KAA-R1</t>
    <phoneticPr fontId="2" type="noConversion"/>
  </si>
  <si>
    <t>AMB1918A-KAA-R1</t>
    <phoneticPr fontId="2" type="noConversion"/>
  </si>
  <si>
    <t>AMB0152B-KAA-R1</t>
    <phoneticPr fontId="2" type="noConversion"/>
  </si>
  <si>
    <t>MCS</t>
    <phoneticPr fontId="2" type="noConversion"/>
  </si>
  <si>
    <t>AMB0154A-KAA-R1</t>
    <phoneticPr fontId="2" type="noConversion"/>
  </si>
  <si>
    <t>금형 수리 내역(06일)</t>
    <phoneticPr fontId="2" type="noConversion"/>
  </si>
  <si>
    <t>설비 점검 내역(06일)</t>
    <phoneticPr fontId="2" type="noConversion"/>
  </si>
  <si>
    <r>
      <t>2017년 03월 07일 일일생산현황</t>
    </r>
    <r>
      <rPr>
        <b/>
        <sz val="14"/>
        <color indexed="8"/>
        <rFont val="굴림체"/>
        <family val="3"/>
        <charset val="129"/>
      </rPr>
      <t>(08일(수) 09시 현재)</t>
    </r>
    <phoneticPr fontId="2" type="noConversion"/>
  </si>
  <si>
    <t>MCS</t>
    <phoneticPr fontId="2" type="noConversion"/>
  </si>
  <si>
    <t>BODY</t>
    <phoneticPr fontId="2" type="noConversion"/>
  </si>
  <si>
    <t>AMB0129A-KAA-R3</t>
    <phoneticPr fontId="2" type="noConversion"/>
  </si>
  <si>
    <t>SGF2050</t>
    <phoneticPr fontId="2" type="noConversion"/>
  </si>
  <si>
    <t>LATCH</t>
    <phoneticPr fontId="2" type="noConversion"/>
  </si>
  <si>
    <t>KR6302AE01TA</t>
    <phoneticPr fontId="2" type="noConversion"/>
  </si>
  <si>
    <t>JD4901</t>
    <phoneticPr fontId="2" type="noConversion"/>
  </si>
  <si>
    <t>ADAPTER</t>
    <phoneticPr fontId="2" type="noConversion"/>
  </si>
  <si>
    <t>KR6414-GA414QA</t>
    <phoneticPr fontId="2" type="noConversion"/>
  </si>
  <si>
    <t>SF2255 I/V</t>
    <phoneticPr fontId="2" type="noConversion"/>
  </si>
  <si>
    <t>IC GUIDE</t>
    <phoneticPr fontId="2" type="noConversion"/>
  </si>
  <si>
    <t>AMB07A2A-KAA-R2</t>
    <phoneticPr fontId="2" type="noConversion"/>
  </si>
  <si>
    <t>전일 ISSUE 사항(07일)</t>
    <phoneticPr fontId="2" type="noConversion"/>
  </si>
  <si>
    <t>세척</t>
    <phoneticPr fontId="2" type="noConversion"/>
  </si>
  <si>
    <t>밀핀파손정지</t>
    <phoneticPr fontId="2" type="noConversion"/>
  </si>
  <si>
    <t>코아파손,오조립 3회진행</t>
    <phoneticPr fontId="2" type="noConversion"/>
  </si>
  <si>
    <t>5</t>
    <phoneticPr fontId="2" type="noConversion"/>
  </si>
  <si>
    <t>LATCH</t>
    <phoneticPr fontId="2" type="noConversion"/>
  </si>
  <si>
    <t>발주분양산</t>
    <phoneticPr fontId="2" type="noConversion"/>
  </si>
  <si>
    <t>발주분양산</t>
    <phoneticPr fontId="2" type="noConversion"/>
  </si>
  <si>
    <t>6</t>
    <phoneticPr fontId="2" type="noConversion"/>
  </si>
  <si>
    <t>11</t>
    <phoneticPr fontId="2" type="noConversion"/>
  </si>
  <si>
    <t>KR6197-F841UA</t>
    <phoneticPr fontId="2" type="noConversion"/>
  </si>
  <si>
    <t>수리후양산</t>
    <phoneticPr fontId="2" type="noConversion"/>
  </si>
  <si>
    <t>12</t>
    <phoneticPr fontId="2" type="noConversion"/>
  </si>
  <si>
    <t>IC GUIDE</t>
    <phoneticPr fontId="2" type="noConversion"/>
  </si>
  <si>
    <t>AMB07A2A-KAA-R2</t>
    <phoneticPr fontId="2" type="noConversion"/>
  </si>
  <si>
    <t>당일 진행 사항(08일)</t>
    <phoneticPr fontId="2" type="noConversion"/>
  </si>
  <si>
    <t>SST</t>
    <phoneticPr fontId="2" type="noConversion"/>
  </si>
  <si>
    <t>4</t>
    <phoneticPr fontId="2" type="noConversion"/>
  </si>
  <si>
    <t>STOPPER</t>
    <phoneticPr fontId="2" type="noConversion"/>
  </si>
  <si>
    <t>KR6170BD740UB</t>
    <phoneticPr fontId="2" type="noConversion"/>
  </si>
  <si>
    <t>발주분양산</t>
    <phoneticPr fontId="2" type="noConversion"/>
  </si>
  <si>
    <t>BODY</t>
    <phoneticPr fontId="2" type="noConversion"/>
  </si>
  <si>
    <t>AMB0114E-JAA-R2</t>
    <phoneticPr fontId="2" type="noConversion"/>
  </si>
  <si>
    <t>수리후양산</t>
    <phoneticPr fontId="2" type="noConversion"/>
  </si>
  <si>
    <t>SAMPLE 진행 사항(07일)</t>
    <phoneticPr fontId="2" type="noConversion"/>
  </si>
  <si>
    <t>테라</t>
    <phoneticPr fontId="2" type="noConversion"/>
  </si>
  <si>
    <t>1차 INSERT MOLD</t>
    <phoneticPr fontId="2" type="noConversion"/>
  </si>
  <si>
    <t>GN2330</t>
    <phoneticPr fontId="2" type="noConversion"/>
  </si>
  <si>
    <t>신작</t>
    <phoneticPr fontId="2" type="noConversion"/>
  </si>
  <si>
    <t>2차 INSERT MOLD</t>
    <phoneticPr fontId="2" type="noConversion"/>
  </si>
  <si>
    <t>금형 수리 내역(07일)</t>
    <phoneticPr fontId="2" type="noConversion"/>
  </si>
  <si>
    <t>설비 점검 내역(07일)</t>
    <phoneticPr fontId="2" type="noConversion"/>
  </si>
  <si>
    <r>
      <t>2017년 03월 08일 일일생산현황</t>
    </r>
    <r>
      <rPr>
        <b/>
        <sz val="14"/>
        <color indexed="8"/>
        <rFont val="굴림체"/>
        <family val="3"/>
        <charset val="129"/>
      </rPr>
      <t>(09일(목) 09시 현재)</t>
    </r>
    <phoneticPr fontId="2" type="noConversion"/>
  </si>
  <si>
    <t>STOPPER</t>
    <phoneticPr fontId="2" type="noConversion"/>
  </si>
  <si>
    <t>KR6170BD740UB</t>
    <phoneticPr fontId="2" type="noConversion"/>
  </si>
  <si>
    <t>SGF2030</t>
    <phoneticPr fontId="2" type="noConversion"/>
  </si>
  <si>
    <t>전일 ISSUE 사항(08일)</t>
    <phoneticPr fontId="2" type="noConversion"/>
  </si>
  <si>
    <t>이물제거,에젝타파손수리</t>
    <phoneticPr fontId="2" type="noConversion"/>
  </si>
  <si>
    <t>수리후양산</t>
    <phoneticPr fontId="2" type="noConversion"/>
  </si>
  <si>
    <t>STOPPER</t>
    <phoneticPr fontId="2" type="noConversion"/>
  </si>
  <si>
    <t>KR6197-D841PB</t>
    <phoneticPr fontId="2" type="noConversion"/>
  </si>
  <si>
    <t>설비고장정지</t>
    <phoneticPr fontId="2" type="noConversion"/>
  </si>
  <si>
    <t>4</t>
    <phoneticPr fontId="2" type="noConversion"/>
  </si>
  <si>
    <t>뜯김,코아파손정지</t>
    <phoneticPr fontId="2" type="noConversion"/>
  </si>
  <si>
    <t>당일 진행 사항(09일)</t>
    <phoneticPr fontId="2" type="noConversion"/>
  </si>
  <si>
    <t>KR6197-D841PB</t>
    <phoneticPr fontId="2" type="noConversion"/>
  </si>
  <si>
    <t>설비수리후양산</t>
    <phoneticPr fontId="2" type="noConversion"/>
  </si>
  <si>
    <t>MCS</t>
    <phoneticPr fontId="2" type="noConversion"/>
  </si>
  <si>
    <t>7</t>
    <phoneticPr fontId="2" type="noConversion"/>
  </si>
  <si>
    <t>STOPPER L/R</t>
    <phoneticPr fontId="2" type="noConversion"/>
  </si>
  <si>
    <t>AAM1209A-KAA-R2/KAB</t>
    <phoneticPr fontId="2" type="noConversion"/>
  </si>
  <si>
    <t>발주분양산</t>
    <phoneticPr fontId="2" type="noConversion"/>
  </si>
  <si>
    <t>OKINS</t>
    <phoneticPr fontId="2" type="noConversion"/>
  </si>
  <si>
    <t>12</t>
    <phoneticPr fontId="2" type="noConversion"/>
  </si>
  <si>
    <t>BASE</t>
    <phoneticPr fontId="2" type="noConversion"/>
  </si>
  <si>
    <t>208-016-B756A-1</t>
    <phoneticPr fontId="2" type="noConversion"/>
  </si>
  <si>
    <t>발주분양산</t>
    <phoneticPr fontId="2" type="noConversion"/>
  </si>
  <si>
    <t>SAMPLE 진행 사항(08일)</t>
    <phoneticPr fontId="2" type="noConversion"/>
  </si>
  <si>
    <t>AMB0152B-KAA-R1</t>
    <phoneticPr fontId="2" type="noConversion"/>
  </si>
  <si>
    <t>SF2255</t>
    <phoneticPr fontId="2" type="noConversion"/>
  </si>
  <si>
    <t>수정</t>
    <phoneticPr fontId="2" type="noConversion"/>
  </si>
  <si>
    <t>테라</t>
    <phoneticPr fontId="2" type="noConversion"/>
  </si>
  <si>
    <t>LV006</t>
    <phoneticPr fontId="2" type="noConversion"/>
  </si>
  <si>
    <t>LEVER</t>
    <phoneticPr fontId="2" type="noConversion"/>
  </si>
  <si>
    <t>금형 수리 내역(08일)</t>
    <phoneticPr fontId="2" type="noConversion"/>
  </si>
  <si>
    <t>STOPPER</t>
    <phoneticPr fontId="2" type="noConversion"/>
  </si>
  <si>
    <t>KR6170BD740UB</t>
    <phoneticPr fontId="2" type="noConversion"/>
  </si>
  <si>
    <t>설비 점검 내역(08일)</t>
    <phoneticPr fontId="2" type="noConversion"/>
  </si>
  <si>
    <t>이동축 0점 없음</t>
    <phoneticPr fontId="2" type="noConversion"/>
  </si>
  <si>
    <t>우진</t>
    <phoneticPr fontId="2" type="noConversion"/>
  </si>
  <si>
    <t>A/S신청</t>
    <phoneticPr fontId="2" type="noConversion"/>
  </si>
  <si>
    <r>
      <t>2017년 03월 09일 일일생산현황</t>
    </r>
    <r>
      <rPr>
        <b/>
        <sz val="14"/>
        <color indexed="8"/>
        <rFont val="굴림체"/>
        <family val="3"/>
        <charset val="129"/>
      </rPr>
      <t>(10일(금) 09시 현재)</t>
    </r>
    <phoneticPr fontId="2" type="noConversion"/>
  </si>
  <si>
    <t>AMB0154A-KAA-R1</t>
    <phoneticPr fontId="2" type="noConversion"/>
  </si>
  <si>
    <t>STOPPER</t>
    <phoneticPr fontId="2" type="noConversion"/>
  </si>
  <si>
    <t>AAM1209A-KAA/B-R2</t>
    <phoneticPr fontId="2" type="noConversion"/>
  </si>
  <si>
    <t>2*1</t>
    <phoneticPr fontId="2" type="noConversion"/>
  </si>
  <si>
    <t>OKINS</t>
    <phoneticPr fontId="2" type="noConversion"/>
  </si>
  <si>
    <t>BASE</t>
    <phoneticPr fontId="2" type="noConversion"/>
  </si>
  <si>
    <t>208-016-B756A-1</t>
    <phoneticPr fontId="2" type="noConversion"/>
  </si>
  <si>
    <t>전일 ISSUE 사항(09일)</t>
    <phoneticPr fontId="2" type="noConversion"/>
  </si>
  <si>
    <t>이물제거,코아파손정지</t>
    <phoneticPr fontId="2" type="noConversion"/>
  </si>
  <si>
    <t>수리후양산-&gt;설비이상정지</t>
    <phoneticPr fontId="2" type="noConversion"/>
  </si>
  <si>
    <t>수리후양산-&gt;뜯김정지</t>
    <phoneticPr fontId="2" type="noConversion"/>
  </si>
  <si>
    <t>MCS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</si>
  <si>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</si>
  <si>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</si>
  <si>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</si>
  <si>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세척후양산</t>
    <phoneticPr fontId="2" type="noConversion"/>
  </si>
  <si>
    <t>AAM1209A-KAA/B</t>
    <phoneticPr fontId="2" type="noConversion"/>
  </si>
  <si>
    <t>발주분양산</t>
    <phoneticPr fontId="2" type="noConversion"/>
  </si>
  <si>
    <t>AMB0154A-KAA-R1</t>
    <phoneticPr fontId="2" type="noConversion"/>
  </si>
  <si>
    <t>12</t>
    <phoneticPr fontId="2" type="noConversion"/>
  </si>
  <si>
    <t>당일 진행 사항(10일)</t>
    <phoneticPr fontId="2" type="noConversion"/>
  </si>
  <si>
    <t>LEAD GUIDE</t>
    <phoneticPr fontId="2" type="noConversion"/>
  </si>
  <si>
    <t>KR6170AF1440UA</t>
    <phoneticPr fontId="2" type="noConversion"/>
  </si>
  <si>
    <t>AMM0863A-KAA-R2</t>
    <phoneticPr fontId="2" type="noConversion"/>
  </si>
  <si>
    <t>COVER</t>
    <phoneticPr fontId="2" type="noConversion"/>
  </si>
  <si>
    <t>KR6197-C841TA</t>
    <phoneticPr fontId="2" type="noConversion"/>
  </si>
  <si>
    <t>KR6197-C841TA</t>
    <phoneticPr fontId="2" type="noConversion"/>
  </si>
  <si>
    <t>밀핀파손정지</t>
    <phoneticPr fontId="2" type="noConversion"/>
  </si>
  <si>
    <t>SAMPLE 진행 사항(09일)</t>
    <phoneticPr fontId="2" type="noConversion"/>
  </si>
  <si>
    <t>금형 수리 내역(09일)</t>
    <phoneticPr fontId="2" type="noConversion"/>
  </si>
  <si>
    <t>설비 점검 내역(09일)</t>
    <phoneticPr fontId="2" type="noConversion"/>
  </si>
  <si>
    <t>0점조정완료(에젝타과부하걸림은 차후확인)</t>
    <phoneticPr fontId="2" type="noConversion"/>
  </si>
  <si>
    <r>
      <t>2017년 03월 10일 일일생산현황</t>
    </r>
    <r>
      <rPr>
        <b/>
        <sz val="14"/>
        <color indexed="8"/>
        <rFont val="굴림체"/>
        <family val="3"/>
        <charset val="129"/>
      </rPr>
      <t>(11일(토) 09시 현재)</t>
    </r>
    <phoneticPr fontId="2" type="noConversion"/>
  </si>
  <si>
    <t>LEAD GUIDE</t>
    <phoneticPr fontId="2" type="noConversion"/>
  </si>
  <si>
    <t>KR6170AF1440UA</t>
    <phoneticPr fontId="2" type="noConversion"/>
  </si>
  <si>
    <t>SGF2033</t>
    <phoneticPr fontId="2" type="noConversion"/>
  </si>
  <si>
    <t>KR6152-GVA134QA</t>
    <phoneticPr fontId="2" type="noConversion"/>
  </si>
  <si>
    <t>전일 ISSUE 사항(10일)</t>
    <phoneticPr fontId="2" type="noConversion"/>
  </si>
  <si>
    <t>수리후양산</t>
    <phoneticPr fontId="2" type="noConversion"/>
  </si>
  <si>
    <t>2</t>
    <phoneticPr fontId="2" type="noConversion"/>
  </si>
  <si>
    <t>설비이동양산</t>
    <phoneticPr fontId="2" type="noConversion"/>
  </si>
  <si>
    <t>KR6170AF1440UA</t>
    <phoneticPr fontId="2" type="noConversion"/>
  </si>
  <si>
    <t>5</t>
    <phoneticPr fontId="2" type="noConversion"/>
  </si>
  <si>
    <t>발주분양산</t>
    <phoneticPr fontId="2" type="noConversion"/>
  </si>
  <si>
    <t>KR6152-GVA134QA</t>
    <phoneticPr fontId="2" type="noConversion"/>
  </si>
  <si>
    <t>6</t>
    <phoneticPr fontId="2" type="noConversion"/>
  </si>
  <si>
    <t>ADAPTER</t>
    <phoneticPr fontId="2" type="noConversion"/>
  </si>
  <si>
    <t>발주분양산-&gt;상측박힘정지</t>
    <phoneticPr fontId="2" type="noConversion"/>
  </si>
  <si>
    <t>AMM0863A-KAA-R2</t>
    <phoneticPr fontId="2" type="noConversion"/>
  </si>
  <si>
    <t>MCS</t>
    <phoneticPr fontId="2" type="noConversion"/>
  </si>
  <si>
    <t>9</t>
    <phoneticPr fontId="2" type="noConversion"/>
  </si>
  <si>
    <t>BASE</t>
    <phoneticPr fontId="2" type="noConversion"/>
  </si>
  <si>
    <t>수리후양산-&gt;코아파손정지</t>
    <phoneticPr fontId="2" type="noConversion"/>
  </si>
  <si>
    <t>11</t>
    <phoneticPr fontId="2" type="noConversion"/>
  </si>
  <si>
    <t>KR6197-F841UA</t>
    <phoneticPr fontId="2" type="noConversion"/>
  </si>
  <si>
    <t>세척후양산-&gt;BURR수리후양산</t>
    <phoneticPr fontId="2" type="noConversion"/>
  </si>
  <si>
    <t>당일 진행 사항(11일)</t>
    <phoneticPr fontId="2" type="noConversion"/>
  </si>
  <si>
    <t>SST</t>
    <phoneticPr fontId="2" type="noConversion"/>
  </si>
  <si>
    <t>수리후양산</t>
    <phoneticPr fontId="2" type="noConversion"/>
  </si>
  <si>
    <t>SAMPLE 진행 사항(10일)</t>
    <phoneticPr fontId="2" type="noConversion"/>
  </si>
  <si>
    <t>STOPPER</t>
    <phoneticPr fontId="2" type="noConversion"/>
  </si>
  <si>
    <t>AMB0226A-KAA-R1</t>
    <phoneticPr fontId="2" type="noConversion"/>
  </si>
  <si>
    <t>E P R</t>
    <phoneticPr fontId="2" type="noConversion"/>
  </si>
  <si>
    <t>원재료</t>
    <phoneticPr fontId="2" type="noConversion"/>
  </si>
  <si>
    <t>NEXT</t>
    <phoneticPr fontId="2" type="noConversion"/>
  </si>
  <si>
    <t>09 BOTTOM PLATE/08 MIDDLE PLATE</t>
    <phoneticPr fontId="2" type="noConversion"/>
  </si>
  <si>
    <t>SF2255</t>
    <phoneticPr fontId="2" type="noConversion"/>
  </si>
  <si>
    <t>신작</t>
    <phoneticPr fontId="2" type="noConversion"/>
  </si>
  <si>
    <t>10 FLOATING/07 FLOATING PLATE</t>
    <phoneticPr fontId="2" type="noConversion"/>
  </si>
  <si>
    <t>NEXT</t>
    <phoneticPr fontId="2" type="noConversion"/>
  </si>
  <si>
    <t>금형 수리 내역(10일)</t>
    <phoneticPr fontId="2" type="noConversion"/>
  </si>
  <si>
    <t>설비 점검 내역(10일)</t>
    <phoneticPr fontId="2" type="noConversion"/>
  </si>
  <si>
    <t>에젝타 과부하</t>
    <phoneticPr fontId="2" type="noConversion"/>
  </si>
  <si>
    <t>A/S대기</t>
    <phoneticPr fontId="2" type="noConversion"/>
  </si>
  <si>
    <r>
      <t>2017년 03월 11일 일일생산현황</t>
    </r>
    <r>
      <rPr>
        <b/>
        <sz val="14"/>
        <color indexed="8"/>
        <rFont val="굴림체"/>
        <family val="3"/>
        <charset val="129"/>
      </rPr>
      <t>(12일(일) 09시 현재)</t>
    </r>
    <phoneticPr fontId="2" type="noConversion"/>
  </si>
  <si>
    <t>상측박힘정지</t>
    <phoneticPr fontId="2" type="noConversion"/>
  </si>
  <si>
    <t>전일 ISSUE 사항(11일)</t>
    <phoneticPr fontId="2" type="noConversion"/>
  </si>
  <si>
    <t>당일 진행 사항(13일)</t>
    <phoneticPr fontId="2" type="noConversion"/>
  </si>
  <si>
    <t>가스정지</t>
    <phoneticPr fontId="2" type="noConversion"/>
  </si>
  <si>
    <t>AMB0114E-JAA-R2</t>
    <phoneticPr fontId="2" type="noConversion"/>
  </si>
  <si>
    <t>BURR수리후양산-&gt;밀핀파손정지</t>
    <phoneticPr fontId="2" type="noConversion"/>
  </si>
  <si>
    <t>KR6197-C841TA</t>
    <phoneticPr fontId="2" type="noConversion"/>
  </si>
  <si>
    <t>MCS</t>
    <phoneticPr fontId="2" type="noConversion"/>
  </si>
  <si>
    <t>BODY</t>
    <phoneticPr fontId="2" type="noConversion"/>
  </si>
  <si>
    <t>255BG-001A1</t>
    <phoneticPr fontId="2" type="noConversion"/>
  </si>
  <si>
    <t>HICON</t>
    <phoneticPr fontId="2" type="noConversion"/>
  </si>
  <si>
    <t>불량대치분양산</t>
    <phoneticPr fontId="2" type="noConversion"/>
  </si>
  <si>
    <t>BASE</t>
    <phoneticPr fontId="2" type="noConversion"/>
  </si>
  <si>
    <t>ACTUATOR</t>
    <phoneticPr fontId="2" type="noConversion"/>
  </si>
  <si>
    <t>세척후양산</t>
    <phoneticPr fontId="2" type="noConversion"/>
  </si>
  <si>
    <t>SAMPLE 진행 사항(11일)</t>
    <phoneticPr fontId="2" type="noConversion"/>
  </si>
  <si>
    <t>AMB0104A-KAA-R1</t>
    <phoneticPr fontId="2" type="noConversion"/>
  </si>
  <si>
    <t>수정</t>
    <phoneticPr fontId="2" type="noConversion"/>
  </si>
  <si>
    <t>금형 수리 내역(11일)</t>
    <phoneticPr fontId="2" type="noConversion"/>
  </si>
  <si>
    <r>
      <t>2017년 03월 13일 일일생산현황</t>
    </r>
    <r>
      <rPr>
        <b/>
        <sz val="14"/>
        <color indexed="8"/>
        <rFont val="굴림체"/>
        <family val="3"/>
        <charset val="129"/>
      </rPr>
      <t>(14일(화) 09시 현재)</t>
    </r>
    <phoneticPr fontId="2" type="noConversion"/>
  </si>
  <si>
    <t>HICON</t>
    <phoneticPr fontId="2" type="noConversion"/>
  </si>
  <si>
    <t>BASE</t>
    <phoneticPr fontId="2" type="noConversion"/>
  </si>
  <si>
    <t>전일 ISSUE 사항(13일)</t>
    <phoneticPr fontId="2" type="noConversion"/>
  </si>
  <si>
    <t>수리후양산</t>
    <phoneticPr fontId="2" type="noConversion"/>
  </si>
  <si>
    <t>13</t>
    <phoneticPr fontId="2" type="noConversion"/>
  </si>
  <si>
    <t>ACTUATOR</t>
    <phoneticPr fontId="2" type="noConversion"/>
  </si>
  <si>
    <t>AMB1901D-JAA-R2</t>
    <phoneticPr fontId="2" type="noConversion"/>
  </si>
  <si>
    <t>세척후양산</t>
    <phoneticPr fontId="2" type="noConversion"/>
  </si>
  <si>
    <t>HICON</t>
    <phoneticPr fontId="2" type="noConversion"/>
  </si>
  <si>
    <t>불량대치분양산</t>
    <phoneticPr fontId="2" type="noConversion"/>
  </si>
  <si>
    <t>SW-003073</t>
    <phoneticPr fontId="2" type="noConversion"/>
  </si>
  <si>
    <t>ODT</t>
    <phoneticPr fontId="2" type="noConversion"/>
  </si>
  <si>
    <t>10</t>
    <phoneticPr fontId="2" type="noConversion"/>
  </si>
  <si>
    <t>24V</t>
    <phoneticPr fontId="2" type="noConversion"/>
  </si>
  <si>
    <t>수리후양산</t>
    <phoneticPr fontId="2" type="noConversion"/>
  </si>
  <si>
    <t>KR6197AB841CA</t>
    <phoneticPr fontId="2" type="noConversion"/>
  </si>
  <si>
    <t>SST</t>
    <phoneticPr fontId="2" type="noConversion"/>
  </si>
  <si>
    <t>14</t>
    <phoneticPr fontId="2" type="noConversion"/>
  </si>
  <si>
    <t>이물제거후양산</t>
    <phoneticPr fontId="2" type="noConversion"/>
  </si>
  <si>
    <t>당일 진행 사항(14일)</t>
    <phoneticPr fontId="2" type="noConversion"/>
  </si>
  <si>
    <t>MPT-02</t>
    <phoneticPr fontId="2" type="noConversion"/>
  </si>
  <si>
    <t>MPT</t>
    <phoneticPr fontId="2" type="noConversion"/>
  </si>
  <si>
    <t>INSULATOR</t>
    <phoneticPr fontId="2" type="noConversion"/>
  </si>
  <si>
    <t>발주분양산</t>
    <phoneticPr fontId="2" type="noConversion"/>
  </si>
  <si>
    <t>HSD65-M072A1</t>
    <phoneticPr fontId="2" type="noConversion"/>
  </si>
  <si>
    <t>12</t>
    <phoneticPr fontId="2" type="noConversion"/>
  </si>
  <si>
    <t>SLIDER</t>
    <phoneticPr fontId="2" type="noConversion"/>
  </si>
  <si>
    <t>SAMPLE 진행 사항(13일)</t>
    <phoneticPr fontId="2" type="noConversion"/>
  </si>
  <si>
    <t>NEXT</t>
    <phoneticPr fontId="2" type="noConversion"/>
  </si>
  <si>
    <t>AMB1918A-KAA-R1</t>
    <phoneticPr fontId="2" type="noConversion"/>
  </si>
  <si>
    <t>SGF2030</t>
    <phoneticPr fontId="2" type="noConversion"/>
  </si>
  <si>
    <t>수정</t>
    <phoneticPr fontId="2" type="noConversion"/>
  </si>
  <si>
    <t>KR6414-GA414QA</t>
    <phoneticPr fontId="2" type="noConversion"/>
  </si>
  <si>
    <t>SF2255 I/V</t>
    <phoneticPr fontId="2" type="noConversion"/>
  </si>
  <si>
    <t>ADAPTER</t>
    <phoneticPr fontId="2" type="noConversion"/>
  </si>
  <si>
    <t>AMB0151A-KAA-R1</t>
    <phoneticPr fontId="2" type="noConversion"/>
  </si>
  <si>
    <t>SF2255</t>
    <phoneticPr fontId="2" type="noConversion"/>
  </si>
  <si>
    <t>260D83M-B118X</t>
    <phoneticPr fontId="2" type="noConversion"/>
  </si>
  <si>
    <t>OKINS</t>
    <phoneticPr fontId="2" type="noConversion"/>
  </si>
  <si>
    <t>260BASE</t>
    <phoneticPr fontId="2" type="noConversion"/>
  </si>
  <si>
    <t>GN2330</t>
    <phoneticPr fontId="2" type="noConversion"/>
  </si>
  <si>
    <t>신작</t>
    <phoneticPr fontId="2" type="noConversion"/>
  </si>
  <si>
    <t>0.35/0.4P</t>
    <phoneticPr fontId="2" type="noConversion"/>
  </si>
  <si>
    <t>TOP/BOTTOM</t>
    <phoneticPr fontId="2" type="noConversion"/>
  </si>
  <si>
    <t>각50SET</t>
    <phoneticPr fontId="2" type="noConversion"/>
  </si>
  <si>
    <t>4종</t>
    <phoneticPr fontId="2" type="noConversion"/>
  </si>
  <si>
    <t>09 BOTTOM PLATE
08 MIDDLE PLATE</t>
    <phoneticPr fontId="2" type="noConversion"/>
  </si>
  <si>
    <t>10 FLOATING
07 FLOATING PLATE</t>
    <phoneticPr fontId="2" type="noConversion"/>
  </si>
  <si>
    <t>11 MIDDLE PLATE
12 BOTTOM PLATE</t>
    <phoneticPr fontId="2" type="noConversion"/>
  </si>
  <si>
    <t>금형 수리 내역(13일)</t>
    <phoneticPr fontId="2" type="noConversion"/>
  </si>
  <si>
    <t>설비 점검 내역(13일)</t>
    <phoneticPr fontId="2" type="noConversion"/>
  </si>
  <si>
    <r>
      <t>2017년 03월 14일 일일생산현황</t>
    </r>
    <r>
      <rPr>
        <b/>
        <sz val="14"/>
        <color indexed="8"/>
        <rFont val="굴림체"/>
        <family val="3"/>
        <charset val="129"/>
      </rPr>
      <t>(15일(수) 09시 현재)</t>
    </r>
    <phoneticPr fontId="2" type="noConversion"/>
  </si>
  <si>
    <t>MPT</t>
    <phoneticPr fontId="2" type="noConversion"/>
  </si>
  <si>
    <t>MPT-02</t>
    <phoneticPr fontId="2" type="noConversion"/>
  </si>
  <si>
    <t>PBT B/K</t>
    <phoneticPr fontId="2" type="noConversion"/>
  </si>
  <si>
    <t>MCS</t>
    <phoneticPr fontId="2" type="noConversion"/>
  </si>
  <si>
    <t>ACTUATOR</t>
    <phoneticPr fontId="2" type="noConversion"/>
  </si>
  <si>
    <t>AMB1917A-KAA-R1</t>
    <phoneticPr fontId="2" type="noConversion"/>
  </si>
  <si>
    <t>SGF2030</t>
    <phoneticPr fontId="2" type="noConversion"/>
  </si>
  <si>
    <t>HICON</t>
    <phoneticPr fontId="2" type="noConversion"/>
  </si>
  <si>
    <t>SLIDER</t>
    <phoneticPr fontId="2" type="noConversion"/>
  </si>
  <si>
    <t>HSD65-M072A1</t>
    <phoneticPr fontId="2" type="noConversion"/>
  </si>
  <si>
    <t>SGF2030 N/P</t>
    <phoneticPr fontId="2" type="noConversion"/>
  </si>
  <si>
    <t>전일 ISSUE 사항(14일)</t>
    <phoneticPr fontId="2" type="noConversion"/>
  </si>
  <si>
    <t>2</t>
    <phoneticPr fontId="2" type="noConversion"/>
  </si>
  <si>
    <t>STOPPER</t>
    <phoneticPr fontId="2" type="noConversion"/>
  </si>
  <si>
    <t>KR6197-D841PB</t>
    <phoneticPr fontId="2" type="noConversion"/>
  </si>
  <si>
    <t>코아파손수리</t>
    <phoneticPr fontId="2" type="noConversion"/>
  </si>
  <si>
    <t>HICON</t>
    <phoneticPr fontId="2" type="noConversion"/>
  </si>
  <si>
    <t>12</t>
    <phoneticPr fontId="2" type="noConversion"/>
  </si>
  <si>
    <t>발주분양산-&gt;제품눌림 정지</t>
    <phoneticPr fontId="2" type="noConversion"/>
  </si>
  <si>
    <t>승인후양산</t>
    <phoneticPr fontId="2" type="noConversion"/>
  </si>
  <si>
    <t>당일 진행 사항(15일)</t>
    <phoneticPr fontId="2" type="noConversion"/>
  </si>
  <si>
    <t>수리후양산</t>
    <phoneticPr fontId="2" type="noConversion"/>
  </si>
  <si>
    <t>KR6414-B414UA</t>
    <phoneticPr fontId="2" type="noConversion"/>
  </si>
  <si>
    <t>SST</t>
    <phoneticPr fontId="2" type="noConversion"/>
  </si>
  <si>
    <t>13</t>
    <phoneticPr fontId="2" type="noConversion"/>
  </si>
  <si>
    <t>BASE</t>
    <phoneticPr fontId="2" type="noConversion"/>
  </si>
  <si>
    <t>발주분양산</t>
    <phoneticPr fontId="2" type="noConversion"/>
  </si>
  <si>
    <t>KR6414-C414TA</t>
    <phoneticPr fontId="2" type="noConversion"/>
  </si>
  <si>
    <t>11</t>
    <phoneticPr fontId="2" type="noConversion"/>
  </si>
  <si>
    <t>COVER</t>
    <phoneticPr fontId="2" type="noConversion"/>
  </si>
  <si>
    <t>11</t>
    <phoneticPr fontId="2" type="noConversion"/>
  </si>
  <si>
    <t>LEAD GUIDE</t>
    <phoneticPr fontId="2" type="noConversion"/>
  </si>
  <si>
    <t>KR6414-F414UA</t>
    <phoneticPr fontId="2" type="noConversion"/>
  </si>
  <si>
    <t>SAMPLE 진행 사항(14일)</t>
    <phoneticPr fontId="2" type="noConversion"/>
  </si>
  <si>
    <t>AMB1917A-KAA-R1</t>
    <phoneticPr fontId="2" type="noConversion"/>
  </si>
  <si>
    <t>신작</t>
    <phoneticPr fontId="2" type="noConversion"/>
  </si>
  <si>
    <t>양산셈플</t>
    <phoneticPr fontId="2" type="noConversion"/>
  </si>
  <si>
    <t>MCS</t>
    <phoneticPr fontId="2" type="noConversion"/>
  </si>
  <si>
    <t>288BASE</t>
    <phoneticPr fontId="2" type="noConversion"/>
  </si>
  <si>
    <t>AMM0849A-KAA-R2</t>
    <phoneticPr fontId="2" type="noConversion"/>
  </si>
  <si>
    <t>G1300H</t>
    <phoneticPr fontId="2" type="noConversion"/>
  </si>
  <si>
    <t>원재료</t>
    <phoneticPr fontId="2" type="noConversion"/>
  </si>
  <si>
    <t>AMM0850A-KAA-R2</t>
    <phoneticPr fontId="2" type="noConversion"/>
  </si>
  <si>
    <t>AMB0152A-KAA-R1</t>
    <phoneticPr fontId="2" type="noConversion"/>
  </si>
  <si>
    <t>SF2255</t>
    <phoneticPr fontId="2" type="noConversion"/>
  </si>
  <si>
    <t>수정</t>
    <phoneticPr fontId="2" type="noConversion"/>
  </si>
  <si>
    <t>금형 수리 내역(14일)</t>
    <phoneticPr fontId="2" type="noConversion"/>
  </si>
  <si>
    <t>설비 점검 내역(14일)</t>
    <phoneticPr fontId="2" type="noConversion"/>
  </si>
  <si>
    <r>
      <t>2017년 03월 15일 일일생산현황</t>
    </r>
    <r>
      <rPr>
        <b/>
        <sz val="14"/>
        <color indexed="8"/>
        <rFont val="굴림체"/>
        <family val="3"/>
        <charset val="129"/>
      </rPr>
      <t>(16일(목) 09시 현재)</t>
    </r>
    <phoneticPr fontId="2" type="noConversion"/>
  </si>
  <si>
    <t>SLIDER</t>
    <phoneticPr fontId="2" type="noConversion"/>
  </si>
  <si>
    <t>HSB05-M002B1-15BI</t>
    <phoneticPr fontId="2" type="noConversion"/>
  </si>
  <si>
    <t>SGF2041 N/P</t>
    <phoneticPr fontId="2" type="noConversion"/>
  </si>
  <si>
    <t>ADAPTER</t>
    <phoneticPr fontId="2" type="noConversion"/>
  </si>
  <si>
    <t>KR6414-GA414QA</t>
    <phoneticPr fontId="2" type="noConversion"/>
  </si>
  <si>
    <t>SF2255 I/V</t>
    <phoneticPr fontId="2" type="noConversion"/>
  </si>
  <si>
    <t>STC</t>
    <phoneticPr fontId="2" type="noConversion"/>
  </si>
  <si>
    <t>LID 5.8X8.8</t>
    <phoneticPr fontId="2" type="noConversion"/>
  </si>
  <si>
    <t>S475</t>
    <phoneticPr fontId="2" type="noConversion"/>
  </si>
  <si>
    <t>KR6414-F414UA</t>
    <phoneticPr fontId="2" type="noConversion"/>
  </si>
  <si>
    <t>KR6414-C414TA</t>
    <phoneticPr fontId="2" type="noConversion"/>
  </si>
  <si>
    <t>KR6414-B414UA</t>
    <phoneticPr fontId="2" type="noConversion"/>
  </si>
  <si>
    <t>7301</t>
    <phoneticPr fontId="2" type="noConversion"/>
  </si>
  <si>
    <t>전일 ISSUE 사항(15일)</t>
    <phoneticPr fontId="2" type="noConversion"/>
  </si>
  <si>
    <t>세척후양산</t>
    <phoneticPr fontId="2" type="noConversion"/>
  </si>
  <si>
    <t>HICON</t>
    <phoneticPr fontId="2" type="noConversion"/>
  </si>
  <si>
    <t>6</t>
    <phoneticPr fontId="2" type="noConversion"/>
  </si>
  <si>
    <t>SLIDER</t>
    <phoneticPr fontId="2" type="noConversion"/>
  </si>
  <si>
    <t>불량대치분양산</t>
    <phoneticPr fontId="2" type="noConversion"/>
  </si>
  <si>
    <t>13</t>
    <phoneticPr fontId="2" type="noConversion"/>
  </si>
  <si>
    <t>당일 진행 사항(16일)</t>
    <phoneticPr fontId="2" type="noConversion"/>
  </si>
  <si>
    <t>AAM0818C-KAB-R3</t>
    <phoneticPr fontId="2" type="noConversion"/>
  </si>
  <si>
    <t>9</t>
    <phoneticPr fontId="2" type="noConversion"/>
  </si>
  <si>
    <t>KR6414-D414UA</t>
    <phoneticPr fontId="2" type="noConversion"/>
  </si>
  <si>
    <t>STOPPER</t>
    <phoneticPr fontId="2" type="noConversion"/>
  </si>
  <si>
    <t>SAMPLE 진행 사항(15일)</t>
    <phoneticPr fontId="2" type="noConversion"/>
  </si>
  <si>
    <t>HSB75-M01A2</t>
    <phoneticPr fontId="2" type="noConversion"/>
  </si>
  <si>
    <t>SGF2030 N/P</t>
    <phoneticPr fontId="2" type="noConversion"/>
  </si>
  <si>
    <t>STOPPER</t>
    <phoneticPr fontId="2" type="noConversion"/>
  </si>
  <si>
    <t>HSB75-M01A4</t>
    <phoneticPr fontId="2" type="noConversion"/>
  </si>
  <si>
    <t>SGF2030</t>
    <phoneticPr fontId="2" type="noConversion"/>
  </si>
  <si>
    <t>HSB75-M01A1</t>
    <phoneticPr fontId="2" type="noConversion"/>
  </si>
  <si>
    <t>SGF2041</t>
    <phoneticPr fontId="2" type="noConversion"/>
  </si>
  <si>
    <t>HSB08-M01A3R</t>
    <phoneticPr fontId="2" type="noConversion"/>
  </si>
  <si>
    <t>RTP 108158/146004</t>
    <phoneticPr fontId="2" type="noConversion"/>
  </si>
  <si>
    <t>각200EA</t>
    <phoneticPr fontId="2" type="noConversion"/>
  </si>
  <si>
    <t>S475</t>
    <phoneticPr fontId="2" type="noConversion"/>
  </si>
  <si>
    <t>금형 수리 내역(15일)</t>
    <phoneticPr fontId="2" type="noConversion"/>
  </si>
  <si>
    <t>설비 점검 내역(15일)</t>
    <phoneticPr fontId="2" type="noConversion"/>
  </si>
  <si>
    <r>
      <t>2017년 03월 16일 일일생산현황</t>
    </r>
    <r>
      <rPr>
        <b/>
        <sz val="14"/>
        <color indexed="8"/>
        <rFont val="굴림체"/>
        <family val="3"/>
        <charset val="129"/>
      </rPr>
      <t>(17일(금) 09시 현재)</t>
    </r>
    <phoneticPr fontId="2" type="noConversion"/>
  </si>
  <si>
    <t>AAM0818C-KAB-R3</t>
    <phoneticPr fontId="2" type="noConversion"/>
  </si>
  <si>
    <t>GN2330</t>
    <phoneticPr fontId="2" type="noConversion"/>
  </si>
  <si>
    <t>SPL</t>
    <phoneticPr fontId="2" type="noConversion"/>
  </si>
  <si>
    <t>S475 N/P</t>
    <phoneticPr fontId="2" type="noConversion"/>
  </si>
  <si>
    <t>KR6414-D414PA</t>
    <phoneticPr fontId="2" type="noConversion"/>
  </si>
  <si>
    <t>전일 ISSUE 사항(16일)</t>
    <phoneticPr fontId="2" type="noConversion"/>
  </si>
  <si>
    <t>코아파손정지</t>
    <phoneticPr fontId="2" type="noConversion"/>
  </si>
  <si>
    <t>세척후양산</t>
    <phoneticPr fontId="2" type="noConversion"/>
  </si>
  <si>
    <t>STOPPER</t>
    <phoneticPr fontId="2" type="noConversion"/>
  </si>
  <si>
    <t>MCS</t>
    <phoneticPr fontId="2" type="noConversion"/>
  </si>
  <si>
    <t>AMB0114E-JAA-R2</t>
    <phoneticPr fontId="2" type="noConversion"/>
  </si>
  <si>
    <t>HICON</t>
    <phoneticPr fontId="2" type="noConversion"/>
  </si>
  <si>
    <t>SLIDER</t>
    <phoneticPr fontId="2" type="noConversion"/>
  </si>
  <si>
    <t>HSD65-M072A1</t>
    <phoneticPr fontId="2" type="noConversion"/>
  </si>
  <si>
    <t>수리후양산</t>
    <phoneticPr fontId="2" type="noConversion"/>
  </si>
  <si>
    <t>당일 진행 사항(17일)</t>
    <phoneticPr fontId="2" type="noConversion"/>
  </si>
  <si>
    <t>MCS</t>
    <phoneticPr fontId="2" type="noConversion"/>
  </si>
  <si>
    <t>13</t>
    <phoneticPr fontId="2" type="noConversion"/>
  </si>
  <si>
    <t>M2 COMM</t>
    <phoneticPr fontId="2" type="noConversion"/>
  </si>
  <si>
    <t>AMS08155A-KAA-R1</t>
    <phoneticPr fontId="2" type="noConversion"/>
  </si>
  <si>
    <t>발주분양산</t>
    <phoneticPr fontId="2" type="noConversion"/>
  </si>
  <si>
    <t>BODY</t>
    <phoneticPr fontId="2" type="noConversion"/>
  </si>
  <si>
    <t>AM0148A-K-R2</t>
    <phoneticPr fontId="2" type="noConversion"/>
  </si>
  <si>
    <t>SST</t>
    <phoneticPr fontId="2" type="noConversion"/>
  </si>
  <si>
    <t>14</t>
    <phoneticPr fontId="2" type="noConversion"/>
  </si>
  <si>
    <t>KR6197AB841CA</t>
    <phoneticPr fontId="2" type="noConversion"/>
  </si>
  <si>
    <t>수리후양산</t>
    <phoneticPr fontId="2" type="noConversion"/>
  </si>
  <si>
    <t>HICON</t>
    <phoneticPr fontId="2" type="noConversion"/>
  </si>
  <si>
    <t>TOGGLE</t>
    <phoneticPr fontId="2" type="noConversion"/>
  </si>
  <si>
    <t>G3-M005A/006A</t>
    <phoneticPr fontId="2" type="noConversion"/>
  </si>
  <si>
    <t>SAMPLE 진행 사항(16일)</t>
    <phoneticPr fontId="2" type="noConversion"/>
  </si>
  <si>
    <t>S475 N/P</t>
    <phoneticPr fontId="2" type="noConversion"/>
  </si>
  <si>
    <t>원재료</t>
    <phoneticPr fontId="2" type="noConversion"/>
  </si>
  <si>
    <t>AMB0152A-KAA-R1</t>
    <phoneticPr fontId="2" type="noConversion"/>
  </si>
  <si>
    <t>SF2255</t>
    <phoneticPr fontId="2" type="noConversion"/>
  </si>
  <si>
    <t>게이트</t>
    <phoneticPr fontId="2" type="noConversion"/>
  </si>
  <si>
    <t>STOPPER</t>
    <phoneticPr fontId="2" type="noConversion"/>
  </si>
  <si>
    <t>AMB0226A-KAA-R1</t>
    <phoneticPr fontId="2" type="noConversion"/>
  </si>
  <si>
    <t>금형 수리 내역(16일)</t>
    <phoneticPr fontId="2" type="noConversion"/>
  </si>
  <si>
    <t>설비 점검 내역(16일)</t>
    <phoneticPr fontId="2" type="noConversion"/>
  </si>
  <si>
    <r>
      <t>2017년 03월 17일 일일생산현황</t>
    </r>
    <r>
      <rPr>
        <b/>
        <sz val="14"/>
        <color indexed="8"/>
        <rFont val="굴림체"/>
        <family val="3"/>
        <charset val="129"/>
      </rPr>
      <t>(18일(토) 09시 현재)</t>
    </r>
    <phoneticPr fontId="2" type="noConversion"/>
  </si>
  <si>
    <t>G3-M-005A/006A</t>
    <phoneticPr fontId="2" type="noConversion"/>
  </si>
  <si>
    <t>JD4901</t>
    <phoneticPr fontId="2" type="noConversion"/>
  </si>
  <si>
    <t>2*1</t>
    <phoneticPr fontId="2" type="noConversion"/>
  </si>
  <si>
    <t>SF2255</t>
    <phoneticPr fontId="2" type="noConversion"/>
  </si>
  <si>
    <t>M2 CONN</t>
    <phoneticPr fontId="2" type="noConversion"/>
  </si>
  <si>
    <t>7301</t>
    <phoneticPr fontId="2" type="noConversion"/>
  </si>
  <si>
    <t>AMB1918A-KAA-R1</t>
    <phoneticPr fontId="2" type="noConversion"/>
  </si>
  <si>
    <t xml:space="preserve">SGF2030 </t>
    <phoneticPr fontId="2" type="noConversion"/>
  </si>
  <si>
    <t>전일 ISSUE 사항(17일)</t>
    <phoneticPr fontId="2" type="noConversion"/>
  </si>
  <si>
    <t>발주분양산</t>
    <phoneticPr fontId="2" type="noConversion"/>
  </si>
  <si>
    <t>AM0148A-K-R2</t>
    <phoneticPr fontId="2" type="noConversion"/>
  </si>
  <si>
    <t>ACTUATOR</t>
    <phoneticPr fontId="2" type="noConversion"/>
  </si>
  <si>
    <t>가승인후양산</t>
    <phoneticPr fontId="2" type="noConversion"/>
  </si>
  <si>
    <t>STOPPER</t>
    <phoneticPr fontId="2" type="noConversion"/>
  </si>
  <si>
    <t>BASE</t>
    <phoneticPr fontId="2" type="noConversion"/>
  </si>
  <si>
    <t>뜯김수리후양산</t>
    <phoneticPr fontId="2" type="noConversion"/>
  </si>
  <si>
    <t>G3-M-005A/006A</t>
    <phoneticPr fontId="2" type="noConversion"/>
  </si>
  <si>
    <t>당일 진행 사항(20일)</t>
    <phoneticPr fontId="2" type="noConversion"/>
  </si>
  <si>
    <t>SLIDER</t>
    <phoneticPr fontId="2" type="noConversion"/>
  </si>
  <si>
    <t>KR6414-A165YA</t>
    <phoneticPr fontId="2" type="noConversion"/>
  </si>
  <si>
    <t>HSA65-M002B1-13A</t>
    <phoneticPr fontId="2" type="noConversion"/>
  </si>
  <si>
    <t>SAMPLE 진행 사항(17일)</t>
    <phoneticPr fontId="2" type="noConversion"/>
  </si>
  <si>
    <t>금형 수리 내역(17일)</t>
    <phoneticPr fontId="2" type="noConversion"/>
  </si>
  <si>
    <t>설비 점검 내역(17일)</t>
    <phoneticPr fontId="2" type="noConversion"/>
  </si>
  <si>
    <r>
      <t>2017년 03월 20일 일일생산현황</t>
    </r>
    <r>
      <rPr>
        <b/>
        <sz val="14"/>
        <color indexed="8"/>
        <rFont val="굴림체"/>
        <family val="3"/>
        <charset val="129"/>
      </rPr>
      <t>(21일(화) 09시 현재)</t>
    </r>
    <phoneticPr fontId="2" type="noConversion"/>
  </si>
  <si>
    <t>SST</t>
    <phoneticPr fontId="2" type="noConversion"/>
  </si>
  <si>
    <t>SLIDER</t>
    <phoneticPr fontId="2" type="noConversion"/>
  </si>
  <si>
    <t>KR6414-A165YA</t>
    <phoneticPr fontId="2" type="noConversion"/>
  </si>
  <si>
    <t>SGF2050</t>
    <phoneticPr fontId="2" type="noConversion"/>
  </si>
  <si>
    <t>HSA65-M002B1-13A</t>
    <phoneticPr fontId="2" type="noConversion"/>
  </si>
  <si>
    <t>SGF2030 N/P</t>
    <phoneticPr fontId="2" type="noConversion"/>
  </si>
  <si>
    <t>전일 ISSUE 사항(20일)</t>
    <phoneticPr fontId="2" type="noConversion"/>
  </si>
  <si>
    <t>14</t>
    <phoneticPr fontId="2" type="noConversion"/>
  </si>
  <si>
    <t>BASE</t>
    <phoneticPr fontId="2" type="noConversion"/>
  </si>
  <si>
    <t>KR6197AB841CA</t>
    <phoneticPr fontId="2" type="noConversion"/>
  </si>
  <si>
    <t>세척후양산</t>
    <phoneticPr fontId="2" type="noConversion"/>
  </si>
  <si>
    <t>SST</t>
    <phoneticPr fontId="2" type="noConversion"/>
  </si>
  <si>
    <t>4</t>
    <phoneticPr fontId="2" type="noConversion"/>
  </si>
  <si>
    <t>SLIDER</t>
    <phoneticPr fontId="2" type="noConversion"/>
  </si>
  <si>
    <t>KR6414-A165YA</t>
    <phoneticPr fontId="2" type="noConversion"/>
  </si>
  <si>
    <t>발주분양산</t>
    <phoneticPr fontId="2" type="noConversion"/>
  </si>
  <si>
    <t>HICON</t>
    <phoneticPr fontId="2" type="noConversion"/>
  </si>
  <si>
    <t>6</t>
    <phoneticPr fontId="2" type="noConversion"/>
  </si>
  <si>
    <t>발주분양산</t>
    <phoneticPr fontId="2" type="noConversion"/>
  </si>
  <si>
    <t>당일 진행 사항(21일)</t>
    <phoneticPr fontId="2" type="noConversion"/>
  </si>
  <si>
    <t>2829H-05-001</t>
    <phoneticPr fontId="2" type="noConversion"/>
  </si>
  <si>
    <t>5</t>
    <phoneticPr fontId="2" type="noConversion"/>
  </si>
  <si>
    <t>K-JR01918-B484AWA</t>
    <phoneticPr fontId="2" type="noConversion"/>
  </si>
  <si>
    <t>8</t>
    <phoneticPr fontId="2" type="noConversion"/>
  </si>
  <si>
    <t>BASE</t>
    <phoneticPr fontId="2" type="noConversion"/>
  </si>
  <si>
    <t>KR6302AC386TA</t>
    <phoneticPr fontId="2" type="noConversion"/>
  </si>
  <si>
    <t>9</t>
    <phoneticPr fontId="2" type="noConversion"/>
  </si>
  <si>
    <t>LATCH</t>
    <phoneticPr fontId="2" type="noConversion"/>
  </si>
  <si>
    <t>2829H-05-005</t>
    <phoneticPr fontId="2" type="noConversion"/>
  </si>
  <si>
    <t>HICON</t>
    <phoneticPr fontId="2" type="noConversion"/>
  </si>
  <si>
    <t>12</t>
    <phoneticPr fontId="2" type="noConversion"/>
  </si>
  <si>
    <t>FLAOTING</t>
    <phoneticPr fontId="2" type="noConversion"/>
  </si>
  <si>
    <t>SAMPLE 진행 사항(20일)</t>
    <phoneticPr fontId="2" type="noConversion"/>
  </si>
  <si>
    <t>KR6510-B068XX</t>
    <phoneticPr fontId="2" type="noConversion"/>
  </si>
  <si>
    <t>PA9T</t>
    <phoneticPr fontId="2" type="noConversion"/>
  </si>
  <si>
    <t>신작</t>
    <phoneticPr fontId="2" type="noConversion"/>
  </si>
  <si>
    <t>OKINS</t>
    <phoneticPr fontId="2" type="noConversion"/>
  </si>
  <si>
    <t>260D83M-B118X</t>
    <phoneticPr fontId="2" type="noConversion"/>
  </si>
  <si>
    <t>수정</t>
    <phoneticPr fontId="2" type="noConversion"/>
  </si>
  <si>
    <t>금형 수리 내역(20일)</t>
    <phoneticPr fontId="2" type="noConversion"/>
  </si>
  <si>
    <t>설비 점검 내역(20일)</t>
    <phoneticPr fontId="2" type="noConversion"/>
  </si>
  <si>
    <r>
      <t>2017년 03월 21일 일일생산현황</t>
    </r>
    <r>
      <rPr>
        <b/>
        <sz val="14"/>
        <color indexed="8"/>
        <rFont val="굴림체"/>
        <family val="3"/>
        <charset val="129"/>
      </rPr>
      <t>(22일(수) 09시 현재)</t>
    </r>
    <phoneticPr fontId="2" type="noConversion"/>
  </si>
  <si>
    <t>STOPPER</t>
    <phoneticPr fontId="2" type="noConversion"/>
  </si>
  <si>
    <t>KR6170BD740UB</t>
    <phoneticPr fontId="2" type="noConversion"/>
  </si>
  <si>
    <t xml:space="preserve">SGF2030 </t>
    <phoneticPr fontId="2" type="noConversion"/>
  </si>
  <si>
    <t>2829H-05-001</t>
    <phoneticPr fontId="2" type="noConversion"/>
  </si>
  <si>
    <t>SGF2030</t>
    <phoneticPr fontId="2" type="noConversion"/>
  </si>
  <si>
    <t>COVER</t>
    <phoneticPr fontId="2" type="noConversion"/>
  </si>
  <si>
    <t>KR6302AC384TA</t>
    <phoneticPr fontId="2" type="noConversion"/>
  </si>
  <si>
    <t>JD4901</t>
    <phoneticPr fontId="2" type="noConversion"/>
  </si>
  <si>
    <t>FLOATING</t>
    <phoneticPr fontId="2" type="noConversion"/>
  </si>
  <si>
    <t>2829H-05-005</t>
    <phoneticPr fontId="2" type="noConversion"/>
  </si>
  <si>
    <t>KR6170BD740UB</t>
    <phoneticPr fontId="2" type="noConversion"/>
  </si>
  <si>
    <t>SGF2030</t>
    <phoneticPr fontId="2" type="noConversion"/>
  </si>
  <si>
    <t>BOTTOM</t>
    <phoneticPr fontId="2" type="noConversion"/>
  </si>
  <si>
    <t>2829H-05-002</t>
    <phoneticPr fontId="2" type="noConversion"/>
  </si>
  <si>
    <t>전일 ISSUE 사항(21일)</t>
    <phoneticPr fontId="2" type="noConversion"/>
  </si>
  <si>
    <t>이물제거후양산</t>
    <phoneticPr fontId="2" type="noConversion"/>
  </si>
  <si>
    <t>HICON</t>
    <phoneticPr fontId="2" type="noConversion"/>
  </si>
  <si>
    <t>2829H-005-001</t>
    <phoneticPr fontId="2" type="noConversion"/>
  </si>
  <si>
    <t>발주분양산-&gt;하측박힘정지</t>
    <phoneticPr fontId="2" type="noConversion"/>
  </si>
  <si>
    <t>단차정지</t>
    <phoneticPr fontId="2" type="noConversion"/>
  </si>
  <si>
    <t>BOTTOM</t>
    <phoneticPr fontId="2" type="noConversion"/>
  </si>
  <si>
    <t>2829H-005-002</t>
    <phoneticPr fontId="2" type="noConversion"/>
  </si>
  <si>
    <t>발주분양산</t>
    <phoneticPr fontId="2" type="noConversion"/>
  </si>
  <si>
    <t>당일 진행 사항(22일)</t>
    <phoneticPr fontId="2" type="noConversion"/>
  </si>
  <si>
    <t>KR6197CA432YA</t>
    <phoneticPr fontId="2" type="noConversion"/>
  </si>
  <si>
    <t>수리후양산</t>
    <phoneticPr fontId="2" type="noConversion"/>
  </si>
  <si>
    <t>수리후양산</t>
    <phoneticPr fontId="2" type="noConversion"/>
  </si>
  <si>
    <t>SAMPLE 진행 사항(21일)</t>
    <phoneticPr fontId="2" type="noConversion"/>
  </si>
  <si>
    <t>MCS</t>
    <phoneticPr fontId="2" type="noConversion"/>
  </si>
  <si>
    <t>AMB0152A-KAA-R1</t>
    <phoneticPr fontId="2" type="noConversion"/>
  </si>
  <si>
    <t>MCS</t>
    <phoneticPr fontId="2" type="noConversion"/>
  </si>
  <si>
    <t>AMB0226A-KAA-R1</t>
    <phoneticPr fontId="2" type="noConversion"/>
  </si>
  <si>
    <t>원재료</t>
    <phoneticPr fontId="2" type="noConversion"/>
  </si>
  <si>
    <t>미국산</t>
    <phoneticPr fontId="2" type="noConversion"/>
  </si>
  <si>
    <t>금형 수리 내역(21일)</t>
    <phoneticPr fontId="2" type="noConversion"/>
  </si>
  <si>
    <t>설비 점검 내역(21일)</t>
    <phoneticPr fontId="2" type="noConversion"/>
  </si>
  <si>
    <r>
      <t>2017년 03월 22일 일일생산현황</t>
    </r>
    <r>
      <rPr>
        <b/>
        <sz val="14"/>
        <color indexed="8"/>
        <rFont val="굴림체"/>
        <family val="3"/>
        <charset val="129"/>
      </rPr>
      <t>(23일(목) 09시 현재)</t>
    </r>
    <phoneticPr fontId="2" type="noConversion"/>
  </si>
  <si>
    <t>KR6197CA432YA</t>
    <phoneticPr fontId="2" type="noConversion"/>
  </si>
  <si>
    <t>SGF2050</t>
    <phoneticPr fontId="2" type="noConversion"/>
  </si>
  <si>
    <t>AMB0114F-JAA-R1</t>
    <phoneticPr fontId="2" type="noConversion"/>
  </si>
  <si>
    <t>전일 ISSUE 사항(22일)</t>
    <phoneticPr fontId="2" type="noConversion"/>
  </si>
  <si>
    <t>BODY</t>
    <phoneticPr fontId="2" type="noConversion"/>
  </si>
  <si>
    <t>치수NG</t>
    <phoneticPr fontId="2" type="noConversion"/>
  </si>
  <si>
    <t>발주분양산-&gt;단차정지</t>
    <phoneticPr fontId="2" type="noConversion"/>
  </si>
  <si>
    <t>당일 진행 사항(23일)</t>
    <phoneticPr fontId="2" type="noConversion"/>
  </si>
  <si>
    <t>2829H-05-002</t>
    <phoneticPr fontId="2" type="noConversion"/>
  </si>
  <si>
    <t>BODY</t>
    <phoneticPr fontId="2" type="noConversion"/>
  </si>
  <si>
    <t>AMB0114F-JAA-R1</t>
    <phoneticPr fontId="2" type="noConversion"/>
  </si>
  <si>
    <t>SAMPLE 진행 사항(22일)</t>
    <phoneticPr fontId="2" type="noConversion"/>
  </si>
  <si>
    <t>SGF2030</t>
    <phoneticPr fontId="2" type="noConversion"/>
  </si>
  <si>
    <t>13</t>
    <phoneticPr fontId="2" type="noConversion"/>
  </si>
  <si>
    <t>STOPPER</t>
    <phoneticPr fontId="2" type="noConversion"/>
  </si>
  <si>
    <t>휨정지</t>
    <phoneticPr fontId="2" type="noConversion"/>
  </si>
  <si>
    <t>금형 수리 내역(22일)</t>
    <phoneticPr fontId="2" type="noConversion"/>
  </si>
  <si>
    <t xml:space="preserve"> MESH휨</t>
    <phoneticPr fontId="2" type="noConversion"/>
  </si>
  <si>
    <t>설비 점검 내역(22일)</t>
    <phoneticPr fontId="2" type="noConversion"/>
  </si>
  <si>
    <r>
      <t>2017년 03월 23일 일일생산현황</t>
    </r>
    <r>
      <rPr>
        <b/>
        <sz val="14"/>
        <color indexed="8"/>
        <rFont val="굴림체"/>
        <family val="3"/>
        <charset val="129"/>
      </rPr>
      <t>(24일(금) 09시 현재)</t>
    </r>
    <phoneticPr fontId="2" type="noConversion"/>
  </si>
  <si>
    <t>HSB05-M002B2-09BI</t>
    <phoneticPr fontId="2" type="noConversion"/>
  </si>
  <si>
    <t>SGF2041 N/P</t>
    <phoneticPr fontId="2" type="noConversion"/>
  </si>
  <si>
    <t>KR6197-C841TA</t>
    <phoneticPr fontId="2" type="noConversion"/>
  </si>
  <si>
    <t>전일 ISSUE 사항(23일)</t>
    <phoneticPr fontId="2" type="noConversion"/>
  </si>
  <si>
    <t>HSB05-M002B2-09BI</t>
    <phoneticPr fontId="2" type="noConversion"/>
  </si>
  <si>
    <t>당일 진행 사항(24일)</t>
    <phoneticPr fontId="2" type="noConversion"/>
  </si>
  <si>
    <t>SAMPLE 진행 사항(23일)</t>
    <phoneticPr fontId="2" type="noConversion"/>
  </si>
  <si>
    <t>금형 수리 내역(23일)</t>
    <phoneticPr fontId="2" type="noConversion"/>
  </si>
  <si>
    <t>설비 점검 내역(23일)</t>
    <phoneticPr fontId="2" type="noConversion"/>
  </si>
  <si>
    <t>이물제거후양산</t>
    <phoneticPr fontId="2" type="noConversion"/>
  </si>
  <si>
    <r>
      <t>2017년 03월 24일 일일생산현황</t>
    </r>
    <r>
      <rPr>
        <b/>
        <sz val="14"/>
        <color indexed="8"/>
        <rFont val="굴림체"/>
        <family val="3"/>
        <charset val="129"/>
      </rPr>
      <t>(25일(토) 09시 현재)</t>
    </r>
    <phoneticPr fontId="2" type="noConversion"/>
  </si>
  <si>
    <t>LATCH</t>
    <phoneticPr fontId="2" type="noConversion"/>
  </si>
  <si>
    <t>HB255-08C1M3</t>
    <phoneticPr fontId="2" type="noConversion"/>
  </si>
  <si>
    <t>BOTTOM</t>
    <phoneticPr fontId="2" type="noConversion"/>
  </si>
  <si>
    <t>2829H-05-002</t>
    <phoneticPr fontId="2" type="noConversion"/>
  </si>
  <si>
    <t>BOTTOM</t>
    <phoneticPr fontId="2" type="noConversion"/>
  </si>
  <si>
    <t>HB255-08C1M2</t>
    <phoneticPr fontId="2" type="noConversion"/>
  </si>
  <si>
    <t>AM0340A-K</t>
    <phoneticPr fontId="2" type="noConversion"/>
  </si>
  <si>
    <t>STOPPER</t>
    <phoneticPr fontId="2" type="noConversion"/>
  </si>
  <si>
    <t>AM0244A-K</t>
    <phoneticPr fontId="2" type="noConversion"/>
  </si>
  <si>
    <t>TOP</t>
    <phoneticPr fontId="2" type="noConversion"/>
  </si>
  <si>
    <t>HB255-08C1M1</t>
  </si>
  <si>
    <t>HB255-08C1M1</t>
    <phoneticPr fontId="2" type="noConversion"/>
  </si>
  <si>
    <t>7301</t>
    <phoneticPr fontId="2" type="noConversion"/>
  </si>
  <si>
    <t>AMB0151A-KAA-R1</t>
    <phoneticPr fontId="2" type="noConversion"/>
  </si>
  <si>
    <t>SF2255</t>
    <phoneticPr fontId="2" type="noConversion"/>
  </si>
  <si>
    <t>전일 ISSUE 사항(24일)</t>
    <phoneticPr fontId="2" type="noConversion"/>
  </si>
  <si>
    <t>HSA65-M002B1-13A</t>
    <phoneticPr fontId="2" type="noConversion"/>
  </si>
  <si>
    <t>수리후양산</t>
    <phoneticPr fontId="2" type="noConversion"/>
  </si>
  <si>
    <t>HICON</t>
    <phoneticPr fontId="2" type="noConversion"/>
  </si>
  <si>
    <t>발주분양산</t>
    <phoneticPr fontId="2" type="noConversion"/>
  </si>
  <si>
    <t>하측박힘정지</t>
    <phoneticPr fontId="2" type="noConversion"/>
  </si>
  <si>
    <t>TOP</t>
    <phoneticPr fontId="2" type="noConversion"/>
  </si>
  <si>
    <t>발주분양산-&gt;코아파손정지</t>
    <phoneticPr fontId="2" type="noConversion"/>
  </si>
  <si>
    <t>MCS</t>
    <phoneticPr fontId="2" type="noConversion"/>
  </si>
  <si>
    <t>14</t>
    <phoneticPr fontId="2" type="noConversion"/>
  </si>
  <si>
    <t>BASE</t>
    <phoneticPr fontId="2" type="noConversion"/>
  </si>
  <si>
    <t>AMB0151A-KAA-R1</t>
    <phoneticPr fontId="2" type="noConversion"/>
  </si>
  <si>
    <t>발주분양산</t>
    <phoneticPr fontId="2" type="noConversion"/>
  </si>
  <si>
    <t>MCS</t>
    <phoneticPr fontId="2" type="noConversion"/>
  </si>
  <si>
    <t>9</t>
    <phoneticPr fontId="2" type="noConversion"/>
  </si>
  <si>
    <t>COVER</t>
    <phoneticPr fontId="2" type="noConversion"/>
  </si>
  <si>
    <t>AM0340A-K</t>
    <phoneticPr fontId="2" type="noConversion"/>
  </si>
  <si>
    <t>11</t>
    <phoneticPr fontId="2" type="noConversion"/>
  </si>
  <si>
    <t>AM0244A-K</t>
    <phoneticPr fontId="2" type="noConversion"/>
  </si>
  <si>
    <t>당일 진행 사항(25일)</t>
    <phoneticPr fontId="2" type="noConversion"/>
  </si>
  <si>
    <t>SHAFT</t>
    <phoneticPr fontId="2" type="noConversion"/>
  </si>
  <si>
    <t>KR6197-06KA</t>
    <phoneticPr fontId="2" type="noConversion"/>
  </si>
  <si>
    <t>BODY</t>
    <phoneticPr fontId="2" type="noConversion"/>
  </si>
  <si>
    <t>AM0149A-K</t>
    <phoneticPr fontId="2" type="noConversion"/>
  </si>
  <si>
    <t>12</t>
    <phoneticPr fontId="2" type="noConversion"/>
  </si>
  <si>
    <t>SAM</t>
    <phoneticPr fontId="2" type="noConversion"/>
  </si>
  <si>
    <t>AM0610B-J</t>
    <phoneticPr fontId="2" type="noConversion"/>
  </si>
  <si>
    <t>HICON</t>
    <phoneticPr fontId="2" type="noConversion"/>
  </si>
  <si>
    <t>13</t>
    <phoneticPr fontId="2" type="noConversion"/>
  </si>
  <si>
    <t>TOP</t>
    <phoneticPr fontId="2" type="noConversion"/>
  </si>
  <si>
    <t>AMB0224A-KAA-R1</t>
    <phoneticPr fontId="2" type="noConversion"/>
  </si>
  <si>
    <t>SAMPLE 진행 사항(24일)</t>
    <phoneticPr fontId="2" type="noConversion"/>
  </si>
  <si>
    <t>수정</t>
    <phoneticPr fontId="2" type="noConversion"/>
  </si>
  <si>
    <t>금형 수리 내역(24일)</t>
    <phoneticPr fontId="2" type="noConversion"/>
  </si>
  <si>
    <t xml:space="preserve"> 박힘</t>
    <phoneticPr fontId="2" type="noConversion"/>
  </si>
  <si>
    <t>설비 점검 내역(24일)</t>
    <phoneticPr fontId="2" type="noConversion"/>
  </si>
  <si>
    <r>
      <t>2017년 03월 25일 일일생산현황</t>
    </r>
    <r>
      <rPr>
        <b/>
        <sz val="14"/>
        <color indexed="8"/>
        <rFont val="굴림체"/>
        <family val="3"/>
        <charset val="129"/>
      </rPr>
      <t>(26일(일) 09시 현재)</t>
    </r>
    <phoneticPr fontId="2" type="noConversion"/>
  </si>
  <si>
    <t>SST</t>
    <phoneticPr fontId="2" type="noConversion"/>
  </si>
  <si>
    <t>LATCH</t>
    <phoneticPr fontId="2" type="noConversion"/>
  </si>
  <si>
    <t>KR6180-E02TA</t>
    <phoneticPr fontId="2" type="noConversion"/>
  </si>
  <si>
    <t>SHAFT</t>
    <phoneticPr fontId="2" type="noConversion"/>
  </si>
  <si>
    <t>KR6197-06KA</t>
    <phoneticPr fontId="2" type="noConversion"/>
  </si>
  <si>
    <t>BODY</t>
    <phoneticPr fontId="2" type="noConversion"/>
  </si>
  <si>
    <t>AM0149A-K</t>
    <phoneticPr fontId="2" type="noConversion"/>
  </si>
  <si>
    <t>SAM</t>
    <phoneticPr fontId="2" type="noConversion"/>
  </si>
  <si>
    <t>AM0610B-J</t>
    <phoneticPr fontId="2" type="noConversion"/>
  </si>
  <si>
    <t>AMB0224A-KAA-R1</t>
    <phoneticPr fontId="2" type="noConversion"/>
  </si>
  <si>
    <t>전일 ISSUE 사항(25일)</t>
    <phoneticPr fontId="2" type="noConversion"/>
  </si>
  <si>
    <t>BODY</t>
    <phoneticPr fontId="2" type="noConversion"/>
  </si>
  <si>
    <t>12</t>
    <phoneticPr fontId="2" type="noConversion"/>
  </si>
  <si>
    <t>SAM</t>
    <phoneticPr fontId="2" type="noConversion"/>
  </si>
  <si>
    <t>코아파손정지</t>
    <phoneticPr fontId="2" type="noConversion"/>
  </si>
  <si>
    <t>수리후양산-&gt;코아파손정지</t>
    <phoneticPr fontId="2" type="noConversion"/>
  </si>
  <si>
    <t>14</t>
    <phoneticPr fontId="2" type="noConversion"/>
  </si>
  <si>
    <t>SHAFT</t>
    <phoneticPr fontId="2" type="noConversion"/>
  </si>
  <si>
    <t>발주분양산-&gt;노즐막힘정지</t>
    <phoneticPr fontId="2" type="noConversion"/>
  </si>
  <si>
    <t>당일 진행 사항(27일)</t>
    <phoneticPr fontId="2" type="noConversion"/>
  </si>
  <si>
    <t>SLIDER</t>
    <phoneticPr fontId="2" type="noConversion"/>
  </si>
  <si>
    <t>KR6197EA293YA</t>
    <phoneticPr fontId="2" type="noConversion"/>
  </si>
  <si>
    <t>MCS</t>
    <phoneticPr fontId="2" type="noConversion"/>
  </si>
  <si>
    <t>AMB0104J-KAA-R2</t>
    <phoneticPr fontId="2" type="noConversion"/>
  </si>
  <si>
    <t>SAMPLE 진행 사항(25일)</t>
    <phoneticPr fontId="2" type="noConversion"/>
  </si>
  <si>
    <t>금형 수리 내역(25일)</t>
    <phoneticPr fontId="2" type="noConversion"/>
  </si>
  <si>
    <t xml:space="preserve"> 코아파손</t>
    <phoneticPr fontId="2" type="noConversion"/>
  </si>
  <si>
    <t>설비 점검 내역(25일)</t>
    <phoneticPr fontId="2" type="noConversion"/>
  </si>
  <si>
    <r>
      <t>2017년 03월 27일 일일생산현황</t>
    </r>
    <r>
      <rPr>
        <b/>
        <sz val="14"/>
        <color indexed="8"/>
        <rFont val="굴림체"/>
        <family val="3"/>
        <charset val="129"/>
      </rPr>
      <t>(28일(화) 09시 현재)</t>
    </r>
    <phoneticPr fontId="2" type="noConversion"/>
  </si>
  <si>
    <t>AMB0104J-KAA-R2</t>
    <phoneticPr fontId="2" type="noConversion"/>
  </si>
  <si>
    <t>SLIDER</t>
    <phoneticPr fontId="2" type="noConversion"/>
  </si>
  <si>
    <t>KR6197EA293YA</t>
    <phoneticPr fontId="2" type="noConversion"/>
  </si>
  <si>
    <t>SGF2050</t>
    <phoneticPr fontId="2" type="noConversion"/>
  </si>
  <si>
    <t>ACTUATOR</t>
    <phoneticPr fontId="2" type="noConversion"/>
  </si>
  <si>
    <t>AMB1916A-KAA-R1</t>
    <phoneticPr fontId="2" type="noConversion"/>
  </si>
  <si>
    <t>SGF2050 N/P</t>
    <phoneticPr fontId="2" type="noConversion"/>
  </si>
  <si>
    <t>SST</t>
    <phoneticPr fontId="2" type="noConversion"/>
  </si>
  <si>
    <t>KR6197AC841TA</t>
    <phoneticPr fontId="2" type="noConversion"/>
  </si>
  <si>
    <t>전일 ISSUE 사항(27일)</t>
    <phoneticPr fontId="2" type="noConversion"/>
  </si>
  <si>
    <t>SLIDER</t>
    <phoneticPr fontId="2" type="noConversion"/>
  </si>
  <si>
    <t>발주분양산-&gt;가스정지</t>
    <phoneticPr fontId="2" type="noConversion"/>
  </si>
  <si>
    <t>수리후양산</t>
    <phoneticPr fontId="2" type="noConversion"/>
  </si>
  <si>
    <t>MCS</t>
    <phoneticPr fontId="2" type="noConversion"/>
  </si>
  <si>
    <t>ACTUATOR</t>
    <phoneticPr fontId="2" type="noConversion"/>
  </si>
  <si>
    <t>발주분양산</t>
    <phoneticPr fontId="2" type="noConversion"/>
  </si>
  <si>
    <t>BODY</t>
    <phoneticPr fontId="2" type="noConversion"/>
  </si>
  <si>
    <t>발주분양산</t>
    <phoneticPr fontId="2" type="noConversion"/>
  </si>
  <si>
    <t>당일 진행 사항(28일)</t>
    <phoneticPr fontId="2" type="noConversion"/>
  </si>
  <si>
    <t>HOLDER</t>
    <phoneticPr fontId="2" type="noConversion"/>
  </si>
  <si>
    <t>K-JR01920-D432AZA</t>
    <phoneticPr fontId="2" type="noConversion"/>
  </si>
  <si>
    <t>OKIN</t>
    <phoneticPr fontId="2" type="noConversion"/>
  </si>
  <si>
    <t>25SSD-127-T6-BB</t>
    <phoneticPr fontId="2" type="noConversion"/>
  </si>
  <si>
    <t>BASE</t>
    <phoneticPr fontId="2" type="noConversion"/>
  </si>
  <si>
    <t>11</t>
    <phoneticPr fontId="2" type="noConversion"/>
  </si>
  <si>
    <t>COVER</t>
    <phoneticPr fontId="2" type="noConversion"/>
  </si>
  <si>
    <t>K-JR01920-C01AWA</t>
    <phoneticPr fontId="2" type="noConversion"/>
  </si>
  <si>
    <t>13</t>
    <phoneticPr fontId="2" type="noConversion"/>
  </si>
  <si>
    <t>LEAD GUIDE</t>
    <phoneticPr fontId="2" type="noConversion"/>
  </si>
  <si>
    <t>K-JR01920-F414AWA</t>
    <phoneticPr fontId="2" type="noConversion"/>
  </si>
  <si>
    <t>SAMPLE 진행 사항(27일)</t>
    <phoneticPr fontId="2" type="noConversion"/>
  </si>
  <si>
    <t>HSA65-M002C1</t>
    <phoneticPr fontId="2" type="noConversion"/>
  </si>
  <si>
    <t>SGF2030 N/P</t>
    <phoneticPr fontId="2" type="noConversion"/>
  </si>
  <si>
    <t>수정</t>
    <phoneticPr fontId="2" type="noConversion"/>
  </si>
  <si>
    <t>MCS</t>
    <phoneticPr fontId="2" type="noConversion"/>
  </si>
  <si>
    <t>AMB1916B-KAA-R1</t>
    <phoneticPr fontId="2" type="noConversion"/>
  </si>
  <si>
    <t>SGF2050 N/P</t>
    <phoneticPr fontId="2" type="noConversion"/>
  </si>
  <si>
    <t>옵션</t>
    <phoneticPr fontId="2" type="noConversion"/>
  </si>
  <si>
    <t>금형 수리 내역(27일)</t>
    <phoneticPr fontId="2" type="noConversion"/>
  </si>
  <si>
    <t>설비 점검 내역(27일)</t>
    <phoneticPr fontId="2" type="noConversion"/>
  </si>
  <si>
    <t>KR6414-C414XX</t>
    <phoneticPr fontId="2" type="noConversion"/>
  </si>
  <si>
    <t>SGF2052</t>
    <phoneticPr fontId="2" type="noConversion"/>
  </si>
  <si>
    <t>원재료</t>
    <phoneticPr fontId="2" type="noConversion"/>
  </si>
  <si>
    <t>박힘 작업불가</t>
    <phoneticPr fontId="2" type="noConversion"/>
  </si>
  <si>
    <r>
      <t>2017년 03월 28일 일일생산현황</t>
    </r>
    <r>
      <rPr>
        <b/>
        <sz val="14"/>
        <color indexed="8"/>
        <rFont val="굴림체"/>
        <family val="3"/>
        <charset val="129"/>
      </rPr>
      <t>(29일(수) 09시 현재)</t>
    </r>
    <phoneticPr fontId="2" type="noConversion"/>
  </si>
  <si>
    <t>HOLDER</t>
    <phoneticPr fontId="2" type="noConversion"/>
  </si>
  <si>
    <t>K-JR01920-D432AZA</t>
    <phoneticPr fontId="2" type="noConversion"/>
  </si>
  <si>
    <t>SGP2020R</t>
    <phoneticPr fontId="2" type="noConversion"/>
  </si>
  <si>
    <t>OKINS</t>
    <phoneticPr fontId="2" type="noConversion"/>
  </si>
  <si>
    <t>BASE/UNDER</t>
    <phoneticPr fontId="2" type="noConversion"/>
  </si>
  <si>
    <t>25SSD-127-T6-BB/UA</t>
    <phoneticPr fontId="2" type="noConversion"/>
  </si>
  <si>
    <t>2*1</t>
    <phoneticPr fontId="2" type="noConversion"/>
  </si>
  <si>
    <t>SST</t>
    <phoneticPr fontId="2" type="noConversion"/>
  </si>
  <si>
    <t>K-JR01920-C01AWA</t>
    <phoneticPr fontId="2" type="noConversion"/>
  </si>
  <si>
    <t>SGF2030</t>
    <phoneticPr fontId="2" type="noConversion"/>
  </si>
  <si>
    <t>LEAD IN</t>
    <phoneticPr fontId="2" type="noConversion"/>
  </si>
  <si>
    <t>K-JR01920-M01ABA</t>
    <phoneticPr fontId="2" type="noConversion"/>
  </si>
  <si>
    <t>SGF2030 N/P</t>
    <phoneticPr fontId="2" type="noConversion"/>
  </si>
  <si>
    <t>LEAD GUIDE</t>
    <phoneticPr fontId="2" type="noConversion"/>
  </si>
  <si>
    <t>K-JR01920-F414AWA</t>
    <phoneticPr fontId="2" type="noConversion"/>
  </si>
  <si>
    <t>재고</t>
    <phoneticPr fontId="2" type="noConversion"/>
  </si>
  <si>
    <t>KR6197AB841CA</t>
    <phoneticPr fontId="2" type="noConversion"/>
  </si>
  <si>
    <t>SGF2033</t>
    <phoneticPr fontId="2" type="noConversion"/>
  </si>
  <si>
    <t>수리후양산</t>
    <phoneticPr fontId="2" type="noConversion"/>
  </si>
  <si>
    <t>발주분양산</t>
    <phoneticPr fontId="2" type="noConversion"/>
  </si>
  <si>
    <t>K-JR01920-B414AZB</t>
    <phoneticPr fontId="2" type="noConversion"/>
  </si>
  <si>
    <t>발주분양산-&gt;뜯김정지</t>
    <phoneticPr fontId="2" type="noConversion"/>
  </si>
  <si>
    <t>OKINS</t>
    <phoneticPr fontId="2" type="noConversion"/>
  </si>
  <si>
    <t>BASE/UNDER</t>
    <phoneticPr fontId="2" type="noConversion"/>
  </si>
  <si>
    <t>25SSD-127-T6-BB/UB</t>
    <phoneticPr fontId="2" type="noConversion"/>
  </si>
  <si>
    <t>11</t>
    <phoneticPr fontId="2" type="noConversion"/>
  </si>
  <si>
    <t>COVER</t>
    <phoneticPr fontId="2" type="noConversion"/>
  </si>
  <si>
    <t>K-JR01920-C01AWA</t>
    <phoneticPr fontId="2" type="noConversion"/>
  </si>
  <si>
    <t>LEAD IN</t>
    <phoneticPr fontId="2" type="noConversion"/>
  </si>
  <si>
    <t>K-JR01920-M01ABW</t>
    <phoneticPr fontId="2" type="noConversion"/>
  </si>
  <si>
    <t>13</t>
    <phoneticPr fontId="2" type="noConversion"/>
  </si>
  <si>
    <t>K-JR01920-F414AWA</t>
    <phoneticPr fontId="2" type="noConversion"/>
  </si>
  <si>
    <t>14</t>
    <phoneticPr fontId="2" type="noConversion"/>
  </si>
  <si>
    <t>BASE</t>
    <phoneticPr fontId="2" type="noConversion"/>
  </si>
  <si>
    <t>재고분양산</t>
    <phoneticPr fontId="2" type="noConversion"/>
  </si>
  <si>
    <t>전일 ISSUE 사항(28일)</t>
    <phoneticPr fontId="2" type="noConversion"/>
  </si>
  <si>
    <t>당일 진행 사항(29일)</t>
    <phoneticPr fontId="2" type="noConversion"/>
  </si>
  <si>
    <t>MCS</t>
    <phoneticPr fontId="2" type="noConversion"/>
  </si>
  <si>
    <t>AMB0102B-JAA-R1</t>
    <phoneticPr fontId="2" type="noConversion"/>
  </si>
  <si>
    <t>12</t>
    <phoneticPr fontId="2" type="noConversion"/>
  </si>
  <si>
    <t>IC GUIDE</t>
    <phoneticPr fontId="2" type="noConversion"/>
  </si>
  <si>
    <t>AMB07H9A-KAA-R1</t>
    <phoneticPr fontId="2" type="noConversion"/>
  </si>
  <si>
    <t>SAMPLE 진행 사항(28일)</t>
    <phoneticPr fontId="2" type="noConversion"/>
  </si>
  <si>
    <t>금형 수리 내역(28일)</t>
    <phoneticPr fontId="2" type="noConversion"/>
  </si>
  <si>
    <t>설비 점검 내역(28일)</t>
    <phoneticPr fontId="2" type="noConversion"/>
  </si>
  <si>
    <t>엥겔</t>
    <phoneticPr fontId="2" type="noConversion"/>
  </si>
  <si>
    <t>전체적인 점검</t>
    <phoneticPr fontId="2" type="noConversion"/>
  </si>
  <si>
    <t>출장비</t>
    <phoneticPr fontId="2" type="noConversion"/>
  </si>
  <si>
    <r>
      <t>2017년 03월 29일 일일생산현황</t>
    </r>
    <r>
      <rPr>
        <b/>
        <sz val="14"/>
        <color indexed="8"/>
        <rFont val="굴림체"/>
        <family val="3"/>
        <charset val="129"/>
      </rPr>
      <t>(30일(목) 09시 현재)</t>
    </r>
    <phoneticPr fontId="2" type="noConversion"/>
  </si>
  <si>
    <t>AMB0102B-JAA-R1</t>
    <phoneticPr fontId="2" type="noConversion"/>
  </si>
  <si>
    <t>SST</t>
    <phoneticPr fontId="2" type="noConversion"/>
  </si>
  <si>
    <t>K-JR01920-B414AZB</t>
    <phoneticPr fontId="2" type="noConversion"/>
  </si>
  <si>
    <t>SGP2020R</t>
    <phoneticPr fontId="2" type="noConversion"/>
  </si>
  <si>
    <t>IC GUIDE</t>
    <phoneticPr fontId="2" type="noConversion"/>
  </si>
  <si>
    <t>AMB07H9A-KAA-R1</t>
    <phoneticPr fontId="2" type="noConversion"/>
  </si>
  <si>
    <t>FLOAT</t>
    <phoneticPr fontId="2" type="noConversion"/>
  </si>
  <si>
    <t>K-JR01920-A414AWA</t>
    <phoneticPr fontId="2" type="noConversion"/>
  </si>
  <si>
    <t>전일 ISSUE 사항(29일)</t>
    <phoneticPr fontId="2" type="noConversion"/>
  </si>
  <si>
    <t>뜯김수리후양산</t>
    <phoneticPr fontId="2" type="noConversion"/>
  </si>
  <si>
    <t>수리후양산</t>
    <phoneticPr fontId="2" type="noConversion"/>
  </si>
  <si>
    <t>MCS</t>
    <phoneticPr fontId="2" type="noConversion"/>
  </si>
  <si>
    <t>IC GUIDE</t>
    <phoneticPr fontId="2" type="noConversion"/>
  </si>
  <si>
    <t>발주분양산-&gt;미성형정지</t>
    <phoneticPr fontId="2" type="noConversion"/>
  </si>
  <si>
    <t>코아파손정지</t>
    <phoneticPr fontId="2" type="noConversion"/>
  </si>
  <si>
    <t>AMB0102B-JAA-R1</t>
    <phoneticPr fontId="2" type="noConversion"/>
  </si>
  <si>
    <t>발주분양산-&gt;코아파손정지</t>
    <phoneticPr fontId="2" type="noConversion"/>
  </si>
  <si>
    <t>13</t>
    <phoneticPr fontId="2" type="noConversion"/>
  </si>
  <si>
    <t>FLOAT</t>
    <phoneticPr fontId="2" type="noConversion"/>
  </si>
  <si>
    <t>발주분양산</t>
    <phoneticPr fontId="2" type="noConversion"/>
  </si>
  <si>
    <t>당일 진행 사항(30일)</t>
    <phoneticPr fontId="2" type="noConversion"/>
  </si>
  <si>
    <t>24P(구형)</t>
    <phoneticPr fontId="2" type="noConversion"/>
  </si>
  <si>
    <t>DI</t>
    <phoneticPr fontId="2" type="noConversion"/>
  </si>
  <si>
    <t>15</t>
    <phoneticPr fontId="2" type="noConversion"/>
  </si>
  <si>
    <t>9</t>
    <phoneticPr fontId="2" type="noConversion"/>
  </si>
  <si>
    <t>AMM0821A-KAA-R3</t>
    <phoneticPr fontId="2" type="noConversion"/>
  </si>
  <si>
    <t>SAMPLE 진행 사항(29일)</t>
    <phoneticPr fontId="2" type="noConversion"/>
  </si>
  <si>
    <t>OKINS</t>
    <phoneticPr fontId="2" type="noConversion"/>
  </si>
  <si>
    <t>OK164SSD-100-T18-BA</t>
    <phoneticPr fontId="2" type="noConversion"/>
  </si>
  <si>
    <t>PA9T</t>
    <phoneticPr fontId="2" type="noConversion"/>
  </si>
  <si>
    <t>원재료</t>
    <phoneticPr fontId="2" type="noConversion"/>
  </si>
  <si>
    <t>STOPPER</t>
    <phoneticPr fontId="2" type="noConversion"/>
  </si>
  <si>
    <t>OK164SSD-100-T18-SA</t>
    <phoneticPr fontId="2" type="noConversion"/>
  </si>
  <si>
    <t>스테츠</t>
    <phoneticPr fontId="2" type="noConversion"/>
  </si>
  <si>
    <t>LID 5.8*8*8</t>
    <phoneticPr fontId="2" type="noConversion"/>
  </si>
  <si>
    <t>S475 N/P</t>
    <phoneticPr fontId="2" type="noConversion"/>
  </si>
  <si>
    <t>수정</t>
    <phoneticPr fontId="2" type="noConversion"/>
  </si>
  <si>
    <t>치수확인용</t>
    <phoneticPr fontId="2" type="noConversion"/>
  </si>
  <si>
    <t>COVER</t>
    <phoneticPr fontId="2" type="noConversion"/>
  </si>
  <si>
    <t>KR6182-C624TB</t>
    <phoneticPr fontId="2" type="noConversion"/>
  </si>
  <si>
    <t>JD4901</t>
    <phoneticPr fontId="2" type="noConversion"/>
  </si>
  <si>
    <t>요청</t>
    <phoneticPr fontId="2" type="noConversion"/>
  </si>
  <si>
    <t>금형 수리 내역(29일)</t>
    <phoneticPr fontId="2" type="noConversion"/>
  </si>
  <si>
    <t>설비 점검 내역(29일)</t>
    <phoneticPr fontId="2" type="noConversion"/>
  </si>
  <si>
    <r>
      <t>2017년 03월 30일 일일생산현황</t>
    </r>
    <r>
      <rPr>
        <b/>
        <sz val="14"/>
        <color indexed="8"/>
        <rFont val="굴림체"/>
        <family val="3"/>
        <charset val="129"/>
      </rPr>
      <t>(31일(금) 09시 현재)</t>
    </r>
    <phoneticPr fontId="2" type="noConversion"/>
  </si>
  <si>
    <t>재고</t>
    <phoneticPr fontId="2" type="noConversion"/>
  </si>
  <si>
    <t>BODY</t>
    <phoneticPr fontId="2" type="noConversion"/>
  </si>
  <si>
    <t>AMB0152A-KAA-R1</t>
    <phoneticPr fontId="2" type="noConversion"/>
  </si>
  <si>
    <t>BASE</t>
    <phoneticPr fontId="2" type="noConversion"/>
  </si>
  <si>
    <t>AMM0821A-KAA-R3</t>
    <phoneticPr fontId="2" type="noConversion"/>
  </si>
  <si>
    <t>7301</t>
    <phoneticPr fontId="2" type="noConversion"/>
  </si>
  <si>
    <t>24P(구형)</t>
    <phoneticPr fontId="2" type="noConversion"/>
  </si>
  <si>
    <t>전일 ISSUE 사항(30일)</t>
    <phoneticPr fontId="2" type="noConversion"/>
  </si>
  <si>
    <t>코아파손수리-&gt;BURR정지</t>
    <phoneticPr fontId="2" type="noConversion"/>
  </si>
  <si>
    <t>미성형수리-&gt;미성형정지</t>
    <phoneticPr fontId="2" type="noConversion"/>
  </si>
  <si>
    <t>발주분양산-&gt;코아파손4회정지</t>
    <phoneticPr fontId="2" type="noConversion"/>
  </si>
  <si>
    <t>COVER</t>
    <phoneticPr fontId="2" type="noConversion"/>
  </si>
  <si>
    <t>KR6197-C841TA</t>
    <phoneticPr fontId="2" type="noConversion"/>
  </si>
  <si>
    <t>재고분양산</t>
    <phoneticPr fontId="2" type="noConversion"/>
  </si>
  <si>
    <t>승인후양산-&gt;뜯김정지</t>
    <phoneticPr fontId="2" type="noConversion"/>
  </si>
  <si>
    <t>AMM0821A-KAA-R3</t>
    <phoneticPr fontId="2" type="noConversion"/>
  </si>
  <si>
    <t>발주분양산</t>
    <phoneticPr fontId="2" type="noConversion"/>
  </si>
  <si>
    <t>당일 진행 사항(31일)</t>
    <phoneticPr fontId="2" type="noConversion"/>
  </si>
  <si>
    <t>DI</t>
    <phoneticPr fontId="2" type="noConversion"/>
  </si>
  <si>
    <t>15</t>
    <phoneticPr fontId="2" type="noConversion"/>
  </si>
  <si>
    <t>발주분양산</t>
    <phoneticPr fontId="2" type="noConversion"/>
  </si>
  <si>
    <t>SST</t>
    <phoneticPr fontId="2" type="noConversion"/>
  </si>
  <si>
    <t>SLIDER</t>
    <phoneticPr fontId="2" type="noConversion"/>
  </si>
  <si>
    <t>KR6197EA293YA</t>
    <phoneticPr fontId="2" type="noConversion"/>
  </si>
  <si>
    <t>수리후양산</t>
    <phoneticPr fontId="2" type="noConversion"/>
  </si>
  <si>
    <t>NEXT</t>
    <phoneticPr fontId="2" type="noConversion"/>
  </si>
  <si>
    <t>0.35P</t>
    <phoneticPr fontId="2" type="noConversion"/>
  </si>
  <si>
    <t>SAMPLE 진행 사항(30일)</t>
    <phoneticPr fontId="2" type="noConversion"/>
  </si>
  <si>
    <t>MCS</t>
    <phoneticPr fontId="2" type="noConversion"/>
  </si>
  <si>
    <t>SGF2030</t>
    <phoneticPr fontId="2" type="noConversion"/>
  </si>
  <si>
    <t>휨확인</t>
    <phoneticPr fontId="2" type="noConversion"/>
  </si>
  <si>
    <t>8초,12초</t>
    <phoneticPr fontId="2" type="noConversion"/>
  </si>
  <si>
    <t>JENDER</t>
    <phoneticPr fontId="2" type="noConversion"/>
  </si>
  <si>
    <t>KR6610-B068XX</t>
    <phoneticPr fontId="2" type="noConversion"/>
  </si>
  <si>
    <t>PA9T</t>
    <phoneticPr fontId="2" type="noConversion"/>
  </si>
  <si>
    <t>신작</t>
    <phoneticPr fontId="2" type="noConversion"/>
  </si>
  <si>
    <t>금형 수리 내역(30일)</t>
    <phoneticPr fontId="2" type="noConversion"/>
  </si>
  <si>
    <t>설비 점검 내역(30일)</t>
    <phoneticPr fontId="2" type="noConversion"/>
  </si>
  <si>
    <r>
      <t>2017년 03월 31일 일일생산현황</t>
    </r>
    <r>
      <rPr>
        <b/>
        <sz val="14"/>
        <color indexed="8"/>
        <rFont val="굴림체"/>
        <family val="3"/>
        <charset val="129"/>
      </rPr>
      <t>(01일(토) 09시 현재)</t>
    </r>
    <phoneticPr fontId="2" type="noConversion"/>
  </si>
  <si>
    <t>AMB0151A-KAA-R1</t>
    <phoneticPr fontId="2" type="noConversion"/>
  </si>
  <si>
    <t>2*1</t>
    <phoneticPr fontId="2" type="noConversion"/>
  </si>
  <si>
    <t>0.4P T/B</t>
    <phoneticPr fontId="2" type="noConversion"/>
  </si>
  <si>
    <t>0.35P T/B</t>
    <phoneticPr fontId="2" type="noConversion"/>
  </si>
  <si>
    <t>전일 ISSUE 사항(31일)</t>
    <phoneticPr fontId="2" type="noConversion"/>
  </si>
  <si>
    <t>수리후양산-&gt;코아파손2회정지</t>
    <phoneticPr fontId="2" type="noConversion"/>
  </si>
  <si>
    <t>밀핀파손정지</t>
    <phoneticPr fontId="2" type="noConversion"/>
  </si>
  <si>
    <t>ACTUATOR</t>
    <phoneticPr fontId="2" type="noConversion"/>
  </si>
  <si>
    <t>AMB1916A-KAA-R1</t>
    <phoneticPr fontId="2" type="noConversion"/>
  </si>
  <si>
    <t>당일 진행 사항(01일)</t>
    <phoneticPr fontId="2" type="noConversion"/>
  </si>
  <si>
    <t>STOPPER</t>
    <phoneticPr fontId="2" type="noConversion"/>
  </si>
  <si>
    <t>AMB0224A-KAA-R1</t>
    <phoneticPr fontId="2" type="noConversion"/>
  </si>
  <si>
    <t>0.4P</t>
    <phoneticPr fontId="2" type="noConversion"/>
  </si>
  <si>
    <t>발주분양산-&gt;뜯김정지</t>
    <phoneticPr fontId="2" type="noConversion"/>
  </si>
  <si>
    <t>수리후양산-&gt;뜯김정지</t>
    <phoneticPr fontId="2" type="noConversion"/>
  </si>
  <si>
    <t>13</t>
    <phoneticPr fontId="2" type="noConversion"/>
  </si>
  <si>
    <t>AMB0102B-JAA-R1</t>
    <phoneticPr fontId="2" type="noConversion"/>
  </si>
  <si>
    <t>SAMPLE 진행 사항(31일)</t>
    <phoneticPr fontId="2" type="noConversion"/>
  </si>
  <si>
    <t>LEAD GUIDE</t>
    <phoneticPr fontId="2" type="noConversion"/>
  </si>
  <si>
    <t>KR6414-F414UA</t>
    <phoneticPr fontId="2" type="noConversion"/>
  </si>
  <si>
    <t>금형 수리 내역(31일)</t>
    <phoneticPr fontId="2" type="noConversion"/>
  </si>
  <si>
    <t>설비 점검 내역(31일)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</si>
</sst>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[$-F800]dddd\,\ mmmm\ dd\,\ yyyy"/>
    <numFmt numFmtId="177" formatCode="#,##0_ "/>
    <numFmt numFmtId="178" formatCode="_-* #,##0.0_-;\-* #,##0.0_-;_-* &quot;-&quot;_-;_-@_-"/>
    <numFmt numFmtId="179" formatCode="m&quot;/&quot;d;@"/>
    <numFmt numFmtId="180" formatCode="\$#.00"/>
    <numFmt numFmtId="181" formatCode="m\o\n\th\ d\,\ yyyy"/>
    <numFmt numFmtId="182" formatCode="#.00"/>
    <numFmt numFmtId="183" formatCode="#."/>
    <numFmt numFmtId="184" formatCode="%#.00"/>
    <numFmt numFmtId="185" formatCode="_ * #,##0_ ;_ * \-#,##0_ ;_ * &quot;-&quot;_ ;_ @_ "/>
    <numFmt numFmtId="186" formatCode="_ * #,##0.00_ ;_ * \-#,##0.00_ ;_ * &quot;-&quot;??_ ;_ @_ "/>
    <numFmt numFmtId="187" formatCode="_ &quot;₩&quot;* #,##0_ ;_ &quot;₩&quot;* &quot;₩&quot;&quot;₩&quot;\-#,##0_ ;_ &quot;₩&quot;* &quot;-&quot;_ ;_ @_ "/>
    <numFmt numFmtId="188" formatCode="_ * #,##0_ ;_ * &quot;₩&quot;&quot;₩&quot;\-#,##0_ ;_ * &quot;-&quot;_ ;_ @_ "/>
    <numFmt numFmtId="189" formatCode="_ &quot;₩&quot;* #,##0.00_ ;_ &quot;₩&quot;* &quot;₩&quot;&quot;₩&quot;\-#,##0.00_ ;_ &quot;₩&quot;* &quot;-&quot;??_ ;_ @_ "/>
    <numFmt numFmtId="190" formatCode="_ * #,##0.00_ ;_ * &quot;₩&quot;&quot;₩&quot;\-#,##0.00_ ;_ * &quot;-&quot;??_ ;_ @_ "/>
  </numFmts>
  <fonts count="5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name val="굴림체"/>
      <family val="3"/>
      <charset val="129"/>
    </font>
    <font>
      <b/>
      <sz val="14"/>
      <color indexed="8"/>
      <name val="굴림체"/>
      <family val="3"/>
      <charset val="129"/>
    </font>
    <font>
      <b/>
      <sz val="14"/>
      <name val="굴림체"/>
      <family val="3"/>
      <charset val="129"/>
    </font>
    <font>
      <sz val="11"/>
      <color theme="1"/>
      <name val="굴림체"/>
      <family val="3"/>
      <charset val="129"/>
    </font>
    <font>
      <b/>
      <sz val="12"/>
      <color theme="1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8"/>
      <color theme="1"/>
      <name val="굴림체"/>
      <family val="3"/>
      <charset val="129"/>
    </font>
    <font>
      <sz val="14"/>
      <color theme="1"/>
      <name val="굴림체"/>
      <family val="3"/>
      <charset val="129"/>
    </font>
    <font>
      <b/>
      <sz val="16"/>
      <color theme="1"/>
      <name val="굴림체"/>
      <family val="3"/>
      <charset val="129"/>
    </font>
    <font>
      <sz val="16"/>
      <color theme="1"/>
      <name val="굴림체"/>
      <family val="3"/>
      <charset val="129"/>
    </font>
    <font>
      <b/>
      <sz val="28"/>
      <color theme="1"/>
      <name val="굴림체"/>
      <family val="3"/>
      <charset val="129"/>
    </font>
    <font>
      <b/>
      <sz val="16"/>
      <color rgb="FFFF0000"/>
      <name val="굴림체"/>
      <family val="3"/>
      <charset val="129"/>
    </font>
    <font>
      <b/>
      <sz val="20"/>
      <color theme="1"/>
      <name val="굴림체"/>
      <family val="3"/>
      <charset val="129"/>
    </font>
    <font>
      <b/>
      <sz val="22"/>
      <color theme="1"/>
      <name val="굴림체"/>
      <family val="3"/>
      <charset val="129"/>
    </font>
    <font>
      <b/>
      <sz val="24"/>
      <color theme="1"/>
      <name val="굴림체"/>
      <family val="3"/>
      <charset val="129"/>
    </font>
    <font>
      <b/>
      <sz val="11"/>
      <color theme="1"/>
      <name val="굴림체"/>
      <family val="3"/>
      <charset val="129"/>
    </font>
    <font>
      <b/>
      <sz val="11"/>
      <name val="굴림체"/>
      <family val="3"/>
      <charset val="129"/>
    </font>
    <font>
      <sz val="10"/>
      <color theme="1"/>
      <name val="새굴림"/>
      <family val="1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1"/>
      <name val="MS UI Gothic"/>
      <family val="2"/>
    </font>
    <font>
      <sz val="11"/>
      <name val="ＭＳ Ｐゴシック"/>
      <family val="2"/>
    </font>
    <font>
      <sz val="11"/>
      <color indexed="9"/>
      <name val="맑은 고딕"/>
      <family val="3"/>
      <charset val="129"/>
    </font>
    <font>
      <b/>
      <sz val="10"/>
      <name val="Helv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"/>
      <color indexed="8"/>
      <name val="Courier"/>
      <family val="3"/>
    </font>
    <font>
      <b/>
      <sz val="11"/>
      <name val="Helv"/>
      <family val="2"/>
    </font>
    <font>
      <sz val="12"/>
      <name val="바탕체"/>
      <family val="1"/>
      <charset val="129"/>
    </font>
    <font>
      <sz val="10"/>
      <name val="Arial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0"/>
      <name val="Helv"/>
      <family val="2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돋움체"/>
      <family val="3"/>
      <charset val="129"/>
    </font>
    <font>
      <sz val="10"/>
      <color indexed="8"/>
      <name val="새굴림"/>
      <family val="1"/>
      <charset val="129"/>
    </font>
    <font>
      <sz val="10"/>
      <name val="Times New Roman"/>
      <family val="1"/>
    </font>
  </fonts>
  <fills count="30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6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84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0" borderId="0"/>
    <xf numFmtId="4" fontId="29" fillId="0" borderId="0">
      <protection locked="0"/>
    </xf>
    <xf numFmtId="180" fontId="29" fillId="0" borderId="0">
      <protection locked="0"/>
    </xf>
    <xf numFmtId="181" fontId="29" fillId="0" borderId="0">
      <protection locked="0"/>
    </xf>
    <xf numFmtId="182" fontId="29" fillId="0" borderId="0">
      <protection locked="0"/>
    </xf>
    <xf numFmtId="38" fontId="30" fillId="19" borderId="0" applyNumberFormat="0" applyBorder="0" applyAlignment="0" applyProtection="0"/>
    <xf numFmtId="0" fontId="31" fillId="0" borderId="0">
      <alignment horizontal="left"/>
    </xf>
    <xf numFmtId="0" fontId="32" fillId="0" borderId="16" applyNumberFormat="0" applyAlignment="0" applyProtection="0">
      <alignment horizontal="left" vertical="center"/>
    </xf>
    <xf numFmtId="0" fontId="32" fillId="0" borderId="26">
      <alignment horizontal="left" vertical="center"/>
    </xf>
    <xf numFmtId="183" fontId="33" fillId="0" borderId="0">
      <protection locked="0"/>
    </xf>
    <xf numFmtId="183" fontId="33" fillId="0" borderId="0">
      <protection locked="0"/>
    </xf>
    <xf numFmtId="10" fontId="30" fillId="19" borderId="9" applyNumberFormat="0" applyBorder="0" applyAlignment="0" applyProtection="0"/>
    <xf numFmtId="0" fontId="34" fillId="0" borderId="27"/>
    <xf numFmtId="0" fontId="35" fillId="0" borderId="0"/>
    <xf numFmtId="184" fontId="29" fillId="0" borderId="0">
      <protection locked="0"/>
    </xf>
    <xf numFmtId="10" fontId="36" fillId="0" borderId="0" applyFont="0" applyFill="0" applyBorder="0" applyAlignment="0" applyProtection="0"/>
    <xf numFmtId="0" fontId="34" fillId="0" borderId="0"/>
    <xf numFmtId="183" fontId="29" fillId="0" borderId="39">
      <protection locked="0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24" borderId="40" applyNumberFormat="0" applyAlignment="0" applyProtection="0">
      <alignment vertical="center"/>
    </xf>
    <xf numFmtId="0" fontId="39" fillId="6" borderId="0" applyNumberFormat="0" applyBorder="0" applyAlignment="0" applyProtection="0">
      <alignment vertical="center"/>
    </xf>
    <xf numFmtId="0" fontId="24" fillId="25" borderId="41" applyNumberFormat="0" applyFont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54" fillId="0" borderId="0" applyFont="0" applyFill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27" borderId="42" applyNumberFormat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43" fillId="0" borderId="0"/>
    <xf numFmtId="0" fontId="44" fillId="0" borderId="43" applyNumberFormat="0" applyFill="0" applyAlignment="0" applyProtection="0">
      <alignment vertical="center"/>
    </xf>
    <xf numFmtId="0" fontId="45" fillId="0" borderId="44" applyNumberFormat="0" applyFill="0" applyAlignment="0" applyProtection="0">
      <alignment vertical="center"/>
    </xf>
    <xf numFmtId="0" fontId="46" fillId="10" borderId="40" applyNumberFormat="0" applyAlignment="0" applyProtection="0">
      <alignment vertical="center"/>
    </xf>
    <xf numFmtId="0" fontId="47" fillId="0" borderId="45" applyNumberFormat="0" applyFill="0" applyAlignment="0" applyProtection="0">
      <alignment vertical="center"/>
    </xf>
    <xf numFmtId="0" fontId="48" fillId="0" borderId="46" applyNumberFormat="0" applyFill="0" applyAlignment="0" applyProtection="0">
      <alignment vertical="center"/>
    </xf>
    <xf numFmtId="0" fontId="49" fillId="0" borderId="47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2" fillId="24" borderId="48" applyNumberFormat="0" applyAlignment="0" applyProtection="0">
      <alignment vertical="center"/>
    </xf>
    <xf numFmtId="185" fontId="53" fillId="0" borderId="0" applyFont="0" applyFill="0" applyBorder="0" applyAlignment="0" applyProtection="0"/>
    <xf numFmtId="186" fontId="53" fillId="0" borderId="0" applyFont="0" applyFill="0" applyBorder="0" applyAlignment="0" applyProtection="0"/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42" fontId="24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1" fillId="0" borderId="0">
      <alignment vertical="center"/>
    </xf>
    <xf numFmtId="0" fontId="26" fillId="0" borderId="0">
      <alignment vertical="center"/>
    </xf>
    <xf numFmtId="38" fontId="25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41" fontId="54" fillId="0" borderId="0" applyFont="0" applyFill="0" applyBorder="0" applyAlignment="0" applyProtection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23" fillId="0" borderId="0"/>
    <xf numFmtId="0" fontId="36" fillId="0" borderId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8" fontId="35" fillId="0" borderId="0" applyFont="0" applyFill="0" applyBorder="0" applyAlignment="0" applyProtection="0"/>
    <xf numFmtId="0" fontId="35" fillId="0" borderId="0" applyFont="0" applyFill="0" applyProtection="0"/>
    <xf numFmtId="19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187" fontId="35" fillId="0" borderId="0" applyFont="0" applyFill="0" applyBorder="0" applyAlignment="0" applyProtection="0"/>
    <xf numFmtId="189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55" fillId="0" borderId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24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3" fillId="0" borderId="0"/>
    <xf numFmtId="0" fontId="36" fillId="0" borderId="0"/>
    <xf numFmtId="0" fontId="23" fillId="0" borderId="0"/>
    <xf numFmtId="0" fontId="23" fillId="0" borderId="0"/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9" fontId="54" fillId="0" borderId="0" applyFont="0" applyFill="0" applyBorder="0" applyAlignment="0" applyProtection="0">
      <alignment vertical="center"/>
    </xf>
    <xf numFmtId="41" fontId="54" fillId="0" borderId="0" applyFont="0" applyFill="0" applyBorder="0" applyAlignment="0" applyProtection="0">
      <alignment vertical="center"/>
    </xf>
    <xf numFmtId="42" fontId="5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97">
    <xf numFmtId="0" fontId="0" fillId="0" borderId="0" xfId="0">
      <alignment vertical="center"/>
    </xf>
    <xf numFmtId="9" fontId="7" fillId="0" borderId="0" xfId="3" applyFont="1">
      <alignment vertical="center"/>
    </xf>
    <xf numFmtId="0" fontId="9" fillId="0" borderId="0" xfId="2" applyFont="1">
      <alignment vertical="center"/>
    </xf>
    <xf numFmtId="178" fontId="9" fillId="0" borderId="0" xfId="4" applyNumberFormat="1" applyFont="1">
      <alignment vertical="center"/>
    </xf>
    <xf numFmtId="9" fontId="9" fillId="3" borderId="2" xfId="3" applyFont="1" applyFill="1" applyBorder="1" applyAlignment="1">
      <alignment horizontal="center" vertical="center"/>
    </xf>
    <xf numFmtId="41" fontId="8" fillId="0" borderId="4" xfId="4" applyFont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/>
    </xf>
    <xf numFmtId="41" fontId="8" fillId="0" borderId="6" xfId="4" applyFont="1" applyFill="1" applyBorder="1" applyAlignment="1">
      <alignment horizontal="center" vertical="center"/>
    </xf>
    <xf numFmtId="9" fontId="8" fillId="0" borderId="6" xfId="3" applyFont="1" applyBorder="1" applyAlignment="1">
      <alignment horizontal="center" vertical="center"/>
    </xf>
    <xf numFmtId="9" fontId="8" fillId="0" borderId="7" xfId="3" applyFont="1" applyFill="1" applyBorder="1" applyAlignment="1">
      <alignment horizontal="center" vertical="center"/>
    </xf>
    <xf numFmtId="9" fontId="9" fillId="0" borderId="7" xfId="3" applyFont="1" applyFill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9" xfId="2" applyFont="1" applyFill="1" applyBorder="1" applyAlignment="1">
      <alignment horizontal="center" vertical="center" wrapText="1"/>
    </xf>
    <xf numFmtId="178" fontId="8" fillId="0" borderId="10" xfId="4" applyNumberFormat="1" applyFont="1" applyFill="1" applyBorder="1" applyAlignment="1">
      <alignment horizontal="center" vertical="center"/>
    </xf>
    <xf numFmtId="41" fontId="8" fillId="0" borderId="11" xfId="4" applyFont="1" applyBorder="1" applyAlignment="1">
      <alignment horizontal="center" vertical="center"/>
    </xf>
    <xf numFmtId="41" fontId="8" fillId="0" borderId="9" xfId="4" applyFont="1" applyBorder="1" applyAlignment="1">
      <alignment horizontal="center" vertical="center"/>
    </xf>
    <xf numFmtId="41" fontId="8" fillId="0" borderId="9" xfId="4" applyFont="1" applyFill="1" applyBorder="1" applyAlignment="1">
      <alignment horizontal="center" vertical="center"/>
    </xf>
    <xf numFmtId="41" fontId="8" fillId="0" borderId="3" xfId="4" applyFont="1" applyFill="1" applyBorder="1" applyAlignment="1">
      <alignment horizontal="center" vertical="center" wrapText="1"/>
    </xf>
    <xf numFmtId="41" fontId="4" fillId="0" borderId="7" xfId="4" applyFont="1" applyFill="1" applyBorder="1" applyAlignment="1">
      <alignment horizontal="center" vertical="center" wrapText="1"/>
    </xf>
    <xf numFmtId="41" fontId="8" fillId="0" borderId="4" xfId="4" applyFont="1" applyFill="1" applyBorder="1" applyAlignment="1">
      <alignment horizontal="center" vertical="center"/>
    </xf>
    <xf numFmtId="41" fontId="8" fillId="0" borderId="3" xfId="4" applyFont="1" applyBorder="1" applyAlignment="1">
      <alignment horizontal="center" vertical="center" wrapText="1"/>
    </xf>
    <xf numFmtId="41" fontId="8" fillId="0" borderId="5" xfId="4" applyFont="1" applyBorder="1" applyAlignment="1">
      <alignment horizontal="center" vertical="center"/>
    </xf>
    <xf numFmtId="41" fontId="9" fillId="3" borderId="13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center" vertical="center"/>
    </xf>
    <xf numFmtId="41" fontId="9" fillId="3" borderId="14" xfId="4" applyFont="1" applyFill="1" applyBorder="1" applyAlignment="1">
      <alignment horizontal="right" vertical="center"/>
    </xf>
    <xf numFmtId="41" fontId="9" fillId="3" borderId="1" xfId="4" applyFont="1" applyFill="1" applyBorder="1" applyAlignment="1">
      <alignment horizontal="center" vertical="center"/>
    </xf>
    <xf numFmtId="41" fontId="6" fillId="3" borderId="1" xfId="4" applyFont="1" applyFill="1" applyBorder="1" applyAlignment="1">
      <alignment horizontal="right" vertical="center"/>
    </xf>
    <xf numFmtId="41" fontId="6" fillId="3" borderId="14" xfId="4" applyFont="1" applyFill="1" applyBorder="1" applyAlignment="1">
      <alignment horizontal="right" vertical="center"/>
    </xf>
    <xf numFmtId="41" fontId="6" fillId="3" borderId="2" xfId="4" applyFont="1" applyFill="1" applyBorder="1" applyAlignment="1">
      <alignment horizontal="right" vertical="center"/>
    </xf>
    <xf numFmtId="41" fontId="6" fillId="3" borderId="16" xfId="4" applyFont="1" applyFill="1" applyBorder="1" applyAlignment="1">
      <alignment horizontal="right" vertical="center"/>
    </xf>
    <xf numFmtId="41" fontId="6" fillId="3" borderId="15" xfId="4" applyFont="1" applyFill="1" applyBorder="1" applyAlignment="1">
      <alignment horizontal="right" vertical="center"/>
    </xf>
    <xf numFmtId="9" fontId="9" fillId="3" borderId="1" xfId="3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 vertical="center"/>
    </xf>
    <xf numFmtId="49" fontId="8" fillId="0" borderId="3" xfId="2" applyNumberFormat="1" applyFont="1" applyFill="1" applyBorder="1" applyAlignment="1">
      <alignment horizontal="center" vertical="center" wrapText="1"/>
    </xf>
    <xf numFmtId="41" fontId="8" fillId="0" borderId="8" xfId="4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wrapText="1"/>
    </xf>
    <xf numFmtId="0" fontId="8" fillId="0" borderId="3" xfId="2" applyFont="1" applyBorder="1" applyAlignment="1">
      <alignment horizontal="center" vertical="center"/>
    </xf>
    <xf numFmtId="178" fontId="8" fillId="0" borderId="7" xfId="4" applyNumberFormat="1" applyFont="1" applyFill="1" applyBorder="1" applyAlignment="1">
      <alignment horizontal="center" vertical="center"/>
    </xf>
    <xf numFmtId="9" fontId="8" fillId="0" borderId="0" xfId="2" applyNumberFormat="1" applyFont="1" applyAlignment="1">
      <alignment horizontal="center" vertical="center"/>
    </xf>
    <xf numFmtId="0" fontId="11" fillId="0" borderId="0" xfId="2" applyFont="1">
      <alignment vertical="center"/>
    </xf>
    <xf numFmtId="178" fontId="11" fillId="0" borderId="0" xfId="4" applyNumberFormat="1" applyFont="1">
      <alignment vertical="center"/>
    </xf>
    <xf numFmtId="41" fontId="8" fillId="0" borderId="6" xfId="1" applyFont="1" applyFill="1" applyBorder="1" applyAlignment="1">
      <alignment horizontal="center" vertical="center"/>
    </xf>
    <xf numFmtId="41" fontId="8" fillId="0" borderId="10" xfId="1" applyFont="1" applyBorder="1" applyAlignment="1">
      <alignment horizontal="center" vertical="center"/>
    </xf>
    <xf numFmtId="41" fontId="9" fillId="3" borderId="15" xfId="1" applyFont="1" applyFill="1" applyBorder="1" applyAlignment="1">
      <alignment horizontal="center" vertical="center"/>
    </xf>
    <xf numFmtId="41" fontId="9" fillId="3" borderId="1" xfId="1" applyFont="1" applyFill="1" applyBorder="1" applyAlignment="1">
      <alignment horizontal="center" vertical="center"/>
    </xf>
    <xf numFmtId="41" fontId="9" fillId="3" borderId="2" xfId="1" applyFont="1" applyFill="1" applyBorder="1" applyAlignment="1">
      <alignment horizontal="center" vertical="center"/>
    </xf>
    <xf numFmtId="177" fontId="19" fillId="2" borderId="1" xfId="2" applyNumberFormat="1" applyFont="1" applyFill="1" applyBorder="1" applyAlignment="1">
      <alignment horizontal="center" vertical="center" wrapText="1"/>
    </xf>
    <xf numFmtId="0" fontId="19" fillId="2" borderId="2" xfId="2" applyFont="1" applyFill="1" applyBorder="1" applyAlignment="1">
      <alignment horizontal="center" vertical="center" wrapText="1"/>
    </xf>
    <xf numFmtId="0" fontId="19" fillId="2" borderId="1" xfId="2" applyFont="1" applyFill="1" applyBorder="1" applyAlignment="1">
      <alignment horizontal="center" vertical="center" wrapText="1"/>
    </xf>
    <xf numFmtId="0" fontId="19" fillId="2" borderId="13" xfId="2" applyFont="1" applyFill="1" applyBorder="1" applyAlignment="1">
      <alignment horizontal="center" vertical="center" wrapText="1"/>
    </xf>
    <xf numFmtId="0" fontId="19" fillId="2" borderId="14" xfId="2" applyFont="1" applyFill="1" applyBorder="1" applyAlignment="1">
      <alignment horizontal="center" vertical="center" wrapText="1"/>
    </xf>
    <xf numFmtId="0" fontId="7" fillId="0" borderId="0" xfId="2" applyFont="1">
      <alignment vertical="center"/>
    </xf>
    <xf numFmtId="0" fontId="7" fillId="0" borderId="0" xfId="0" applyFont="1">
      <alignment vertical="center"/>
    </xf>
    <xf numFmtId="0" fontId="13" fillId="0" borderId="3" xfId="2" applyFont="1" applyBorder="1" applyAlignment="1">
      <alignment horizontal="center" vertical="center" shrinkToFit="1"/>
    </xf>
    <xf numFmtId="0" fontId="8" fillId="0" borderId="3" xfId="2" applyFont="1" applyFill="1" applyBorder="1" applyAlignment="1">
      <alignment horizontal="center" vertical="center" shrinkToFit="1"/>
    </xf>
    <xf numFmtId="0" fontId="8" fillId="0" borderId="9" xfId="2" applyFont="1" applyFill="1" applyBorder="1" applyAlignment="1">
      <alignment horizontal="center" vertical="center" shrinkToFit="1"/>
    </xf>
    <xf numFmtId="0" fontId="8" fillId="0" borderId="9" xfId="2" applyFont="1" applyBorder="1" applyAlignment="1">
      <alignment horizontal="center" vertical="center" shrinkToFit="1"/>
    </xf>
    <xf numFmtId="0" fontId="19" fillId="0" borderId="0" xfId="2" applyFont="1" applyAlignment="1">
      <alignment horizontal="center" vertical="center"/>
    </xf>
    <xf numFmtId="178" fontId="20" fillId="4" borderId="17" xfId="4" applyNumberFormat="1" applyFont="1" applyFill="1" applyBorder="1" applyAlignment="1">
      <alignment horizontal="center" vertical="center" wrapText="1"/>
    </xf>
    <xf numFmtId="0" fontId="20" fillId="4" borderId="18" xfId="2" applyFont="1" applyFill="1" applyBorder="1" applyAlignment="1">
      <alignment horizontal="center" vertical="center" wrapText="1"/>
    </xf>
    <xf numFmtId="0" fontId="20" fillId="4" borderId="19" xfId="2" applyFont="1" applyFill="1" applyBorder="1" applyAlignment="1">
      <alignment horizontal="center" vertical="center" wrapText="1"/>
    </xf>
    <xf numFmtId="9" fontId="8" fillId="0" borderId="12" xfId="8" applyFont="1" applyBorder="1" applyAlignment="1">
      <alignment horizontal="center" vertical="center"/>
    </xf>
    <xf numFmtId="0" fontId="17" fillId="0" borderId="0" xfId="2" applyFont="1" applyBorder="1" applyAlignment="1">
      <alignment vertical="center"/>
    </xf>
    <xf numFmtId="0" fontId="11" fillId="0" borderId="0" xfId="2" applyFont="1" applyBorder="1">
      <alignment vertical="center"/>
    </xf>
    <xf numFmtId="178" fontId="11" fillId="0" borderId="0" xfId="4" applyNumberFormat="1" applyFont="1" applyBorder="1">
      <alignment vertical="center"/>
    </xf>
    <xf numFmtId="0" fontId="13" fillId="0" borderId="0" xfId="2" applyFont="1" applyBorder="1" applyAlignment="1">
      <alignment vertical="center"/>
    </xf>
    <xf numFmtId="0" fontId="13" fillId="0" borderId="0" xfId="2" applyFont="1" applyBorder="1" applyAlignment="1">
      <alignment horizontal="center" vertical="center"/>
    </xf>
    <xf numFmtId="0" fontId="13" fillId="0" borderId="0" xfId="2" applyFont="1" applyBorder="1" applyAlignment="1">
      <alignment horizontal="center" vertical="center" shrinkToFit="1"/>
    </xf>
    <xf numFmtId="41" fontId="13" fillId="0" borderId="0" xfId="4" applyFont="1" applyBorder="1" applyAlignment="1">
      <alignment vertical="center"/>
    </xf>
    <xf numFmtId="49" fontId="13" fillId="0" borderId="0" xfId="2" applyNumberFormat="1" applyFont="1" applyBorder="1" applyAlignment="1">
      <alignment vertical="center" shrinkToFit="1"/>
    </xf>
    <xf numFmtId="0" fontId="12" fillId="0" borderId="24" xfId="2" applyFont="1" applyBorder="1" applyAlignment="1">
      <alignment horizontal="center" vertical="center" shrinkToFit="1"/>
    </xf>
    <xf numFmtId="0" fontId="8" fillId="0" borderId="0" xfId="2" applyFont="1">
      <alignment vertical="center"/>
    </xf>
    <xf numFmtId="49" fontId="13" fillId="0" borderId="2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9" fontId="7" fillId="0" borderId="49" xfId="8" applyFont="1" applyBorder="1" applyAlignment="1">
      <alignment horizontal="center" vertical="center"/>
    </xf>
    <xf numFmtId="9" fontId="7" fillId="0" borderId="20" xfId="8" applyFont="1" applyBorder="1" applyAlignment="1">
      <alignment horizontal="center" vertical="center"/>
    </xf>
    <xf numFmtId="9" fontId="7" fillId="0" borderId="54" xfId="8" applyFont="1" applyBorder="1" applyAlignment="1">
      <alignment horizontal="center" vertical="center"/>
    </xf>
    <xf numFmtId="9" fontId="7" fillId="0" borderId="52" xfId="8" applyFont="1" applyBorder="1" applyAlignment="1">
      <alignment horizontal="center" vertical="center"/>
    </xf>
    <xf numFmtId="9" fontId="7" fillId="3" borderId="9" xfId="8" applyFont="1" applyFill="1" applyBorder="1" applyAlignment="1">
      <alignment horizontal="center" vertical="center"/>
    </xf>
    <xf numFmtId="9" fontId="7" fillId="3" borderId="12" xfId="8" applyFont="1" applyFill="1" applyBorder="1" applyAlignment="1">
      <alignment horizontal="center" vertical="center"/>
    </xf>
    <xf numFmtId="9" fontId="7" fillId="3" borderId="51" xfId="8" applyFont="1" applyFill="1" applyBorder="1" applyAlignment="1">
      <alignment horizontal="center" vertical="center"/>
    </xf>
    <xf numFmtId="9" fontId="7" fillId="28" borderId="9" xfId="8" applyFont="1" applyFill="1" applyBorder="1" applyAlignment="1">
      <alignment horizontal="center" vertical="center"/>
    </xf>
    <xf numFmtId="9" fontId="7" fillId="28" borderId="12" xfId="8" applyFont="1" applyFill="1" applyBorder="1" applyAlignment="1">
      <alignment horizontal="center" vertical="center"/>
    </xf>
    <xf numFmtId="9" fontId="7" fillId="28" borderId="51" xfId="8" applyFont="1" applyFill="1" applyBorder="1" applyAlignment="1">
      <alignment horizontal="center" vertical="center"/>
    </xf>
    <xf numFmtId="9" fontId="7" fillId="29" borderId="9" xfId="8" applyFont="1" applyFill="1" applyBorder="1" applyAlignment="1">
      <alignment horizontal="center" vertical="center"/>
    </xf>
    <xf numFmtId="9" fontId="7" fillId="29" borderId="12" xfId="8" applyFont="1" applyFill="1" applyBorder="1" applyAlignment="1">
      <alignment horizontal="center" vertical="center"/>
    </xf>
    <xf numFmtId="9" fontId="7" fillId="29" borderId="51" xfId="8" applyFont="1" applyFill="1" applyBorder="1" applyAlignment="1">
      <alignment horizontal="center" vertical="center"/>
    </xf>
    <xf numFmtId="9" fontId="7" fillId="29" borderId="20" xfId="8" applyFont="1" applyFill="1" applyBorder="1" applyAlignment="1">
      <alignment horizontal="center" vertical="center"/>
    </xf>
    <xf numFmtId="9" fontId="7" fillId="29" borderId="54" xfId="8" applyFont="1" applyFill="1" applyBorder="1" applyAlignment="1">
      <alignment horizontal="center" vertical="center"/>
    </xf>
    <xf numFmtId="9" fontId="7" fillId="29" borderId="52" xfId="8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43" fontId="8" fillId="0" borderId="0" xfId="0" applyNumberFormat="1" applyFont="1">
      <alignment vertical="center"/>
    </xf>
    <xf numFmtId="0" fontId="7" fillId="0" borderId="55" xfId="0" applyFont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7" fillId="0" borderId="56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57" xfId="0" applyFont="1" applyBorder="1" applyAlignment="1">
      <alignment horizontal="center" vertical="center"/>
    </xf>
    <xf numFmtId="9" fontId="19" fillId="0" borderId="4" xfId="8" applyFont="1" applyBorder="1" applyAlignment="1">
      <alignment horizontal="center" vertical="center"/>
    </xf>
    <xf numFmtId="9" fontId="19" fillId="0" borderId="3" xfId="8" applyFont="1" applyBorder="1" applyAlignment="1">
      <alignment horizontal="center" vertical="center"/>
    </xf>
    <xf numFmtId="9" fontId="19" fillId="0" borderId="5" xfId="8" applyFont="1" applyBorder="1" applyAlignment="1">
      <alignment horizontal="center" vertical="center"/>
    </xf>
    <xf numFmtId="9" fontId="7" fillId="3" borderId="24" xfId="8" applyFont="1" applyFill="1" applyBorder="1" applyAlignment="1">
      <alignment horizontal="center" vertical="center"/>
    </xf>
    <xf numFmtId="9" fontId="7" fillId="3" borderId="31" xfId="8" applyFont="1" applyFill="1" applyBorder="1" applyAlignment="1">
      <alignment horizontal="center" vertical="center"/>
    </xf>
    <xf numFmtId="9" fontId="19" fillId="0" borderId="50" xfId="0" applyNumberFormat="1" applyFont="1" applyBorder="1" applyAlignment="1">
      <alignment horizontal="center" vertical="center"/>
    </xf>
    <xf numFmtId="9" fontId="7" fillId="3" borderId="53" xfId="8" applyFont="1" applyFill="1" applyBorder="1" applyAlignment="1">
      <alignment horizontal="center" vertical="center"/>
    </xf>
    <xf numFmtId="0" fontId="8" fillId="3" borderId="8" xfId="2" applyFont="1" applyFill="1" applyBorder="1" applyAlignment="1">
      <alignment horizontal="center" vertical="center"/>
    </xf>
    <xf numFmtId="0" fontId="8" fillId="28" borderId="8" xfId="2" applyFont="1" applyFill="1" applyBorder="1" applyAlignment="1">
      <alignment horizontal="center" vertical="center"/>
    </xf>
    <xf numFmtId="0" fontId="8" fillId="29" borderId="6" xfId="2" applyFont="1" applyFill="1" applyBorder="1" applyAlignment="1">
      <alignment horizontal="center" vertical="center"/>
    </xf>
    <xf numFmtId="9" fontId="7" fillId="3" borderId="38" xfId="8" applyFont="1" applyFill="1" applyBorder="1" applyAlignment="1">
      <alignment horizontal="center" vertical="center"/>
    </xf>
    <xf numFmtId="9" fontId="7" fillId="3" borderId="11" xfId="8" applyFont="1" applyFill="1" applyBorder="1" applyAlignment="1">
      <alignment horizontal="center" vertical="center"/>
    </xf>
    <xf numFmtId="9" fontId="7" fillId="28" borderId="11" xfId="8" applyFont="1" applyFill="1" applyBorder="1" applyAlignment="1">
      <alignment horizontal="center" vertical="center"/>
    </xf>
    <xf numFmtId="9" fontId="7" fillId="29" borderId="11" xfId="8" applyFont="1" applyFill="1" applyBorder="1" applyAlignment="1">
      <alignment horizontal="center" vertical="center"/>
    </xf>
    <xf numFmtId="9" fontId="7" fillId="29" borderId="49" xfId="8" applyFont="1" applyFill="1" applyBorder="1" applyAlignment="1">
      <alignment horizontal="center" vertical="center"/>
    </xf>
    <xf numFmtId="0" fontId="7" fillId="3" borderId="53" xfId="0" applyFont="1" applyFill="1" applyBorder="1" applyAlignment="1">
      <alignment horizontal="center" vertical="center"/>
    </xf>
    <xf numFmtId="0" fontId="7" fillId="3" borderId="51" xfId="0" applyFont="1" applyFill="1" applyBorder="1" applyAlignment="1">
      <alignment horizontal="center" vertical="center"/>
    </xf>
    <xf numFmtId="0" fontId="7" fillId="28" borderId="51" xfId="0" applyFont="1" applyFill="1" applyBorder="1" applyAlignment="1">
      <alignment horizontal="center" vertical="center"/>
    </xf>
    <xf numFmtId="0" fontId="7" fillId="29" borderId="51" xfId="0" applyFont="1" applyFill="1" applyBorder="1" applyAlignment="1">
      <alignment horizontal="center" vertical="center"/>
    </xf>
    <xf numFmtId="0" fontId="7" fillId="29" borderId="52" xfId="0" applyFont="1" applyFill="1" applyBorder="1" applyAlignment="1">
      <alignment horizontal="center" vertical="center"/>
    </xf>
    <xf numFmtId="49" fontId="13" fillId="0" borderId="22" xfId="2" applyNumberFormat="1" applyFont="1" applyBorder="1" applyAlignment="1">
      <alignment horizontal="center" vertical="center"/>
    </xf>
    <xf numFmtId="9" fontId="7" fillId="3" borderId="33" xfId="8" applyFont="1" applyFill="1" applyBorder="1" applyAlignment="1">
      <alignment horizontal="center" vertical="center"/>
    </xf>
    <xf numFmtId="9" fontId="7" fillId="28" borderId="3" xfId="8" applyFont="1" applyFill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13" fillId="0" borderId="9" xfId="2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24" xfId="2" applyNumberFormat="1" applyFont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 wrapText="1"/>
    </xf>
    <xf numFmtId="49" fontId="13" fillId="0" borderId="24" xfId="2" applyNumberFormat="1" applyFont="1" applyBorder="1" applyAlignment="1">
      <alignment horizontal="center" vertical="center"/>
    </xf>
    <xf numFmtId="49" fontId="13" fillId="0" borderId="3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0" fontId="13" fillId="0" borderId="14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2" fillId="0" borderId="9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15" fillId="0" borderId="3" xfId="2" applyFont="1" applyBorder="1" applyAlignment="1">
      <alignment horizontal="left" vertical="center"/>
    </xf>
    <xf numFmtId="0" fontId="15" fillId="0" borderId="7" xfId="2" applyFont="1" applyBorder="1" applyAlignment="1">
      <alignment horizontal="left" vertical="center"/>
    </xf>
    <xf numFmtId="0" fontId="12" fillId="0" borderId="21" xfId="2" applyFont="1" applyBorder="1" applyAlignment="1">
      <alignment horizontal="center" vertical="center"/>
    </xf>
    <xf numFmtId="0" fontId="12" fillId="0" borderId="20" xfId="2" applyFont="1" applyBorder="1" applyAlignment="1">
      <alignment horizontal="center" vertical="center"/>
    </xf>
    <xf numFmtId="0" fontId="12" fillId="0" borderId="20" xfId="2" applyFont="1" applyBorder="1" applyAlignment="1">
      <alignment horizontal="left" vertical="center"/>
    </xf>
    <xf numFmtId="0" fontId="12" fillId="0" borderId="30" xfId="2" applyFont="1" applyBorder="1" applyAlignment="1">
      <alignment horizontal="left" vertical="center"/>
    </xf>
    <xf numFmtId="0" fontId="12" fillId="0" borderId="8" xfId="2" applyFont="1" applyBorder="1" applyAlignment="1">
      <alignment horizontal="center" vertical="center"/>
    </xf>
    <xf numFmtId="0" fontId="12" fillId="0" borderId="9" xfId="2" applyFont="1" applyBorder="1" applyAlignment="1">
      <alignment horizontal="center" vertical="center"/>
    </xf>
    <xf numFmtId="0" fontId="15" fillId="0" borderId="3" xfId="2" applyFont="1" applyBorder="1" applyAlignment="1">
      <alignment horizontal="center" vertical="center"/>
    </xf>
    <xf numFmtId="42" fontId="15" fillId="0" borderId="3" xfId="7" applyFont="1" applyBorder="1" applyAlignment="1">
      <alignment horizontal="center" vertical="center"/>
    </xf>
    <xf numFmtId="0" fontId="10" fillId="0" borderId="14" xfId="2" applyFont="1" applyBorder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0" fontId="12" fillId="0" borderId="6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4" fillId="0" borderId="27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2" fillId="0" borderId="12" xfId="2" applyFont="1" applyBorder="1" applyAlignment="1">
      <alignment horizontal="left" vertical="center"/>
    </xf>
    <xf numFmtId="0" fontId="12" fillId="0" borderId="26" xfId="2" applyFont="1" applyBorder="1" applyAlignment="1">
      <alignment horizontal="left" vertical="center"/>
    </xf>
    <xf numFmtId="0" fontId="12" fillId="0" borderId="11" xfId="2" applyFont="1" applyBorder="1" applyAlignment="1">
      <alignment horizontal="left" vertical="center"/>
    </xf>
    <xf numFmtId="179" fontId="12" fillId="0" borderId="9" xfId="2" applyNumberFormat="1" applyFont="1" applyBorder="1" applyAlignment="1">
      <alignment horizontal="center" vertical="center"/>
    </xf>
    <xf numFmtId="49" fontId="12" fillId="0" borderId="9" xfId="2" applyNumberFormat="1" applyFont="1" applyBorder="1" applyAlignment="1">
      <alignment horizontal="left" vertical="center"/>
    </xf>
    <xf numFmtId="49" fontId="12" fillId="0" borderId="10" xfId="2" applyNumberFormat="1" applyFont="1" applyBorder="1" applyAlignment="1">
      <alignment horizontal="left" vertical="center"/>
    </xf>
    <xf numFmtId="0" fontId="12" fillId="0" borderId="23" xfId="2" applyFont="1" applyBorder="1" applyAlignment="1">
      <alignment horizontal="center" vertical="center"/>
    </xf>
    <xf numFmtId="0" fontId="12" fillId="0" borderId="24" xfId="2" applyFont="1" applyBorder="1" applyAlignment="1">
      <alignment horizontal="center" vertical="center"/>
    </xf>
    <xf numFmtId="0" fontId="12" fillId="0" borderId="3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/>
    </xf>
    <xf numFmtId="0" fontId="12" fillId="0" borderId="31" xfId="2" applyFont="1" applyBorder="1" applyAlignment="1">
      <alignment horizontal="left" vertical="center"/>
    </xf>
    <xf numFmtId="0" fontId="12" fillId="0" borderId="37" xfId="2" applyFont="1" applyBorder="1" applyAlignment="1">
      <alignment horizontal="left" vertical="center"/>
    </xf>
    <xf numFmtId="0" fontId="12" fillId="0" borderId="38" xfId="2" applyFont="1" applyBorder="1" applyAlignment="1">
      <alignment horizontal="left" vertical="center"/>
    </xf>
    <xf numFmtId="179" fontId="12" fillId="0" borderId="31" xfId="2" applyNumberFormat="1" applyFont="1" applyBorder="1" applyAlignment="1">
      <alignment horizontal="center" vertical="center"/>
    </xf>
    <xf numFmtId="179" fontId="12" fillId="0" borderId="38" xfId="2" applyNumberFormat="1" applyFont="1" applyBorder="1" applyAlignment="1">
      <alignment horizontal="center" vertical="center"/>
    </xf>
    <xf numFmtId="179" fontId="12" fillId="0" borderId="24" xfId="2" applyNumberFormat="1" applyFont="1" applyBorder="1" applyAlignment="1">
      <alignment horizontal="center" vertical="center"/>
    </xf>
    <xf numFmtId="49" fontId="12" fillId="0" borderId="24" xfId="2" applyNumberFormat="1" applyFont="1" applyBorder="1" applyAlignment="1">
      <alignment horizontal="left" vertical="center"/>
    </xf>
    <xf numFmtId="49" fontId="12" fillId="0" borderId="32" xfId="2" applyNumberFormat="1" applyFont="1" applyBorder="1" applyAlignment="1">
      <alignment horizontal="left" vertical="center"/>
    </xf>
    <xf numFmtId="0" fontId="13" fillId="0" borderId="9" xfId="2" applyFont="1" applyBorder="1" applyAlignment="1">
      <alignment horizontal="center" vertical="center"/>
    </xf>
    <xf numFmtId="0" fontId="13" fillId="0" borderId="10" xfId="2" applyFont="1" applyBorder="1" applyAlignment="1">
      <alignment horizontal="center" vertical="center"/>
    </xf>
    <xf numFmtId="0" fontId="10" fillId="0" borderId="1" xfId="2" applyFont="1" applyBorder="1" applyAlignment="1">
      <alignment horizontal="center" vertical="center" shrinkToFit="1"/>
    </xf>
    <xf numFmtId="0" fontId="10" fillId="0" borderId="14" xfId="2" applyFont="1" applyBorder="1" applyAlignment="1">
      <alignment horizontal="center" vertical="center" shrinkToFit="1"/>
    </xf>
    <xf numFmtId="0" fontId="10" fillId="0" borderId="15" xfId="2" applyFont="1" applyBorder="1" applyAlignment="1">
      <alignment horizontal="center" vertical="center" shrinkToFit="1"/>
    </xf>
    <xf numFmtId="0" fontId="10" fillId="0" borderId="16" xfId="2" applyFont="1" applyBorder="1" applyAlignment="1">
      <alignment horizontal="center" vertical="center" shrinkToFit="1"/>
    </xf>
    <xf numFmtId="0" fontId="10" fillId="0" borderId="13" xfId="2" applyFont="1" applyBorder="1" applyAlignment="1">
      <alignment horizontal="center" vertical="center" shrinkToFit="1"/>
    </xf>
    <xf numFmtId="0" fontId="10" fillId="0" borderId="28" xfId="2" applyFont="1" applyBorder="1" applyAlignment="1">
      <alignment horizontal="center" vertical="center" shrinkToFit="1"/>
    </xf>
    <xf numFmtId="0" fontId="13" fillId="0" borderId="25" xfId="2" applyFont="1" applyBorder="1" applyAlignment="1">
      <alignment horizontal="center" vertical="center"/>
    </xf>
    <xf numFmtId="0" fontId="13" fillId="0" borderId="11" xfId="2" applyFont="1" applyBorder="1" applyAlignment="1">
      <alignment horizontal="center" vertical="center"/>
    </xf>
    <xf numFmtId="41" fontId="13" fillId="0" borderId="9" xfId="4" applyFont="1" applyBorder="1" applyAlignment="1">
      <alignment horizontal="center" vertical="center"/>
    </xf>
    <xf numFmtId="49" fontId="13" fillId="0" borderId="9" xfId="2" applyNumberFormat="1" applyFont="1" applyBorder="1" applyAlignment="1">
      <alignment horizontal="left" vertical="center" shrinkToFit="1"/>
    </xf>
    <xf numFmtId="0" fontId="13" fillId="0" borderId="5" xfId="2" applyFont="1" applyBorder="1" applyAlignment="1">
      <alignment horizontal="center" vertical="center" shrinkToFit="1"/>
    </xf>
    <xf numFmtId="0" fontId="13" fillId="0" borderId="4" xfId="2" applyFont="1" applyBorder="1" applyAlignment="1">
      <alignment horizontal="center" vertical="center" shrinkToFit="1"/>
    </xf>
    <xf numFmtId="0" fontId="13" fillId="0" borderId="3" xfId="2" applyFont="1" applyBorder="1" applyAlignment="1">
      <alignment horizontal="center" vertical="center"/>
    </xf>
    <xf numFmtId="0" fontId="13" fillId="0" borderId="15" xfId="2" applyFont="1" applyBorder="1" applyAlignment="1">
      <alignment horizontal="center" vertical="center"/>
    </xf>
    <xf numFmtId="0" fontId="13" fillId="0" borderId="16" xfId="2" applyFont="1" applyBorder="1" applyAlignment="1">
      <alignment horizontal="center" vertical="center"/>
    </xf>
    <xf numFmtId="0" fontId="13" fillId="0" borderId="13" xfId="2" applyFont="1" applyBorder="1" applyAlignment="1">
      <alignment horizontal="center" vertical="center"/>
    </xf>
    <xf numFmtId="0" fontId="13" fillId="0" borderId="14" xfId="2" applyFont="1" applyBorder="1" applyAlignment="1">
      <alignment horizontal="center" vertical="center"/>
    </xf>
    <xf numFmtId="0" fontId="13" fillId="0" borderId="2" xfId="2" applyFont="1" applyBorder="1" applyAlignment="1">
      <alignment horizontal="center" vertical="center"/>
    </xf>
    <xf numFmtId="0" fontId="13" fillId="0" borderId="9" xfId="2" applyFont="1" applyBorder="1" applyAlignment="1">
      <alignment horizontal="center" vertical="center" shrinkToFit="1"/>
    </xf>
    <xf numFmtId="0" fontId="17" fillId="0" borderId="0" xfId="2" applyFont="1" applyBorder="1" applyAlignment="1">
      <alignment horizontal="center" vertical="center"/>
    </xf>
    <xf numFmtId="0" fontId="13" fillId="0" borderId="1" xfId="2" applyFont="1" applyBorder="1" applyAlignment="1">
      <alignment horizontal="center" vertical="center"/>
    </xf>
    <xf numFmtId="49" fontId="13" fillId="0" borderId="8" xfId="2" applyNumberFormat="1" applyFont="1" applyBorder="1" applyAlignment="1">
      <alignment horizontal="center" vertical="center" shrinkToFit="1"/>
    </xf>
    <xf numFmtId="49" fontId="13" fillId="0" borderId="9" xfId="2" applyNumberFormat="1" applyFont="1" applyBorder="1" applyAlignment="1">
      <alignment horizontal="center" vertical="center" shrinkToFit="1"/>
    </xf>
    <xf numFmtId="49" fontId="13" fillId="0" borderId="10" xfId="2" applyNumberFormat="1" applyFont="1" applyBorder="1" applyAlignment="1">
      <alignment horizontal="left" vertical="center" shrinkToFit="1"/>
    </xf>
    <xf numFmtId="49" fontId="13" fillId="0" borderId="17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center" vertical="center" shrinkToFit="1"/>
    </xf>
    <xf numFmtId="49" fontId="13" fillId="0" borderId="22" xfId="2" applyNumberFormat="1" applyFont="1" applyBorder="1" applyAlignment="1">
      <alignment horizontal="left" vertical="center" shrinkToFit="1"/>
    </xf>
    <xf numFmtId="49" fontId="13" fillId="0" borderId="58" xfId="2" applyNumberFormat="1" applyFont="1" applyBorder="1" applyAlignment="1">
      <alignment horizontal="left" vertical="center" shrinkToFit="1"/>
    </xf>
    <xf numFmtId="49" fontId="13" fillId="0" borderId="12" xfId="2" applyNumberFormat="1" applyFont="1" applyBorder="1" applyAlignment="1">
      <alignment horizontal="center" vertical="center" shrinkToFit="1"/>
    </xf>
    <xf numFmtId="49" fontId="13" fillId="0" borderId="11" xfId="2" applyNumberFormat="1" applyFont="1" applyBorder="1" applyAlignment="1">
      <alignment horizontal="center" vertical="center" shrinkToFit="1"/>
    </xf>
    <xf numFmtId="49" fontId="13" fillId="0" borderId="6" xfId="2" applyNumberFormat="1" applyFont="1" applyBorder="1" applyAlignment="1">
      <alignment horizontal="center" vertical="center" shrinkToFit="1"/>
    </xf>
    <xf numFmtId="49" fontId="13" fillId="0" borderId="3" xfId="2" applyNumberFormat="1" applyFont="1" applyBorder="1" applyAlignment="1">
      <alignment horizontal="center" vertical="center" shrinkToFit="1"/>
    </xf>
    <xf numFmtId="0" fontId="19" fillId="2" borderId="32" xfId="2" applyFont="1" applyFill="1" applyBorder="1" applyAlignment="1">
      <alignment horizontal="center" vertical="center" wrapText="1"/>
    </xf>
    <xf numFmtId="0" fontId="19" fillId="2" borderId="30" xfId="2" applyFont="1" applyFill="1" applyBorder="1" applyAlignment="1">
      <alignment horizontal="center" vertical="center"/>
    </xf>
    <xf numFmtId="0" fontId="9" fillId="3" borderId="29" xfId="2" applyFont="1" applyFill="1" applyBorder="1" applyAlignment="1">
      <alignment horizontal="center" vertical="center"/>
    </xf>
    <xf numFmtId="0" fontId="9" fillId="3" borderId="16" xfId="2" applyFont="1" applyFill="1" applyBorder="1" applyAlignment="1">
      <alignment horizontal="center" vertical="center"/>
    </xf>
    <xf numFmtId="0" fontId="9" fillId="3" borderId="28" xfId="2" applyFont="1" applyFill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0" fillId="0" borderId="34" xfId="2" applyFont="1" applyBorder="1" applyAlignment="1">
      <alignment horizontal="center" vertical="center"/>
    </xf>
    <xf numFmtId="0" fontId="10" fillId="0" borderId="35" xfId="2" applyFont="1" applyBorder="1" applyAlignment="1">
      <alignment horizontal="center" vertical="center"/>
    </xf>
    <xf numFmtId="0" fontId="10" fillId="0" borderId="36" xfId="2" applyFont="1" applyBorder="1" applyAlignment="1">
      <alignment horizontal="center" vertical="center"/>
    </xf>
    <xf numFmtId="0" fontId="16" fillId="0" borderId="34" xfId="2" applyFont="1" applyBorder="1" applyAlignment="1">
      <alignment horizontal="center" vertical="center"/>
    </xf>
    <xf numFmtId="0" fontId="16" fillId="0" borderId="35" xfId="2" applyFont="1" applyBorder="1" applyAlignment="1">
      <alignment horizontal="center" vertical="center"/>
    </xf>
    <xf numFmtId="0" fontId="16" fillId="0" borderId="36" xfId="2" applyFont="1" applyBorder="1" applyAlignment="1">
      <alignment horizontal="center" vertical="center"/>
    </xf>
    <xf numFmtId="49" fontId="13" fillId="0" borderId="23" xfId="2" applyNumberFormat="1" applyFont="1" applyBorder="1" applyAlignment="1">
      <alignment horizontal="center" vertical="center"/>
    </xf>
    <xf numFmtId="49" fontId="13" fillId="0" borderId="24" xfId="2" applyNumberFormat="1" applyFont="1" applyBorder="1" applyAlignment="1">
      <alignment horizontal="center" vertical="center"/>
    </xf>
    <xf numFmtId="49" fontId="13" fillId="0" borderId="32" xfId="2" applyNumberFormat="1" applyFont="1" applyBorder="1" applyAlignment="1">
      <alignment horizontal="center" vertical="center"/>
    </xf>
    <xf numFmtId="49" fontId="13" fillId="0" borderId="31" xfId="2" applyNumberFormat="1" applyFont="1" applyBorder="1" applyAlignment="1">
      <alignment horizontal="center" vertical="center"/>
    </xf>
    <xf numFmtId="49" fontId="13" fillId="0" borderId="38" xfId="2" applyNumberFormat="1" applyFont="1" applyBorder="1" applyAlignment="1">
      <alignment horizontal="center" vertical="center"/>
    </xf>
    <xf numFmtId="49" fontId="13" fillId="0" borderId="37" xfId="2" applyNumberFormat="1" applyFont="1" applyBorder="1" applyAlignment="1">
      <alignment horizontal="center" vertical="center"/>
    </xf>
    <xf numFmtId="49" fontId="13" fillId="0" borderId="59" xfId="2" applyNumberFormat="1" applyFont="1" applyBorder="1" applyAlignment="1">
      <alignment horizontal="center" vertical="center"/>
    </xf>
    <xf numFmtId="0" fontId="20" fillId="4" borderId="29" xfId="2" applyFont="1" applyFill="1" applyBorder="1" applyAlignment="1">
      <alignment horizontal="center" vertical="center" wrapText="1"/>
    </xf>
    <xf numFmtId="0" fontId="20" fillId="4" borderId="16" xfId="2" applyFont="1" applyFill="1" applyBorder="1" applyAlignment="1">
      <alignment horizontal="center" vertical="center" wrapText="1"/>
    </xf>
    <xf numFmtId="0" fontId="20" fillId="4" borderId="28" xfId="2" applyFont="1" applyFill="1" applyBorder="1" applyAlignment="1">
      <alignment horizontal="center" vertical="center" wrapText="1"/>
    </xf>
    <xf numFmtId="177" fontId="19" fillId="2" borderId="29" xfId="2" applyNumberFormat="1" applyFont="1" applyFill="1" applyBorder="1" applyAlignment="1">
      <alignment horizontal="center" vertical="center" wrapText="1"/>
    </xf>
    <xf numFmtId="177" fontId="19" fillId="2" borderId="28" xfId="2" applyNumberFormat="1" applyFont="1" applyFill="1" applyBorder="1" applyAlignment="1">
      <alignment horizontal="center" vertical="center" wrapText="1"/>
    </xf>
    <xf numFmtId="0" fontId="19" fillId="2" borderId="16" xfId="2" applyFont="1" applyFill="1" applyBorder="1" applyAlignment="1">
      <alignment horizontal="center" vertical="center"/>
    </xf>
    <xf numFmtId="0" fontId="19" fillId="2" borderId="29" xfId="2" applyFont="1" applyFill="1" applyBorder="1" applyAlignment="1">
      <alignment horizontal="center" vertical="center"/>
    </xf>
    <xf numFmtId="0" fontId="19" fillId="2" borderId="28" xfId="2" applyFont="1" applyFill="1" applyBorder="1" applyAlignment="1">
      <alignment horizontal="center" vertical="center"/>
    </xf>
    <xf numFmtId="0" fontId="19" fillId="2" borderId="23" xfId="2" applyFont="1" applyFill="1" applyBorder="1" applyAlignment="1">
      <alignment horizontal="center" vertical="center" wrapText="1"/>
    </xf>
    <xf numFmtId="0" fontId="19" fillId="2" borderId="21" xfId="2" applyFont="1" applyFill="1" applyBorder="1" applyAlignment="1">
      <alignment horizontal="center" vertical="center"/>
    </xf>
    <xf numFmtId="0" fontId="18" fillId="0" borderId="0" xfId="2" applyFont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20" fillId="4" borderId="23" xfId="2" applyFont="1" applyFill="1" applyBorder="1" applyAlignment="1">
      <alignment horizontal="center" vertical="center" wrapText="1"/>
    </xf>
    <xf numFmtId="0" fontId="20" fillId="4" borderId="21" xfId="2" applyFont="1" applyFill="1" applyBorder="1" applyAlignment="1">
      <alignment horizontal="center" vertical="center"/>
    </xf>
    <xf numFmtId="0" fontId="20" fillId="4" borderId="33" xfId="2" applyFont="1" applyFill="1" applyBorder="1" applyAlignment="1">
      <alignment horizontal="center" vertical="center" wrapText="1"/>
    </xf>
    <xf numFmtId="0" fontId="20" fillId="4" borderId="22" xfId="2" applyFont="1" applyFill="1" applyBorder="1" applyAlignment="1">
      <alignment horizontal="center" vertical="center"/>
    </xf>
    <xf numFmtId="0" fontId="20" fillId="4" borderId="22" xfId="2" applyFont="1" applyFill="1" applyBorder="1" applyAlignment="1">
      <alignment horizontal="center" vertical="center" wrapText="1"/>
    </xf>
    <xf numFmtId="0" fontId="20" fillId="4" borderId="24" xfId="2" applyFont="1" applyFill="1" applyBorder="1" applyAlignment="1">
      <alignment horizontal="center" vertical="center"/>
    </xf>
    <xf numFmtId="0" fontId="20" fillId="4" borderId="20" xfId="2" applyFont="1" applyFill="1" applyBorder="1" applyAlignment="1">
      <alignment horizontal="center" vertical="center"/>
    </xf>
    <xf numFmtId="0" fontId="20" fillId="4" borderId="24" xfId="2" applyFont="1" applyFill="1" applyBorder="1" applyAlignment="1">
      <alignment horizontal="center" vertical="center" wrapText="1"/>
    </xf>
    <xf numFmtId="178" fontId="20" fillId="4" borderId="32" xfId="4" applyNumberFormat="1" applyFont="1" applyFill="1" applyBorder="1" applyAlignment="1">
      <alignment horizontal="center" vertical="center" wrapText="1"/>
    </xf>
    <xf numFmtId="178" fontId="20" fillId="4" borderId="30" xfId="4" applyNumberFormat="1" applyFont="1" applyFill="1" applyBorder="1" applyAlignment="1">
      <alignment horizontal="center" vertical="center"/>
    </xf>
    <xf numFmtId="0" fontId="13" fillId="0" borderId="9" xfId="2" applyFont="1" applyBorder="1" applyAlignment="1">
      <alignment horizontal="center" vertical="center" wrapText="1"/>
    </xf>
  </cellXfs>
  <cellStyles count="3845">
    <cellStyle name="_x0002_._x0011__x0002_._x001b__x0002_ _x0015_%_x0018__x0001_" xfId="3128"/>
    <cellStyle name="?" xfId="3129"/>
    <cellStyle name="20% - 강조색1 2" xfId="10"/>
    <cellStyle name="20% - 강조색1 2 10" xfId="11"/>
    <cellStyle name="20% - 강조색1 2 10 2" xfId="12"/>
    <cellStyle name="20% - 강조색1 2 10 3" xfId="13"/>
    <cellStyle name="20% - 강조색1 2 10 4" xfId="14"/>
    <cellStyle name="20% - 강조색1 2 10 5" xfId="15"/>
    <cellStyle name="20% - 강조색1 2 10 6" xfId="16"/>
    <cellStyle name="20% - 강조색1 2 11" xfId="17"/>
    <cellStyle name="20% - 강조색1 2 11 2" xfId="18"/>
    <cellStyle name="20% - 강조색1 2 11 3" xfId="19"/>
    <cellStyle name="20% - 강조색1 2 11 4" xfId="20"/>
    <cellStyle name="20% - 강조색1 2 11 5" xfId="21"/>
    <cellStyle name="20% - 강조색1 2 11 6" xfId="22"/>
    <cellStyle name="20% - 강조색1 2 12" xfId="23"/>
    <cellStyle name="20% - 강조색1 2 12 2" xfId="24"/>
    <cellStyle name="20% - 강조색1 2 12 3" xfId="25"/>
    <cellStyle name="20% - 강조색1 2 12 4" xfId="26"/>
    <cellStyle name="20% - 강조색1 2 12 5" xfId="27"/>
    <cellStyle name="20% - 강조색1 2 12 6" xfId="28"/>
    <cellStyle name="20% - 강조색1 2 13" xfId="29"/>
    <cellStyle name="20% - 강조색1 2 13 2" xfId="30"/>
    <cellStyle name="20% - 강조색1 2 13 3" xfId="31"/>
    <cellStyle name="20% - 강조색1 2 13 4" xfId="32"/>
    <cellStyle name="20% - 강조색1 2 13 5" xfId="33"/>
    <cellStyle name="20% - 강조색1 2 13 6" xfId="34"/>
    <cellStyle name="20% - 강조색1 2 14" xfId="35"/>
    <cellStyle name="20% - 강조색1 2 14 2" xfId="36"/>
    <cellStyle name="20% - 강조색1 2 14 3" xfId="37"/>
    <cellStyle name="20% - 강조색1 2 14 4" xfId="38"/>
    <cellStyle name="20% - 강조색1 2 14 5" xfId="39"/>
    <cellStyle name="20% - 강조색1 2 14 6" xfId="40"/>
    <cellStyle name="20% - 강조색1 2 15" xfId="41"/>
    <cellStyle name="20% - 강조색1 2 16" xfId="42"/>
    <cellStyle name="20% - 강조색1 2 17" xfId="43"/>
    <cellStyle name="20% - 강조색1 2 18" xfId="44"/>
    <cellStyle name="20% - 강조색1 2 19" xfId="45"/>
    <cellStyle name="20% - 강조색1 2 2" xfId="46"/>
    <cellStyle name="20% - 강조색1 2 2 2" xfId="47"/>
    <cellStyle name="20% - 강조색1 2 2 3" xfId="48"/>
    <cellStyle name="20% - 강조색1 2 2 4" xfId="49"/>
    <cellStyle name="20% - 강조색1 2 2 5" xfId="50"/>
    <cellStyle name="20% - 강조색1 2 2 6" xfId="51"/>
    <cellStyle name="20% - 강조색1 2 3" xfId="52"/>
    <cellStyle name="20% - 강조색1 2 3 2" xfId="53"/>
    <cellStyle name="20% - 강조색1 2 3 3" xfId="54"/>
    <cellStyle name="20% - 강조색1 2 3 4" xfId="55"/>
    <cellStyle name="20% - 강조색1 2 3 5" xfId="56"/>
    <cellStyle name="20% - 강조색1 2 3 6" xfId="57"/>
    <cellStyle name="20% - 강조색1 2 4" xfId="58"/>
    <cellStyle name="20% - 강조색1 2 4 2" xfId="59"/>
    <cellStyle name="20% - 강조색1 2 4 3" xfId="60"/>
    <cellStyle name="20% - 강조색1 2 4 4" xfId="61"/>
    <cellStyle name="20% - 강조색1 2 4 5" xfId="62"/>
    <cellStyle name="20% - 강조색1 2 4 6" xfId="63"/>
    <cellStyle name="20% - 강조색1 2 5" xfId="64"/>
    <cellStyle name="20% - 강조색1 2 5 2" xfId="65"/>
    <cellStyle name="20% - 강조색1 2 5 3" xfId="66"/>
    <cellStyle name="20% - 강조색1 2 5 4" xfId="67"/>
    <cellStyle name="20% - 강조색1 2 5 5" xfId="68"/>
    <cellStyle name="20% - 강조색1 2 5 6" xfId="69"/>
    <cellStyle name="20% - 강조색1 2 6" xfId="70"/>
    <cellStyle name="20% - 강조색1 2 6 2" xfId="71"/>
    <cellStyle name="20% - 강조색1 2 6 3" xfId="72"/>
    <cellStyle name="20% - 강조색1 2 6 4" xfId="73"/>
    <cellStyle name="20% - 강조색1 2 6 5" xfId="74"/>
    <cellStyle name="20% - 강조색1 2 6 6" xfId="75"/>
    <cellStyle name="20% - 강조색1 2 7" xfId="76"/>
    <cellStyle name="20% - 강조색1 2 7 2" xfId="77"/>
    <cellStyle name="20% - 강조색1 2 7 3" xfId="78"/>
    <cellStyle name="20% - 강조색1 2 7 4" xfId="79"/>
    <cellStyle name="20% - 강조색1 2 7 5" xfId="80"/>
    <cellStyle name="20% - 강조색1 2 7 6" xfId="81"/>
    <cellStyle name="20% - 강조색1 2 8" xfId="82"/>
    <cellStyle name="20% - 강조색1 2 8 2" xfId="83"/>
    <cellStyle name="20% - 강조색1 2 8 3" xfId="84"/>
    <cellStyle name="20% - 강조색1 2 8 4" xfId="85"/>
    <cellStyle name="20% - 강조색1 2 8 5" xfId="86"/>
    <cellStyle name="20% - 강조색1 2 8 6" xfId="87"/>
    <cellStyle name="20% - 강조색1 2 9" xfId="88"/>
    <cellStyle name="20% - 강조색1 2 9 2" xfId="89"/>
    <cellStyle name="20% - 강조색1 2 9 3" xfId="90"/>
    <cellStyle name="20% - 강조색1 2 9 4" xfId="91"/>
    <cellStyle name="20% - 강조색1 2 9 5" xfId="92"/>
    <cellStyle name="20% - 강조색1 2 9 6" xfId="93"/>
    <cellStyle name="20% - 강조색2 2" xfId="94"/>
    <cellStyle name="20% - 강조색2 2 10" xfId="95"/>
    <cellStyle name="20% - 강조색2 2 10 2" xfId="96"/>
    <cellStyle name="20% - 강조색2 2 10 3" xfId="97"/>
    <cellStyle name="20% - 강조색2 2 10 4" xfId="98"/>
    <cellStyle name="20% - 강조색2 2 10 5" xfId="99"/>
    <cellStyle name="20% - 강조색2 2 10 6" xfId="100"/>
    <cellStyle name="20% - 강조색2 2 11" xfId="101"/>
    <cellStyle name="20% - 강조색2 2 11 2" xfId="102"/>
    <cellStyle name="20% - 강조색2 2 11 3" xfId="103"/>
    <cellStyle name="20% - 강조색2 2 11 4" xfId="104"/>
    <cellStyle name="20% - 강조색2 2 11 5" xfId="105"/>
    <cellStyle name="20% - 강조색2 2 11 6" xfId="106"/>
    <cellStyle name="20% - 강조색2 2 12" xfId="107"/>
    <cellStyle name="20% - 강조색2 2 12 2" xfId="108"/>
    <cellStyle name="20% - 강조색2 2 12 3" xfId="109"/>
    <cellStyle name="20% - 강조색2 2 12 4" xfId="110"/>
    <cellStyle name="20% - 강조색2 2 12 5" xfId="111"/>
    <cellStyle name="20% - 강조색2 2 12 6" xfId="112"/>
    <cellStyle name="20% - 강조색2 2 13" xfId="113"/>
    <cellStyle name="20% - 강조색2 2 13 2" xfId="114"/>
    <cellStyle name="20% - 강조색2 2 13 3" xfId="115"/>
    <cellStyle name="20% - 강조색2 2 13 4" xfId="116"/>
    <cellStyle name="20% - 강조색2 2 13 5" xfId="117"/>
    <cellStyle name="20% - 강조색2 2 13 6" xfId="118"/>
    <cellStyle name="20% - 강조색2 2 14" xfId="119"/>
    <cellStyle name="20% - 강조색2 2 14 2" xfId="120"/>
    <cellStyle name="20% - 강조색2 2 14 3" xfId="121"/>
    <cellStyle name="20% - 강조색2 2 14 4" xfId="122"/>
    <cellStyle name="20% - 강조색2 2 14 5" xfId="123"/>
    <cellStyle name="20% - 강조색2 2 14 6" xfId="124"/>
    <cellStyle name="20% - 강조색2 2 15" xfId="125"/>
    <cellStyle name="20% - 강조색2 2 16" xfId="126"/>
    <cellStyle name="20% - 강조색2 2 17" xfId="127"/>
    <cellStyle name="20% - 강조색2 2 18" xfId="128"/>
    <cellStyle name="20% - 강조색2 2 19" xfId="129"/>
    <cellStyle name="20% - 강조색2 2 2" xfId="130"/>
    <cellStyle name="20% - 강조색2 2 2 2" xfId="131"/>
    <cellStyle name="20% - 강조색2 2 2 3" xfId="132"/>
    <cellStyle name="20% - 강조색2 2 2 4" xfId="133"/>
    <cellStyle name="20% - 강조색2 2 2 5" xfId="134"/>
    <cellStyle name="20% - 강조색2 2 2 6" xfId="135"/>
    <cellStyle name="20% - 강조색2 2 3" xfId="136"/>
    <cellStyle name="20% - 강조색2 2 3 2" xfId="137"/>
    <cellStyle name="20% - 강조색2 2 3 3" xfId="138"/>
    <cellStyle name="20% - 강조색2 2 3 4" xfId="139"/>
    <cellStyle name="20% - 강조색2 2 3 5" xfId="140"/>
    <cellStyle name="20% - 강조색2 2 3 6" xfId="141"/>
    <cellStyle name="20% - 강조색2 2 4" xfId="142"/>
    <cellStyle name="20% - 강조색2 2 4 2" xfId="143"/>
    <cellStyle name="20% - 강조색2 2 4 3" xfId="144"/>
    <cellStyle name="20% - 강조색2 2 4 4" xfId="145"/>
    <cellStyle name="20% - 강조색2 2 4 5" xfId="146"/>
    <cellStyle name="20% - 강조색2 2 4 6" xfId="147"/>
    <cellStyle name="20% - 강조색2 2 5" xfId="148"/>
    <cellStyle name="20% - 강조색2 2 5 2" xfId="149"/>
    <cellStyle name="20% - 강조색2 2 5 3" xfId="150"/>
    <cellStyle name="20% - 강조색2 2 5 4" xfId="151"/>
    <cellStyle name="20% - 강조색2 2 5 5" xfId="152"/>
    <cellStyle name="20% - 강조색2 2 5 6" xfId="153"/>
    <cellStyle name="20% - 강조색2 2 6" xfId="154"/>
    <cellStyle name="20% - 강조색2 2 6 2" xfId="155"/>
    <cellStyle name="20% - 강조색2 2 6 3" xfId="156"/>
    <cellStyle name="20% - 강조색2 2 6 4" xfId="157"/>
    <cellStyle name="20% - 강조색2 2 6 5" xfId="158"/>
    <cellStyle name="20% - 강조색2 2 6 6" xfId="159"/>
    <cellStyle name="20% - 강조색2 2 7" xfId="160"/>
    <cellStyle name="20% - 강조색2 2 7 2" xfId="161"/>
    <cellStyle name="20% - 강조색2 2 7 3" xfId="162"/>
    <cellStyle name="20% - 강조색2 2 7 4" xfId="163"/>
    <cellStyle name="20% - 강조색2 2 7 5" xfId="164"/>
    <cellStyle name="20% - 강조색2 2 7 6" xfId="165"/>
    <cellStyle name="20% - 강조색2 2 8" xfId="166"/>
    <cellStyle name="20% - 강조색2 2 8 2" xfId="167"/>
    <cellStyle name="20% - 강조색2 2 8 3" xfId="168"/>
    <cellStyle name="20% - 강조색2 2 8 4" xfId="169"/>
    <cellStyle name="20% - 강조색2 2 8 5" xfId="170"/>
    <cellStyle name="20% - 강조색2 2 8 6" xfId="171"/>
    <cellStyle name="20% - 강조색2 2 9" xfId="172"/>
    <cellStyle name="20% - 강조색2 2 9 2" xfId="173"/>
    <cellStyle name="20% - 강조색2 2 9 3" xfId="174"/>
    <cellStyle name="20% - 강조색2 2 9 4" xfId="175"/>
    <cellStyle name="20% - 강조색2 2 9 5" xfId="176"/>
    <cellStyle name="20% - 강조색2 2 9 6" xfId="177"/>
    <cellStyle name="20% - 강조색3 2" xfId="178"/>
    <cellStyle name="20% - 강조색3 2 10" xfId="179"/>
    <cellStyle name="20% - 강조색3 2 10 2" xfId="180"/>
    <cellStyle name="20% - 강조색3 2 10 3" xfId="181"/>
    <cellStyle name="20% - 강조색3 2 10 4" xfId="182"/>
    <cellStyle name="20% - 강조색3 2 10 5" xfId="183"/>
    <cellStyle name="20% - 강조색3 2 10 6" xfId="184"/>
    <cellStyle name="20% - 강조색3 2 11" xfId="185"/>
    <cellStyle name="20% - 강조색3 2 11 2" xfId="186"/>
    <cellStyle name="20% - 강조색3 2 11 3" xfId="187"/>
    <cellStyle name="20% - 강조색3 2 11 4" xfId="188"/>
    <cellStyle name="20% - 강조색3 2 11 5" xfId="189"/>
    <cellStyle name="20% - 강조색3 2 11 6" xfId="190"/>
    <cellStyle name="20% - 강조색3 2 12" xfId="191"/>
    <cellStyle name="20% - 강조색3 2 12 2" xfId="192"/>
    <cellStyle name="20% - 강조색3 2 12 3" xfId="193"/>
    <cellStyle name="20% - 강조색3 2 12 4" xfId="194"/>
    <cellStyle name="20% - 강조색3 2 12 5" xfId="195"/>
    <cellStyle name="20% - 강조색3 2 12 6" xfId="196"/>
    <cellStyle name="20% - 강조색3 2 13" xfId="197"/>
    <cellStyle name="20% - 강조색3 2 13 2" xfId="198"/>
    <cellStyle name="20% - 강조색3 2 13 3" xfId="199"/>
    <cellStyle name="20% - 강조색3 2 13 4" xfId="200"/>
    <cellStyle name="20% - 강조색3 2 13 5" xfId="201"/>
    <cellStyle name="20% - 강조색3 2 13 6" xfId="202"/>
    <cellStyle name="20% - 강조색3 2 14" xfId="203"/>
    <cellStyle name="20% - 강조색3 2 14 2" xfId="204"/>
    <cellStyle name="20% - 강조색3 2 14 3" xfId="205"/>
    <cellStyle name="20% - 강조색3 2 14 4" xfId="206"/>
    <cellStyle name="20% - 강조색3 2 14 5" xfId="207"/>
    <cellStyle name="20% - 강조색3 2 14 6" xfId="208"/>
    <cellStyle name="20% - 강조색3 2 15" xfId="209"/>
    <cellStyle name="20% - 강조색3 2 16" xfId="210"/>
    <cellStyle name="20% - 강조색3 2 17" xfId="211"/>
    <cellStyle name="20% - 강조색3 2 18" xfId="212"/>
    <cellStyle name="20% - 강조색3 2 19" xfId="213"/>
    <cellStyle name="20% - 강조색3 2 2" xfId="214"/>
    <cellStyle name="20% - 강조색3 2 2 2" xfId="215"/>
    <cellStyle name="20% - 강조색3 2 2 3" xfId="216"/>
    <cellStyle name="20% - 강조색3 2 2 4" xfId="217"/>
    <cellStyle name="20% - 강조색3 2 2 5" xfId="218"/>
    <cellStyle name="20% - 강조색3 2 2 6" xfId="219"/>
    <cellStyle name="20% - 강조색3 2 3" xfId="220"/>
    <cellStyle name="20% - 강조색3 2 3 2" xfId="221"/>
    <cellStyle name="20% - 강조색3 2 3 3" xfId="222"/>
    <cellStyle name="20% - 강조색3 2 3 4" xfId="223"/>
    <cellStyle name="20% - 강조색3 2 3 5" xfId="224"/>
    <cellStyle name="20% - 강조색3 2 3 6" xfId="225"/>
    <cellStyle name="20% - 강조색3 2 4" xfId="226"/>
    <cellStyle name="20% - 강조색3 2 4 2" xfId="227"/>
    <cellStyle name="20% - 강조색3 2 4 3" xfId="228"/>
    <cellStyle name="20% - 강조색3 2 4 4" xfId="229"/>
    <cellStyle name="20% - 강조색3 2 4 5" xfId="230"/>
    <cellStyle name="20% - 강조색3 2 4 6" xfId="231"/>
    <cellStyle name="20% - 강조색3 2 5" xfId="232"/>
    <cellStyle name="20% - 강조색3 2 5 2" xfId="233"/>
    <cellStyle name="20% - 강조색3 2 5 3" xfId="234"/>
    <cellStyle name="20% - 강조색3 2 5 4" xfId="235"/>
    <cellStyle name="20% - 강조색3 2 5 5" xfId="236"/>
    <cellStyle name="20% - 강조색3 2 5 6" xfId="237"/>
    <cellStyle name="20% - 강조색3 2 6" xfId="238"/>
    <cellStyle name="20% - 강조색3 2 6 2" xfId="239"/>
    <cellStyle name="20% - 강조색3 2 6 3" xfId="240"/>
    <cellStyle name="20% - 강조색3 2 6 4" xfId="241"/>
    <cellStyle name="20% - 강조색3 2 6 5" xfId="242"/>
    <cellStyle name="20% - 강조색3 2 6 6" xfId="243"/>
    <cellStyle name="20% - 강조색3 2 7" xfId="244"/>
    <cellStyle name="20% - 강조색3 2 7 2" xfId="245"/>
    <cellStyle name="20% - 강조색3 2 7 3" xfId="246"/>
    <cellStyle name="20% - 강조색3 2 7 4" xfId="247"/>
    <cellStyle name="20% - 강조색3 2 7 5" xfId="248"/>
    <cellStyle name="20% - 강조색3 2 7 6" xfId="249"/>
    <cellStyle name="20% - 강조색3 2 8" xfId="250"/>
    <cellStyle name="20% - 강조색3 2 8 2" xfId="251"/>
    <cellStyle name="20% - 강조색3 2 8 3" xfId="252"/>
    <cellStyle name="20% - 강조색3 2 8 4" xfId="253"/>
    <cellStyle name="20% - 강조색3 2 8 5" xfId="254"/>
    <cellStyle name="20% - 강조색3 2 8 6" xfId="255"/>
    <cellStyle name="20% - 강조색3 2 9" xfId="256"/>
    <cellStyle name="20% - 강조색3 2 9 2" xfId="257"/>
    <cellStyle name="20% - 강조색3 2 9 3" xfId="258"/>
    <cellStyle name="20% - 강조색3 2 9 4" xfId="259"/>
    <cellStyle name="20% - 강조색3 2 9 5" xfId="260"/>
    <cellStyle name="20% - 강조색3 2 9 6" xfId="261"/>
    <cellStyle name="20% - 강조색4 2" xfId="262"/>
    <cellStyle name="20% - 강조색4 2 10" xfId="263"/>
    <cellStyle name="20% - 강조색4 2 10 2" xfId="264"/>
    <cellStyle name="20% - 강조색4 2 10 3" xfId="265"/>
    <cellStyle name="20% - 강조색4 2 10 4" xfId="266"/>
    <cellStyle name="20% - 강조색4 2 10 5" xfId="267"/>
    <cellStyle name="20% - 강조색4 2 10 6" xfId="268"/>
    <cellStyle name="20% - 강조색4 2 11" xfId="269"/>
    <cellStyle name="20% - 강조색4 2 11 2" xfId="270"/>
    <cellStyle name="20% - 강조색4 2 11 3" xfId="271"/>
    <cellStyle name="20% - 강조색4 2 11 4" xfId="272"/>
    <cellStyle name="20% - 강조색4 2 11 5" xfId="273"/>
    <cellStyle name="20% - 강조색4 2 11 6" xfId="274"/>
    <cellStyle name="20% - 강조색4 2 12" xfId="275"/>
    <cellStyle name="20% - 강조색4 2 12 2" xfId="276"/>
    <cellStyle name="20% - 강조색4 2 12 3" xfId="277"/>
    <cellStyle name="20% - 강조색4 2 12 4" xfId="278"/>
    <cellStyle name="20% - 강조색4 2 12 5" xfId="279"/>
    <cellStyle name="20% - 강조색4 2 12 6" xfId="280"/>
    <cellStyle name="20% - 강조색4 2 13" xfId="281"/>
    <cellStyle name="20% - 강조색4 2 13 2" xfId="282"/>
    <cellStyle name="20% - 강조색4 2 13 3" xfId="283"/>
    <cellStyle name="20% - 강조색4 2 13 4" xfId="284"/>
    <cellStyle name="20% - 강조색4 2 13 5" xfId="285"/>
    <cellStyle name="20% - 강조색4 2 13 6" xfId="286"/>
    <cellStyle name="20% - 강조색4 2 14" xfId="287"/>
    <cellStyle name="20% - 강조색4 2 14 2" xfId="288"/>
    <cellStyle name="20% - 강조색4 2 14 3" xfId="289"/>
    <cellStyle name="20% - 강조색4 2 14 4" xfId="290"/>
    <cellStyle name="20% - 강조색4 2 14 5" xfId="291"/>
    <cellStyle name="20% - 강조색4 2 14 6" xfId="292"/>
    <cellStyle name="20% - 강조색4 2 15" xfId="293"/>
    <cellStyle name="20% - 강조색4 2 16" xfId="294"/>
    <cellStyle name="20% - 강조색4 2 17" xfId="295"/>
    <cellStyle name="20% - 강조색4 2 18" xfId="296"/>
    <cellStyle name="20% - 강조색4 2 19" xfId="297"/>
    <cellStyle name="20% - 강조색4 2 2" xfId="298"/>
    <cellStyle name="20% - 강조색4 2 2 2" xfId="299"/>
    <cellStyle name="20% - 강조색4 2 2 3" xfId="300"/>
    <cellStyle name="20% - 강조색4 2 2 4" xfId="301"/>
    <cellStyle name="20% - 강조색4 2 2 5" xfId="302"/>
    <cellStyle name="20% - 강조색4 2 2 6" xfId="303"/>
    <cellStyle name="20% - 강조색4 2 3" xfId="304"/>
    <cellStyle name="20% - 강조색4 2 3 2" xfId="305"/>
    <cellStyle name="20% - 강조색4 2 3 3" xfId="306"/>
    <cellStyle name="20% - 강조색4 2 3 4" xfId="307"/>
    <cellStyle name="20% - 강조색4 2 3 5" xfId="308"/>
    <cellStyle name="20% - 강조색4 2 3 6" xfId="309"/>
    <cellStyle name="20% - 강조색4 2 4" xfId="310"/>
    <cellStyle name="20% - 강조색4 2 4 2" xfId="311"/>
    <cellStyle name="20% - 강조색4 2 4 3" xfId="312"/>
    <cellStyle name="20% - 강조색4 2 4 4" xfId="313"/>
    <cellStyle name="20% - 강조색4 2 4 5" xfId="314"/>
    <cellStyle name="20% - 강조색4 2 4 6" xfId="315"/>
    <cellStyle name="20% - 강조색4 2 5" xfId="316"/>
    <cellStyle name="20% - 강조색4 2 5 2" xfId="317"/>
    <cellStyle name="20% - 강조색4 2 5 3" xfId="318"/>
    <cellStyle name="20% - 강조색4 2 5 4" xfId="319"/>
    <cellStyle name="20% - 강조색4 2 5 5" xfId="320"/>
    <cellStyle name="20% - 강조색4 2 5 6" xfId="321"/>
    <cellStyle name="20% - 강조색4 2 6" xfId="322"/>
    <cellStyle name="20% - 강조색4 2 6 2" xfId="323"/>
    <cellStyle name="20% - 강조색4 2 6 3" xfId="324"/>
    <cellStyle name="20% - 강조색4 2 6 4" xfId="325"/>
    <cellStyle name="20% - 강조색4 2 6 5" xfId="326"/>
    <cellStyle name="20% - 강조색4 2 6 6" xfId="327"/>
    <cellStyle name="20% - 강조색4 2 7" xfId="328"/>
    <cellStyle name="20% - 강조색4 2 7 2" xfId="329"/>
    <cellStyle name="20% - 강조색4 2 7 3" xfId="330"/>
    <cellStyle name="20% - 강조색4 2 7 4" xfId="331"/>
    <cellStyle name="20% - 강조색4 2 7 5" xfId="332"/>
    <cellStyle name="20% - 강조색4 2 7 6" xfId="333"/>
    <cellStyle name="20% - 강조색4 2 8" xfId="334"/>
    <cellStyle name="20% - 강조색4 2 8 2" xfId="335"/>
    <cellStyle name="20% - 강조색4 2 8 3" xfId="336"/>
    <cellStyle name="20% - 강조색4 2 8 4" xfId="337"/>
    <cellStyle name="20% - 강조색4 2 8 5" xfId="338"/>
    <cellStyle name="20% - 강조색4 2 8 6" xfId="339"/>
    <cellStyle name="20% - 강조색4 2 9" xfId="340"/>
    <cellStyle name="20% - 강조색4 2 9 2" xfId="341"/>
    <cellStyle name="20% - 강조색4 2 9 3" xfId="342"/>
    <cellStyle name="20% - 강조색4 2 9 4" xfId="343"/>
    <cellStyle name="20% - 강조색4 2 9 5" xfId="344"/>
    <cellStyle name="20% - 강조색4 2 9 6" xfId="345"/>
    <cellStyle name="20% - 강조색5 2" xfId="346"/>
    <cellStyle name="20% - 강조색5 2 10" xfId="347"/>
    <cellStyle name="20% - 강조색5 2 10 2" xfId="348"/>
    <cellStyle name="20% - 강조색5 2 10 3" xfId="349"/>
    <cellStyle name="20% - 강조색5 2 10 4" xfId="350"/>
    <cellStyle name="20% - 강조색5 2 10 5" xfId="351"/>
    <cellStyle name="20% - 강조색5 2 10 6" xfId="352"/>
    <cellStyle name="20% - 강조색5 2 11" xfId="353"/>
    <cellStyle name="20% - 강조색5 2 11 2" xfId="354"/>
    <cellStyle name="20% - 강조색5 2 11 3" xfId="355"/>
    <cellStyle name="20% - 강조색5 2 11 4" xfId="356"/>
    <cellStyle name="20% - 강조색5 2 11 5" xfId="357"/>
    <cellStyle name="20% - 강조색5 2 11 6" xfId="358"/>
    <cellStyle name="20% - 강조색5 2 12" xfId="359"/>
    <cellStyle name="20% - 강조색5 2 12 2" xfId="360"/>
    <cellStyle name="20% - 강조색5 2 12 3" xfId="361"/>
    <cellStyle name="20% - 강조색5 2 12 4" xfId="362"/>
    <cellStyle name="20% - 강조색5 2 12 5" xfId="363"/>
    <cellStyle name="20% - 강조색5 2 12 6" xfId="364"/>
    <cellStyle name="20% - 강조색5 2 13" xfId="365"/>
    <cellStyle name="20% - 강조색5 2 13 2" xfId="366"/>
    <cellStyle name="20% - 강조색5 2 13 3" xfId="367"/>
    <cellStyle name="20% - 강조색5 2 13 4" xfId="368"/>
    <cellStyle name="20% - 강조색5 2 13 5" xfId="369"/>
    <cellStyle name="20% - 강조색5 2 13 6" xfId="370"/>
    <cellStyle name="20% - 강조색5 2 14" xfId="371"/>
    <cellStyle name="20% - 강조색5 2 14 2" xfId="372"/>
    <cellStyle name="20% - 강조색5 2 14 3" xfId="373"/>
    <cellStyle name="20% - 강조색5 2 14 4" xfId="374"/>
    <cellStyle name="20% - 강조색5 2 14 5" xfId="375"/>
    <cellStyle name="20% - 강조색5 2 14 6" xfId="376"/>
    <cellStyle name="20% - 강조색5 2 15" xfId="377"/>
    <cellStyle name="20% - 강조색5 2 16" xfId="378"/>
    <cellStyle name="20% - 강조색5 2 17" xfId="379"/>
    <cellStyle name="20% - 강조색5 2 18" xfId="380"/>
    <cellStyle name="20% - 강조색5 2 19" xfId="381"/>
    <cellStyle name="20% - 강조색5 2 2" xfId="382"/>
    <cellStyle name="20% - 강조색5 2 2 2" xfId="383"/>
    <cellStyle name="20% - 강조색5 2 2 3" xfId="384"/>
    <cellStyle name="20% - 강조색5 2 2 4" xfId="385"/>
    <cellStyle name="20% - 강조색5 2 2 5" xfId="386"/>
    <cellStyle name="20% - 강조색5 2 2 6" xfId="387"/>
    <cellStyle name="20% - 강조색5 2 3" xfId="388"/>
    <cellStyle name="20% - 강조색5 2 3 2" xfId="389"/>
    <cellStyle name="20% - 강조색5 2 3 3" xfId="390"/>
    <cellStyle name="20% - 강조색5 2 3 4" xfId="391"/>
    <cellStyle name="20% - 강조색5 2 3 5" xfId="392"/>
    <cellStyle name="20% - 강조색5 2 3 6" xfId="393"/>
    <cellStyle name="20% - 강조색5 2 4" xfId="394"/>
    <cellStyle name="20% - 강조색5 2 4 2" xfId="395"/>
    <cellStyle name="20% - 강조색5 2 4 3" xfId="396"/>
    <cellStyle name="20% - 강조색5 2 4 4" xfId="397"/>
    <cellStyle name="20% - 강조색5 2 4 5" xfId="398"/>
    <cellStyle name="20% - 강조색5 2 4 6" xfId="399"/>
    <cellStyle name="20% - 강조색5 2 5" xfId="400"/>
    <cellStyle name="20% - 강조색5 2 5 2" xfId="401"/>
    <cellStyle name="20% - 강조색5 2 5 3" xfId="402"/>
    <cellStyle name="20% - 강조색5 2 5 4" xfId="403"/>
    <cellStyle name="20% - 강조색5 2 5 5" xfId="404"/>
    <cellStyle name="20% - 강조색5 2 5 6" xfId="405"/>
    <cellStyle name="20% - 강조색5 2 6" xfId="406"/>
    <cellStyle name="20% - 강조색5 2 6 2" xfId="407"/>
    <cellStyle name="20% - 강조색5 2 6 3" xfId="408"/>
    <cellStyle name="20% - 강조색5 2 6 4" xfId="409"/>
    <cellStyle name="20% - 강조색5 2 6 5" xfId="410"/>
    <cellStyle name="20% - 강조색5 2 6 6" xfId="411"/>
    <cellStyle name="20% - 강조색5 2 7" xfId="412"/>
    <cellStyle name="20% - 강조색5 2 7 2" xfId="413"/>
    <cellStyle name="20% - 강조색5 2 7 3" xfId="414"/>
    <cellStyle name="20% - 강조색5 2 7 4" xfId="415"/>
    <cellStyle name="20% - 강조색5 2 7 5" xfId="416"/>
    <cellStyle name="20% - 강조색5 2 7 6" xfId="417"/>
    <cellStyle name="20% - 강조색5 2 8" xfId="418"/>
    <cellStyle name="20% - 강조색5 2 8 2" xfId="419"/>
    <cellStyle name="20% - 강조색5 2 8 3" xfId="420"/>
    <cellStyle name="20% - 강조색5 2 8 4" xfId="421"/>
    <cellStyle name="20% - 강조색5 2 8 5" xfId="422"/>
    <cellStyle name="20% - 강조색5 2 8 6" xfId="423"/>
    <cellStyle name="20% - 강조색5 2 9" xfId="424"/>
    <cellStyle name="20% - 강조색5 2 9 2" xfId="425"/>
    <cellStyle name="20% - 강조색5 2 9 3" xfId="426"/>
    <cellStyle name="20% - 강조색5 2 9 4" xfId="427"/>
    <cellStyle name="20% - 강조색5 2 9 5" xfId="428"/>
    <cellStyle name="20% - 강조색5 2 9 6" xfId="429"/>
    <cellStyle name="20% - 강조색6 2" xfId="430"/>
    <cellStyle name="20% - 강조색6 2 10" xfId="431"/>
    <cellStyle name="20% - 강조색6 2 10 2" xfId="432"/>
    <cellStyle name="20% - 강조색6 2 10 3" xfId="433"/>
    <cellStyle name="20% - 강조색6 2 10 4" xfId="434"/>
    <cellStyle name="20% - 강조색6 2 10 5" xfId="435"/>
    <cellStyle name="20% - 강조색6 2 10 6" xfId="436"/>
    <cellStyle name="20% - 강조색6 2 11" xfId="437"/>
    <cellStyle name="20% - 강조색6 2 11 2" xfId="438"/>
    <cellStyle name="20% - 강조색6 2 11 3" xfId="439"/>
    <cellStyle name="20% - 강조색6 2 11 4" xfId="440"/>
    <cellStyle name="20% - 강조색6 2 11 5" xfId="441"/>
    <cellStyle name="20% - 강조색6 2 11 6" xfId="442"/>
    <cellStyle name="20% - 강조색6 2 12" xfId="443"/>
    <cellStyle name="20% - 강조색6 2 12 2" xfId="444"/>
    <cellStyle name="20% - 강조색6 2 12 3" xfId="445"/>
    <cellStyle name="20% - 강조색6 2 12 4" xfId="446"/>
    <cellStyle name="20% - 강조색6 2 12 5" xfId="447"/>
    <cellStyle name="20% - 강조색6 2 12 6" xfId="448"/>
    <cellStyle name="20% - 강조색6 2 13" xfId="449"/>
    <cellStyle name="20% - 강조색6 2 13 2" xfId="450"/>
    <cellStyle name="20% - 강조색6 2 13 3" xfId="451"/>
    <cellStyle name="20% - 강조색6 2 13 4" xfId="452"/>
    <cellStyle name="20% - 강조색6 2 13 5" xfId="453"/>
    <cellStyle name="20% - 강조색6 2 13 6" xfId="454"/>
    <cellStyle name="20% - 강조색6 2 14" xfId="455"/>
    <cellStyle name="20% - 강조색6 2 14 2" xfId="456"/>
    <cellStyle name="20% - 강조색6 2 14 3" xfId="457"/>
    <cellStyle name="20% - 강조색6 2 14 4" xfId="458"/>
    <cellStyle name="20% - 강조색6 2 14 5" xfId="459"/>
    <cellStyle name="20% - 강조색6 2 14 6" xfId="460"/>
    <cellStyle name="20% - 강조색6 2 15" xfId="461"/>
    <cellStyle name="20% - 강조색6 2 16" xfId="462"/>
    <cellStyle name="20% - 강조색6 2 17" xfId="463"/>
    <cellStyle name="20% - 강조색6 2 18" xfId="464"/>
    <cellStyle name="20% - 강조색6 2 19" xfId="465"/>
    <cellStyle name="20% - 강조색6 2 2" xfId="466"/>
    <cellStyle name="20% - 강조색6 2 2 2" xfId="467"/>
    <cellStyle name="20% - 강조색6 2 2 3" xfId="468"/>
    <cellStyle name="20% - 강조색6 2 2 4" xfId="469"/>
    <cellStyle name="20% - 강조색6 2 2 5" xfId="470"/>
    <cellStyle name="20% - 강조색6 2 2 6" xfId="471"/>
    <cellStyle name="20% - 강조색6 2 3" xfId="472"/>
    <cellStyle name="20% - 강조색6 2 3 2" xfId="473"/>
    <cellStyle name="20% - 강조색6 2 3 3" xfId="474"/>
    <cellStyle name="20% - 강조색6 2 3 4" xfId="475"/>
    <cellStyle name="20% - 강조색6 2 3 5" xfId="476"/>
    <cellStyle name="20% - 강조색6 2 3 6" xfId="477"/>
    <cellStyle name="20% - 강조색6 2 4" xfId="478"/>
    <cellStyle name="20% - 강조색6 2 4 2" xfId="479"/>
    <cellStyle name="20% - 강조색6 2 4 3" xfId="480"/>
    <cellStyle name="20% - 강조색6 2 4 4" xfId="481"/>
    <cellStyle name="20% - 강조색6 2 4 5" xfId="482"/>
    <cellStyle name="20% - 강조색6 2 4 6" xfId="483"/>
    <cellStyle name="20% - 강조색6 2 5" xfId="484"/>
    <cellStyle name="20% - 강조색6 2 5 2" xfId="485"/>
    <cellStyle name="20% - 강조색6 2 5 3" xfId="486"/>
    <cellStyle name="20% - 강조색6 2 5 4" xfId="487"/>
    <cellStyle name="20% - 강조색6 2 5 5" xfId="488"/>
    <cellStyle name="20% - 강조색6 2 5 6" xfId="489"/>
    <cellStyle name="20% - 강조색6 2 6" xfId="490"/>
    <cellStyle name="20% - 강조색6 2 6 2" xfId="491"/>
    <cellStyle name="20% - 강조색6 2 6 3" xfId="492"/>
    <cellStyle name="20% - 강조색6 2 6 4" xfId="493"/>
    <cellStyle name="20% - 강조색6 2 6 5" xfId="494"/>
    <cellStyle name="20% - 강조색6 2 6 6" xfId="495"/>
    <cellStyle name="20% - 강조색6 2 7" xfId="496"/>
    <cellStyle name="20% - 강조색6 2 7 2" xfId="497"/>
    <cellStyle name="20% - 강조색6 2 7 3" xfId="498"/>
    <cellStyle name="20% - 강조색6 2 7 4" xfId="499"/>
    <cellStyle name="20% - 강조색6 2 7 5" xfId="500"/>
    <cellStyle name="20% - 강조색6 2 7 6" xfId="501"/>
    <cellStyle name="20% - 강조색6 2 8" xfId="502"/>
    <cellStyle name="20% - 강조색6 2 8 2" xfId="503"/>
    <cellStyle name="20% - 강조색6 2 8 3" xfId="504"/>
    <cellStyle name="20% - 강조색6 2 8 4" xfId="505"/>
    <cellStyle name="20% - 강조색6 2 8 5" xfId="506"/>
    <cellStyle name="20% - 강조색6 2 8 6" xfId="507"/>
    <cellStyle name="20% - 강조색6 2 9" xfId="508"/>
    <cellStyle name="20% - 강조색6 2 9 2" xfId="509"/>
    <cellStyle name="20% - 강조색6 2 9 3" xfId="510"/>
    <cellStyle name="20% - 강조색6 2 9 4" xfId="511"/>
    <cellStyle name="20% - 강조색6 2 9 5" xfId="512"/>
    <cellStyle name="20% - 강조색6 2 9 6" xfId="513"/>
    <cellStyle name="40% - 강조색1 2" xfId="514"/>
    <cellStyle name="40% - 강조색1 2 10" xfId="515"/>
    <cellStyle name="40% - 강조색1 2 10 2" xfId="516"/>
    <cellStyle name="40% - 강조색1 2 10 3" xfId="517"/>
    <cellStyle name="40% - 강조색1 2 10 4" xfId="518"/>
    <cellStyle name="40% - 강조색1 2 10 5" xfId="519"/>
    <cellStyle name="40% - 강조색1 2 10 6" xfId="520"/>
    <cellStyle name="40% - 강조색1 2 11" xfId="521"/>
    <cellStyle name="40% - 강조색1 2 11 2" xfId="522"/>
    <cellStyle name="40% - 강조색1 2 11 3" xfId="523"/>
    <cellStyle name="40% - 강조색1 2 11 4" xfId="524"/>
    <cellStyle name="40% - 강조색1 2 11 5" xfId="525"/>
    <cellStyle name="40% - 강조색1 2 11 6" xfId="526"/>
    <cellStyle name="40% - 강조색1 2 12" xfId="527"/>
    <cellStyle name="40% - 강조색1 2 12 2" xfId="528"/>
    <cellStyle name="40% - 강조색1 2 12 3" xfId="529"/>
    <cellStyle name="40% - 강조색1 2 12 4" xfId="530"/>
    <cellStyle name="40% - 강조색1 2 12 5" xfId="531"/>
    <cellStyle name="40% - 강조색1 2 12 6" xfId="532"/>
    <cellStyle name="40% - 강조색1 2 13" xfId="533"/>
    <cellStyle name="40% - 강조색1 2 13 2" xfId="534"/>
    <cellStyle name="40% - 강조색1 2 13 3" xfId="535"/>
    <cellStyle name="40% - 강조색1 2 13 4" xfId="536"/>
    <cellStyle name="40% - 강조색1 2 13 5" xfId="537"/>
    <cellStyle name="40% - 강조색1 2 13 6" xfId="538"/>
    <cellStyle name="40% - 강조색1 2 14" xfId="539"/>
    <cellStyle name="40% - 강조색1 2 14 2" xfId="540"/>
    <cellStyle name="40% - 강조색1 2 14 3" xfId="541"/>
    <cellStyle name="40% - 강조색1 2 14 4" xfId="542"/>
    <cellStyle name="40% - 강조색1 2 14 5" xfId="543"/>
    <cellStyle name="40% - 강조색1 2 14 6" xfId="544"/>
    <cellStyle name="40% - 강조색1 2 15" xfId="545"/>
    <cellStyle name="40% - 강조색1 2 16" xfId="546"/>
    <cellStyle name="40% - 강조색1 2 17" xfId="547"/>
    <cellStyle name="40% - 강조색1 2 18" xfId="548"/>
    <cellStyle name="40% - 강조색1 2 19" xfId="549"/>
    <cellStyle name="40% - 강조색1 2 2" xfId="550"/>
    <cellStyle name="40% - 강조색1 2 2 2" xfId="551"/>
    <cellStyle name="40% - 강조색1 2 2 3" xfId="552"/>
    <cellStyle name="40% - 강조색1 2 2 4" xfId="553"/>
    <cellStyle name="40% - 강조색1 2 2 5" xfId="554"/>
    <cellStyle name="40% - 강조색1 2 2 6" xfId="555"/>
    <cellStyle name="40% - 강조색1 2 3" xfId="556"/>
    <cellStyle name="40% - 강조색1 2 3 2" xfId="557"/>
    <cellStyle name="40% - 강조색1 2 3 3" xfId="558"/>
    <cellStyle name="40% - 강조색1 2 3 4" xfId="559"/>
    <cellStyle name="40% - 강조색1 2 3 5" xfId="560"/>
    <cellStyle name="40% - 강조색1 2 3 6" xfId="561"/>
    <cellStyle name="40% - 강조색1 2 4" xfId="562"/>
    <cellStyle name="40% - 강조색1 2 4 2" xfId="563"/>
    <cellStyle name="40% - 강조색1 2 4 3" xfId="564"/>
    <cellStyle name="40% - 강조색1 2 4 4" xfId="565"/>
    <cellStyle name="40% - 강조색1 2 4 5" xfId="566"/>
    <cellStyle name="40% - 강조색1 2 4 6" xfId="567"/>
    <cellStyle name="40% - 강조색1 2 5" xfId="568"/>
    <cellStyle name="40% - 강조색1 2 5 2" xfId="569"/>
    <cellStyle name="40% - 강조색1 2 5 3" xfId="570"/>
    <cellStyle name="40% - 강조색1 2 5 4" xfId="571"/>
    <cellStyle name="40% - 강조색1 2 5 5" xfId="572"/>
    <cellStyle name="40% - 강조색1 2 5 6" xfId="573"/>
    <cellStyle name="40% - 강조색1 2 6" xfId="574"/>
    <cellStyle name="40% - 강조색1 2 6 2" xfId="575"/>
    <cellStyle name="40% - 강조색1 2 6 3" xfId="576"/>
    <cellStyle name="40% - 강조색1 2 6 4" xfId="577"/>
    <cellStyle name="40% - 강조색1 2 6 5" xfId="578"/>
    <cellStyle name="40% - 강조색1 2 6 6" xfId="579"/>
    <cellStyle name="40% - 강조색1 2 7" xfId="580"/>
    <cellStyle name="40% - 강조색1 2 7 2" xfId="581"/>
    <cellStyle name="40% - 강조색1 2 7 3" xfId="582"/>
    <cellStyle name="40% - 강조색1 2 7 4" xfId="583"/>
    <cellStyle name="40% - 강조색1 2 7 5" xfId="584"/>
    <cellStyle name="40% - 강조색1 2 7 6" xfId="585"/>
    <cellStyle name="40% - 강조색1 2 8" xfId="586"/>
    <cellStyle name="40% - 강조색1 2 8 2" xfId="587"/>
    <cellStyle name="40% - 강조색1 2 8 3" xfId="588"/>
    <cellStyle name="40% - 강조색1 2 8 4" xfId="589"/>
    <cellStyle name="40% - 강조색1 2 8 5" xfId="590"/>
    <cellStyle name="40% - 강조색1 2 8 6" xfId="591"/>
    <cellStyle name="40% - 강조색1 2 9" xfId="592"/>
    <cellStyle name="40% - 강조색1 2 9 2" xfId="593"/>
    <cellStyle name="40% - 강조색1 2 9 3" xfId="594"/>
    <cellStyle name="40% - 강조색1 2 9 4" xfId="595"/>
    <cellStyle name="40% - 강조색1 2 9 5" xfId="596"/>
    <cellStyle name="40% - 강조색1 2 9 6" xfId="597"/>
    <cellStyle name="40% - 강조색2 2" xfId="598"/>
    <cellStyle name="40% - 강조색2 2 10" xfId="599"/>
    <cellStyle name="40% - 강조색2 2 10 2" xfId="600"/>
    <cellStyle name="40% - 강조색2 2 10 3" xfId="601"/>
    <cellStyle name="40% - 강조색2 2 10 4" xfId="602"/>
    <cellStyle name="40% - 강조색2 2 10 5" xfId="603"/>
    <cellStyle name="40% - 강조색2 2 10 6" xfId="604"/>
    <cellStyle name="40% - 강조색2 2 11" xfId="605"/>
    <cellStyle name="40% - 강조색2 2 11 2" xfId="606"/>
    <cellStyle name="40% - 강조색2 2 11 3" xfId="607"/>
    <cellStyle name="40% - 강조색2 2 11 4" xfId="608"/>
    <cellStyle name="40% - 강조색2 2 11 5" xfId="609"/>
    <cellStyle name="40% - 강조색2 2 11 6" xfId="610"/>
    <cellStyle name="40% - 강조색2 2 12" xfId="611"/>
    <cellStyle name="40% - 강조색2 2 12 2" xfId="612"/>
    <cellStyle name="40% - 강조색2 2 12 3" xfId="613"/>
    <cellStyle name="40% - 강조색2 2 12 4" xfId="614"/>
    <cellStyle name="40% - 강조색2 2 12 5" xfId="615"/>
    <cellStyle name="40% - 강조색2 2 12 6" xfId="616"/>
    <cellStyle name="40% - 강조색2 2 13" xfId="617"/>
    <cellStyle name="40% - 강조색2 2 13 2" xfId="618"/>
    <cellStyle name="40% - 강조색2 2 13 3" xfId="619"/>
    <cellStyle name="40% - 강조색2 2 13 4" xfId="620"/>
    <cellStyle name="40% - 강조색2 2 13 5" xfId="621"/>
    <cellStyle name="40% - 강조색2 2 13 6" xfId="622"/>
    <cellStyle name="40% - 강조색2 2 14" xfId="623"/>
    <cellStyle name="40% - 강조색2 2 14 2" xfId="624"/>
    <cellStyle name="40% - 강조색2 2 14 3" xfId="625"/>
    <cellStyle name="40% - 강조색2 2 14 4" xfId="626"/>
    <cellStyle name="40% - 강조색2 2 14 5" xfId="627"/>
    <cellStyle name="40% - 강조색2 2 14 6" xfId="628"/>
    <cellStyle name="40% - 강조색2 2 15" xfId="629"/>
    <cellStyle name="40% - 강조색2 2 16" xfId="630"/>
    <cellStyle name="40% - 강조색2 2 17" xfId="631"/>
    <cellStyle name="40% - 강조색2 2 18" xfId="632"/>
    <cellStyle name="40% - 강조색2 2 19" xfId="633"/>
    <cellStyle name="40% - 강조색2 2 2" xfId="634"/>
    <cellStyle name="40% - 강조색2 2 2 2" xfId="635"/>
    <cellStyle name="40% - 강조색2 2 2 3" xfId="636"/>
    <cellStyle name="40% - 강조색2 2 2 4" xfId="637"/>
    <cellStyle name="40% - 강조색2 2 2 5" xfId="638"/>
    <cellStyle name="40% - 강조색2 2 2 6" xfId="639"/>
    <cellStyle name="40% - 강조색2 2 3" xfId="640"/>
    <cellStyle name="40% - 강조색2 2 3 2" xfId="641"/>
    <cellStyle name="40% - 강조색2 2 3 3" xfId="642"/>
    <cellStyle name="40% - 강조색2 2 3 4" xfId="643"/>
    <cellStyle name="40% - 강조색2 2 3 5" xfId="644"/>
    <cellStyle name="40% - 강조색2 2 3 6" xfId="645"/>
    <cellStyle name="40% - 강조색2 2 4" xfId="646"/>
    <cellStyle name="40% - 강조색2 2 4 2" xfId="647"/>
    <cellStyle name="40% - 강조색2 2 4 3" xfId="648"/>
    <cellStyle name="40% - 강조색2 2 4 4" xfId="649"/>
    <cellStyle name="40% - 강조색2 2 4 5" xfId="650"/>
    <cellStyle name="40% - 강조색2 2 4 6" xfId="651"/>
    <cellStyle name="40% - 강조색2 2 5" xfId="652"/>
    <cellStyle name="40% - 강조색2 2 5 2" xfId="653"/>
    <cellStyle name="40% - 강조색2 2 5 3" xfId="654"/>
    <cellStyle name="40% - 강조색2 2 5 4" xfId="655"/>
    <cellStyle name="40% - 강조색2 2 5 5" xfId="656"/>
    <cellStyle name="40% - 강조색2 2 5 6" xfId="657"/>
    <cellStyle name="40% - 강조색2 2 6" xfId="658"/>
    <cellStyle name="40% - 강조색2 2 6 2" xfId="659"/>
    <cellStyle name="40% - 강조색2 2 6 3" xfId="660"/>
    <cellStyle name="40% - 강조색2 2 6 4" xfId="661"/>
    <cellStyle name="40% - 강조색2 2 6 5" xfId="662"/>
    <cellStyle name="40% - 강조색2 2 6 6" xfId="663"/>
    <cellStyle name="40% - 강조색2 2 7" xfId="664"/>
    <cellStyle name="40% - 강조색2 2 7 2" xfId="665"/>
    <cellStyle name="40% - 강조색2 2 7 3" xfId="666"/>
    <cellStyle name="40% - 강조색2 2 7 4" xfId="667"/>
    <cellStyle name="40% - 강조색2 2 7 5" xfId="668"/>
    <cellStyle name="40% - 강조색2 2 7 6" xfId="669"/>
    <cellStyle name="40% - 강조색2 2 8" xfId="670"/>
    <cellStyle name="40% - 강조색2 2 8 2" xfId="671"/>
    <cellStyle name="40% - 강조색2 2 8 3" xfId="672"/>
    <cellStyle name="40% - 강조색2 2 8 4" xfId="673"/>
    <cellStyle name="40% - 강조색2 2 8 5" xfId="674"/>
    <cellStyle name="40% - 강조색2 2 8 6" xfId="675"/>
    <cellStyle name="40% - 강조색2 2 9" xfId="676"/>
    <cellStyle name="40% - 강조색2 2 9 2" xfId="677"/>
    <cellStyle name="40% - 강조색2 2 9 3" xfId="678"/>
    <cellStyle name="40% - 강조색2 2 9 4" xfId="679"/>
    <cellStyle name="40% - 강조색2 2 9 5" xfId="680"/>
    <cellStyle name="40% - 강조색2 2 9 6" xfId="681"/>
    <cellStyle name="40% - 강조색3 2" xfId="682"/>
    <cellStyle name="40% - 강조색3 2 10" xfId="683"/>
    <cellStyle name="40% - 강조색3 2 10 2" xfId="684"/>
    <cellStyle name="40% - 강조색3 2 10 3" xfId="685"/>
    <cellStyle name="40% - 강조색3 2 10 4" xfId="686"/>
    <cellStyle name="40% - 강조색3 2 10 5" xfId="687"/>
    <cellStyle name="40% - 강조색3 2 10 6" xfId="688"/>
    <cellStyle name="40% - 강조색3 2 11" xfId="689"/>
    <cellStyle name="40% - 강조색3 2 11 2" xfId="690"/>
    <cellStyle name="40% - 강조색3 2 11 3" xfId="691"/>
    <cellStyle name="40% - 강조색3 2 11 4" xfId="692"/>
    <cellStyle name="40% - 강조색3 2 11 5" xfId="693"/>
    <cellStyle name="40% - 강조색3 2 11 6" xfId="694"/>
    <cellStyle name="40% - 강조색3 2 12" xfId="695"/>
    <cellStyle name="40% - 강조색3 2 12 2" xfId="696"/>
    <cellStyle name="40% - 강조색3 2 12 3" xfId="697"/>
    <cellStyle name="40% - 강조색3 2 12 4" xfId="698"/>
    <cellStyle name="40% - 강조색3 2 12 5" xfId="699"/>
    <cellStyle name="40% - 강조색3 2 12 6" xfId="700"/>
    <cellStyle name="40% - 강조색3 2 13" xfId="701"/>
    <cellStyle name="40% - 강조색3 2 13 2" xfId="702"/>
    <cellStyle name="40% - 강조색3 2 13 3" xfId="703"/>
    <cellStyle name="40% - 강조색3 2 13 4" xfId="704"/>
    <cellStyle name="40% - 강조색3 2 13 5" xfId="705"/>
    <cellStyle name="40% - 강조색3 2 13 6" xfId="706"/>
    <cellStyle name="40% - 강조색3 2 14" xfId="707"/>
    <cellStyle name="40% - 강조색3 2 14 2" xfId="708"/>
    <cellStyle name="40% - 강조색3 2 14 3" xfId="709"/>
    <cellStyle name="40% - 강조색3 2 14 4" xfId="710"/>
    <cellStyle name="40% - 강조색3 2 14 5" xfId="711"/>
    <cellStyle name="40% - 강조색3 2 14 6" xfId="712"/>
    <cellStyle name="40% - 강조색3 2 15" xfId="713"/>
    <cellStyle name="40% - 강조색3 2 16" xfId="714"/>
    <cellStyle name="40% - 강조색3 2 17" xfId="715"/>
    <cellStyle name="40% - 강조색3 2 18" xfId="716"/>
    <cellStyle name="40% - 강조색3 2 19" xfId="717"/>
    <cellStyle name="40% - 강조색3 2 2" xfId="718"/>
    <cellStyle name="40% - 강조색3 2 2 2" xfId="719"/>
    <cellStyle name="40% - 강조색3 2 2 3" xfId="720"/>
    <cellStyle name="40% - 강조색3 2 2 4" xfId="721"/>
    <cellStyle name="40% - 강조색3 2 2 5" xfId="722"/>
    <cellStyle name="40% - 강조색3 2 2 6" xfId="723"/>
    <cellStyle name="40% - 강조색3 2 3" xfId="724"/>
    <cellStyle name="40% - 강조색3 2 3 2" xfId="725"/>
    <cellStyle name="40% - 강조색3 2 3 3" xfId="726"/>
    <cellStyle name="40% - 강조색3 2 3 4" xfId="727"/>
    <cellStyle name="40% - 강조색3 2 3 5" xfId="728"/>
    <cellStyle name="40% - 강조색3 2 3 6" xfId="729"/>
    <cellStyle name="40% - 강조색3 2 4" xfId="730"/>
    <cellStyle name="40% - 강조색3 2 4 2" xfId="731"/>
    <cellStyle name="40% - 강조색3 2 4 3" xfId="732"/>
    <cellStyle name="40% - 강조색3 2 4 4" xfId="733"/>
    <cellStyle name="40% - 강조색3 2 4 5" xfId="734"/>
    <cellStyle name="40% - 강조색3 2 4 6" xfId="735"/>
    <cellStyle name="40% - 강조색3 2 5" xfId="736"/>
    <cellStyle name="40% - 강조색3 2 5 2" xfId="737"/>
    <cellStyle name="40% - 강조색3 2 5 3" xfId="738"/>
    <cellStyle name="40% - 강조색3 2 5 4" xfId="739"/>
    <cellStyle name="40% - 강조색3 2 5 5" xfId="740"/>
    <cellStyle name="40% - 강조색3 2 5 6" xfId="741"/>
    <cellStyle name="40% - 강조색3 2 6" xfId="742"/>
    <cellStyle name="40% - 강조색3 2 6 2" xfId="743"/>
    <cellStyle name="40% - 강조색3 2 6 3" xfId="744"/>
    <cellStyle name="40% - 강조색3 2 6 4" xfId="745"/>
    <cellStyle name="40% - 강조색3 2 6 5" xfId="746"/>
    <cellStyle name="40% - 강조색3 2 6 6" xfId="747"/>
    <cellStyle name="40% - 강조색3 2 7" xfId="748"/>
    <cellStyle name="40% - 강조색3 2 7 2" xfId="749"/>
    <cellStyle name="40% - 강조색3 2 7 3" xfId="750"/>
    <cellStyle name="40% - 강조색3 2 7 4" xfId="751"/>
    <cellStyle name="40% - 강조색3 2 7 5" xfId="752"/>
    <cellStyle name="40% - 강조색3 2 7 6" xfId="753"/>
    <cellStyle name="40% - 강조색3 2 8" xfId="754"/>
    <cellStyle name="40% - 강조색3 2 8 2" xfId="755"/>
    <cellStyle name="40% - 강조색3 2 8 3" xfId="756"/>
    <cellStyle name="40% - 강조색3 2 8 4" xfId="757"/>
    <cellStyle name="40% - 강조색3 2 8 5" xfId="758"/>
    <cellStyle name="40% - 강조색3 2 8 6" xfId="759"/>
    <cellStyle name="40% - 강조색3 2 9" xfId="760"/>
    <cellStyle name="40% - 강조색3 2 9 2" xfId="761"/>
    <cellStyle name="40% - 강조색3 2 9 3" xfId="762"/>
    <cellStyle name="40% - 강조색3 2 9 4" xfId="763"/>
    <cellStyle name="40% - 강조색3 2 9 5" xfId="764"/>
    <cellStyle name="40% - 강조색3 2 9 6" xfId="765"/>
    <cellStyle name="40% - 강조색4 2" xfId="766"/>
    <cellStyle name="40% - 강조색4 2 10" xfId="767"/>
    <cellStyle name="40% - 강조색4 2 10 2" xfId="768"/>
    <cellStyle name="40% - 강조색4 2 10 3" xfId="769"/>
    <cellStyle name="40% - 강조색4 2 10 4" xfId="770"/>
    <cellStyle name="40% - 강조색4 2 10 5" xfId="771"/>
    <cellStyle name="40% - 강조색4 2 10 6" xfId="772"/>
    <cellStyle name="40% - 강조색4 2 11" xfId="773"/>
    <cellStyle name="40% - 강조색4 2 11 2" xfId="774"/>
    <cellStyle name="40% - 강조색4 2 11 3" xfId="775"/>
    <cellStyle name="40% - 강조색4 2 11 4" xfId="776"/>
    <cellStyle name="40% - 강조색4 2 11 5" xfId="777"/>
    <cellStyle name="40% - 강조색4 2 11 6" xfId="778"/>
    <cellStyle name="40% - 강조색4 2 12" xfId="779"/>
    <cellStyle name="40% - 강조색4 2 12 2" xfId="780"/>
    <cellStyle name="40% - 강조색4 2 12 3" xfId="781"/>
    <cellStyle name="40% - 강조색4 2 12 4" xfId="782"/>
    <cellStyle name="40% - 강조색4 2 12 5" xfId="783"/>
    <cellStyle name="40% - 강조색4 2 12 6" xfId="784"/>
    <cellStyle name="40% - 강조색4 2 13" xfId="785"/>
    <cellStyle name="40% - 강조색4 2 13 2" xfId="786"/>
    <cellStyle name="40% - 강조색4 2 13 3" xfId="787"/>
    <cellStyle name="40% - 강조색4 2 13 4" xfId="788"/>
    <cellStyle name="40% - 강조색4 2 13 5" xfId="789"/>
    <cellStyle name="40% - 강조색4 2 13 6" xfId="790"/>
    <cellStyle name="40% - 강조색4 2 14" xfId="791"/>
    <cellStyle name="40% - 강조색4 2 14 2" xfId="792"/>
    <cellStyle name="40% - 강조색4 2 14 3" xfId="793"/>
    <cellStyle name="40% - 강조색4 2 14 4" xfId="794"/>
    <cellStyle name="40% - 강조색4 2 14 5" xfId="795"/>
    <cellStyle name="40% - 강조색4 2 14 6" xfId="796"/>
    <cellStyle name="40% - 강조색4 2 15" xfId="797"/>
    <cellStyle name="40% - 강조색4 2 16" xfId="798"/>
    <cellStyle name="40% - 강조색4 2 17" xfId="799"/>
    <cellStyle name="40% - 강조색4 2 18" xfId="800"/>
    <cellStyle name="40% - 강조색4 2 19" xfId="801"/>
    <cellStyle name="40% - 강조색4 2 2" xfId="802"/>
    <cellStyle name="40% - 강조색4 2 2 2" xfId="803"/>
    <cellStyle name="40% - 강조색4 2 2 3" xfId="804"/>
    <cellStyle name="40% - 강조색4 2 2 4" xfId="805"/>
    <cellStyle name="40% - 강조색4 2 2 5" xfId="806"/>
    <cellStyle name="40% - 강조색4 2 2 6" xfId="807"/>
    <cellStyle name="40% - 강조색4 2 3" xfId="808"/>
    <cellStyle name="40% - 강조색4 2 3 2" xfId="809"/>
    <cellStyle name="40% - 강조색4 2 3 3" xfId="810"/>
    <cellStyle name="40% - 강조색4 2 3 4" xfId="811"/>
    <cellStyle name="40% - 강조색4 2 3 5" xfId="812"/>
    <cellStyle name="40% - 강조색4 2 3 6" xfId="813"/>
    <cellStyle name="40% - 강조색4 2 4" xfId="814"/>
    <cellStyle name="40% - 강조색4 2 4 2" xfId="815"/>
    <cellStyle name="40% - 강조색4 2 4 3" xfId="816"/>
    <cellStyle name="40% - 강조색4 2 4 4" xfId="817"/>
    <cellStyle name="40% - 강조색4 2 4 5" xfId="818"/>
    <cellStyle name="40% - 강조색4 2 4 6" xfId="819"/>
    <cellStyle name="40% - 강조색4 2 5" xfId="820"/>
    <cellStyle name="40% - 강조색4 2 5 2" xfId="821"/>
    <cellStyle name="40% - 강조색4 2 5 3" xfId="822"/>
    <cellStyle name="40% - 강조색4 2 5 4" xfId="823"/>
    <cellStyle name="40% - 강조색4 2 5 5" xfId="824"/>
    <cellStyle name="40% - 강조색4 2 5 6" xfId="825"/>
    <cellStyle name="40% - 강조색4 2 6" xfId="826"/>
    <cellStyle name="40% - 강조색4 2 6 2" xfId="827"/>
    <cellStyle name="40% - 강조색4 2 6 3" xfId="828"/>
    <cellStyle name="40% - 강조색4 2 6 4" xfId="829"/>
    <cellStyle name="40% - 강조색4 2 6 5" xfId="830"/>
    <cellStyle name="40% - 강조색4 2 6 6" xfId="831"/>
    <cellStyle name="40% - 강조색4 2 7" xfId="832"/>
    <cellStyle name="40% - 강조색4 2 7 2" xfId="833"/>
    <cellStyle name="40% - 강조색4 2 7 3" xfId="834"/>
    <cellStyle name="40% - 강조색4 2 7 4" xfId="835"/>
    <cellStyle name="40% - 강조색4 2 7 5" xfId="836"/>
    <cellStyle name="40% - 강조색4 2 7 6" xfId="837"/>
    <cellStyle name="40% - 강조색4 2 8" xfId="838"/>
    <cellStyle name="40% - 강조색4 2 8 2" xfId="839"/>
    <cellStyle name="40% - 강조색4 2 8 3" xfId="840"/>
    <cellStyle name="40% - 강조색4 2 8 4" xfId="841"/>
    <cellStyle name="40% - 강조색4 2 8 5" xfId="842"/>
    <cellStyle name="40% - 강조색4 2 8 6" xfId="843"/>
    <cellStyle name="40% - 강조색4 2 9" xfId="844"/>
    <cellStyle name="40% - 강조색4 2 9 2" xfId="845"/>
    <cellStyle name="40% - 강조색4 2 9 3" xfId="846"/>
    <cellStyle name="40% - 강조색4 2 9 4" xfId="847"/>
    <cellStyle name="40% - 강조색4 2 9 5" xfId="848"/>
    <cellStyle name="40% - 강조색4 2 9 6" xfId="849"/>
    <cellStyle name="40% - 강조색5 2" xfId="850"/>
    <cellStyle name="40% - 강조색5 2 10" xfId="851"/>
    <cellStyle name="40% - 강조색5 2 10 2" xfId="852"/>
    <cellStyle name="40% - 강조색5 2 10 3" xfId="853"/>
    <cellStyle name="40% - 강조색5 2 10 4" xfId="854"/>
    <cellStyle name="40% - 강조색5 2 10 5" xfId="855"/>
    <cellStyle name="40% - 강조색5 2 10 6" xfId="856"/>
    <cellStyle name="40% - 강조색5 2 11" xfId="857"/>
    <cellStyle name="40% - 강조색5 2 11 2" xfId="858"/>
    <cellStyle name="40% - 강조색5 2 11 3" xfId="859"/>
    <cellStyle name="40% - 강조색5 2 11 4" xfId="860"/>
    <cellStyle name="40% - 강조색5 2 11 5" xfId="861"/>
    <cellStyle name="40% - 강조색5 2 11 6" xfId="862"/>
    <cellStyle name="40% - 강조색5 2 12" xfId="863"/>
    <cellStyle name="40% - 강조색5 2 12 2" xfId="864"/>
    <cellStyle name="40% - 강조색5 2 12 3" xfId="865"/>
    <cellStyle name="40% - 강조색5 2 12 4" xfId="866"/>
    <cellStyle name="40% - 강조색5 2 12 5" xfId="867"/>
    <cellStyle name="40% - 강조색5 2 12 6" xfId="868"/>
    <cellStyle name="40% - 강조색5 2 13" xfId="869"/>
    <cellStyle name="40% - 강조색5 2 13 2" xfId="870"/>
    <cellStyle name="40% - 강조색5 2 13 3" xfId="871"/>
    <cellStyle name="40% - 강조색5 2 13 4" xfId="872"/>
    <cellStyle name="40% - 강조색5 2 13 5" xfId="873"/>
    <cellStyle name="40% - 강조색5 2 13 6" xfId="874"/>
    <cellStyle name="40% - 강조색5 2 14" xfId="875"/>
    <cellStyle name="40% - 강조색5 2 14 2" xfId="876"/>
    <cellStyle name="40% - 강조색5 2 14 3" xfId="877"/>
    <cellStyle name="40% - 강조색5 2 14 4" xfId="878"/>
    <cellStyle name="40% - 강조색5 2 14 5" xfId="879"/>
    <cellStyle name="40% - 강조색5 2 14 6" xfId="880"/>
    <cellStyle name="40% - 강조색5 2 15" xfId="881"/>
    <cellStyle name="40% - 강조색5 2 16" xfId="882"/>
    <cellStyle name="40% - 강조색5 2 17" xfId="883"/>
    <cellStyle name="40% - 강조색5 2 18" xfId="884"/>
    <cellStyle name="40% - 강조색5 2 19" xfId="885"/>
    <cellStyle name="40% - 강조색5 2 2" xfId="886"/>
    <cellStyle name="40% - 강조색5 2 2 2" xfId="887"/>
    <cellStyle name="40% - 강조색5 2 2 3" xfId="888"/>
    <cellStyle name="40% - 강조색5 2 2 4" xfId="889"/>
    <cellStyle name="40% - 강조색5 2 2 5" xfId="890"/>
    <cellStyle name="40% - 강조색5 2 2 6" xfId="891"/>
    <cellStyle name="40% - 강조색5 2 3" xfId="892"/>
    <cellStyle name="40% - 강조색5 2 3 2" xfId="893"/>
    <cellStyle name="40% - 강조색5 2 3 3" xfId="894"/>
    <cellStyle name="40% - 강조색5 2 3 4" xfId="895"/>
    <cellStyle name="40% - 강조색5 2 3 5" xfId="896"/>
    <cellStyle name="40% - 강조색5 2 3 6" xfId="897"/>
    <cellStyle name="40% - 강조색5 2 4" xfId="898"/>
    <cellStyle name="40% - 강조색5 2 4 2" xfId="899"/>
    <cellStyle name="40% - 강조색5 2 4 3" xfId="900"/>
    <cellStyle name="40% - 강조색5 2 4 4" xfId="901"/>
    <cellStyle name="40% - 강조색5 2 4 5" xfId="902"/>
    <cellStyle name="40% - 강조색5 2 4 6" xfId="903"/>
    <cellStyle name="40% - 강조색5 2 5" xfId="904"/>
    <cellStyle name="40% - 강조색5 2 5 2" xfId="905"/>
    <cellStyle name="40% - 강조색5 2 5 3" xfId="906"/>
    <cellStyle name="40% - 강조색5 2 5 4" xfId="907"/>
    <cellStyle name="40% - 강조색5 2 5 5" xfId="908"/>
    <cellStyle name="40% - 강조색5 2 5 6" xfId="909"/>
    <cellStyle name="40% - 강조색5 2 6" xfId="910"/>
    <cellStyle name="40% - 강조색5 2 6 2" xfId="911"/>
    <cellStyle name="40% - 강조색5 2 6 3" xfId="912"/>
    <cellStyle name="40% - 강조색5 2 6 4" xfId="913"/>
    <cellStyle name="40% - 강조색5 2 6 5" xfId="914"/>
    <cellStyle name="40% - 강조색5 2 6 6" xfId="915"/>
    <cellStyle name="40% - 강조색5 2 7" xfId="916"/>
    <cellStyle name="40% - 강조색5 2 7 2" xfId="917"/>
    <cellStyle name="40% - 강조색5 2 7 3" xfId="918"/>
    <cellStyle name="40% - 강조색5 2 7 4" xfId="919"/>
    <cellStyle name="40% - 강조색5 2 7 5" xfId="920"/>
    <cellStyle name="40% - 강조색5 2 7 6" xfId="921"/>
    <cellStyle name="40% - 강조색5 2 8" xfId="922"/>
    <cellStyle name="40% - 강조색5 2 8 2" xfId="923"/>
    <cellStyle name="40% - 강조색5 2 8 3" xfId="924"/>
    <cellStyle name="40% - 강조색5 2 8 4" xfId="925"/>
    <cellStyle name="40% - 강조색5 2 8 5" xfId="926"/>
    <cellStyle name="40% - 강조색5 2 8 6" xfId="927"/>
    <cellStyle name="40% - 강조색5 2 9" xfId="928"/>
    <cellStyle name="40% - 강조색5 2 9 2" xfId="929"/>
    <cellStyle name="40% - 강조색5 2 9 3" xfId="930"/>
    <cellStyle name="40% - 강조색5 2 9 4" xfId="931"/>
    <cellStyle name="40% - 강조색5 2 9 5" xfId="932"/>
    <cellStyle name="40% - 강조색5 2 9 6" xfId="933"/>
    <cellStyle name="40% - 강조색6 2" xfId="934"/>
    <cellStyle name="40% - 강조색6 2 10" xfId="935"/>
    <cellStyle name="40% - 강조색6 2 10 2" xfId="936"/>
    <cellStyle name="40% - 강조색6 2 10 3" xfId="937"/>
    <cellStyle name="40% - 강조색6 2 10 4" xfId="938"/>
    <cellStyle name="40% - 강조색6 2 10 5" xfId="939"/>
    <cellStyle name="40% - 강조색6 2 10 6" xfId="940"/>
    <cellStyle name="40% - 강조색6 2 11" xfId="941"/>
    <cellStyle name="40% - 강조색6 2 11 2" xfId="942"/>
    <cellStyle name="40% - 강조색6 2 11 3" xfId="943"/>
    <cellStyle name="40% - 강조색6 2 11 4" xfId="944"/>
    <cellStyle name="40% - 강조색6 2 11 5" xfId="945"/>
    <cellStyle name="40% - 강조색6 2 11 6" xfId="946"/>
    <cellStyle name="40% - 강조색6 2 12" xfId="947"/>
    <cellStyle name="40% - 강조색6 2 12 2" xfId="948"/>
    <cellStyle name="40% - 강조색6 2 12 3" xfId="949"/>
    <cellStyle name="40% - 강조색6 2 12 4" xfId="950"/>
    <cellStyle name="40% - 강조색6 2 12 5" xfId="951"/>
    <cellStyle name="40% - 강조색6 2 12 6" xfId="952"/>
    <cellStyle name="40% - 강조색6 2 13" xfId="953"/>
    <cellStyle name="40% - 강조색6 2 13 2" xfId="954"/>
    <cellStyle name="40% - 강조색6 2 13 3" xfId="955"/>
    <cellStyle name="40% - 강조색6 2 13 4" xfId="956"/>
    <cellStyle name="40% - 강조색6 2 13 5" xfId="957"/>
    <cellStyle name="40% - 강조색6 2 13 6" xfId="958"/>
    <cellStyle name="40% - 강조색6 2 14" xfId="959"/>
    <cellStyle name="40% - 강조색6 2 14 2" xfId="960"/>
    <cellStyle name="40% - 강조색6 2 14 3" xfId="961"/>
    <cellStyle name="40% - 강조색6 2 14 4" xfId="962"/>
    <cellStyle name="40% - 강조색6 2 14 5" xfId="963"/>
    <cellStyle name="40% - 강조색6 2 14 6" xfId="964"/>
    <cellStyle name="40% - 강조색6 2 15" xfId="965"/>
    <cellStyle name="40% - 강조색6 2 16" xfId="966"/>
    <cellStyle name="40% - 강조색6 2 17" xfId="967"/>
    <cellStyle name="40% - 강조색6 2 18" xfId="968"/>
    <cellStyle name="40% - 강조색6 2 19" xfId="969"/>
    <cellStyle name="40% - 강조색6 2 2" xfId="970"/>
    <cellStyle name="40% - 강조색6 2 2 2" xfId="971"/>
    <cellStyle name="40% - 강조색6 2 2 3" xfId="972"/>
    <cellStyle name="40% - 강조색6 2 2 4" xfId="973"/>
    <cellStyle name="40% - 강조색6 2 2 5" xfId="974"/>
    <cellStyle name="40% - 강조색6 2 2 6" xfId="975"/>
    <cellStyle name="40% - 강조색6 2 3" xfId="976"/>
    <cellStyle name="40% - 강조색6 2 3 2" xfId="977"/>
    <cellStyle name="40% - 강조색6 2 3 3" xfId="978"/>
    <cellStyle name="40% - 강조색6 2 3 4" xfId="979"/>
    <cellStyle name="40% - 강조색6 2 3 5" xfId="980"/>
    <cellStyle name="40% - 강조색6 2 3 6" xfId="981"/>
    <cellStyle name="40% - 강조색6 2 4" xfId="982"/>
    <cellStyle name="40% - 강조색6 2 4 2" xfId="983"/>
    <cellStyle name="40% - 강조색6 2 4 3" xfId="984"/>
    <cellStyle name="40% - 강조색6 2 4 4" xfId="985"/>
    <cellStyle name="40% - 강조색6 2 4 5" xfId="986"/>
    <cellStyle name="40% - 강조색6 2 4 6" xfId="987"/>
    <cellStyle name="40% - 강조색6 2 5" xfId="988"/>
    <cellStyle name="40% - 강조색6 2 5 2" xfId="989"/>
    <cellStyle name="40% - 강조색6 2 5 3" xfId="990"/>
    <cellStyle name="40% - 강조색6 2 5 4" xfId="991"/>
    <cellStyle name="40% - 강조색6 2 5 5" xfId="992"/>
    <cellStyle name="40% - 강조색6 2 5 6" xfId="993"/>
    <cellStyle name="40% - 강조색6 2 6" xfId="994"/>
    <cellStyle name="40% - 강조색6 2 6 2" xfId="995"/>
    <cellStyle name="40% - 강조색6 2 6 3" xfId="996"/>
    <cellStyle name="40% - 강조색6 2 6 4" xfId="997"/>
    <cellStyle name="40% - 강조색6 2 6 5" xfId="998"/>
    <cellStyle name="40% - 강조색6 2 6 6" xfId="999"/>
    <cellStyle name="40% - 강조색6 2 7" xfId="1000"/>
    <cellStyle name="40% - 강조색6 2 7 2" xfId="1001"/>
    <cellStyle name="40% - 강조색6 2 7 3" xfId="1002"/>
    <cellStyle name="40% - 강조색6 2 7 4" xfId="1003"/>
    <cellStyle name="40% - 강조색6 2 7 5" xfId="1004"/>
    <cellStyle name="40% - 강조색6 2 7 6" xfId="1005"/>
    <cellStyle name="40% - 강조색6 2 8" xfId="1006"/>
    <cellStyle name="40% - 강조색6 2 8 2" xfId="1007"/>
    <cellStyle name="40% - 강조색6 2 8 3" xfId="1008"/>
    <cellStyle name="40% - 강조색6 2 8 4" xfId="1009"/>
    <cellStyle name="40% - 강조색6 2 8 5" xfId="1010"/>
    <cellStyle name="40% - 강조색6 2 8 6" xfId="1011"/>
    <cellStyle name="40% - 강조색6 2 9" xfId="1012"/>
    <cellStyle name="40% - 강조색6 2 9 2" xfId="1013"/>
    <cellStyle name="40% - 강조색6 2 9 3" xfId="1014"/>
    <cellStyle name="40% - 강조색6 2 9 4" xfId="1015"/>
    <cellStyle name="40% - 강조색6 2 9 5" xfId="1016"/>
    <cellStyle name="40% - 강조색6 2 9 6" xfId="1017"/>
    <cellStyle name="60% - 강조색1 2" xfId="1018"/>
    <cellStyle name="60% - 강조색2 2" xfId="1019"/>
    <cellStyle name="60% - 강조색3 2" xfId="1020"/>
    <cellStyle name="60% - 강조색4 2" xfId="1021"/>
    <cellStyle name="60% - 강조색5 2" xfId="1022"/>
    <cellStyle name="60% - 강조색6 2" xfId="1023"/>
    <cellStyle name="aryInformation" xfId="3130"/>
    <cellStyle name="category" xfId="1024"/>
    <cellStyle name="Comma" xfId="1025"/>
    <cellStyle name="Comma [0]_판매계획 (2)" xfId="3131"/>
    <cellStyle name="Comma [0]Ctls" xfId="3132"/>
    <cellStyle name="Comma_판매계획 (2)" xfId="3133"/>
    <cellStyle name="CRevision Log" xfId="3134"/>
    <cellStyle name="Currency" xfId="1026"/>
    <cellStyle name="Currency [0]_판매계획 (2)" xfId="3135"/>
    <cellStyle name="Currency_판매계획 (2)" xfId="3136"/>
    <cellStyle name="Date" xfId="1027"/>
    <cellStyle name="Fixed" xfId="1028"/>
    <cellStyle name="Grey" xfId="1029"/>
    <cellStyle name="HEADER" xfId="1030"/>
    <cellStyle name="Header1" xfId="1031"/>
    <cellStyle name="Header2" xfId="1032"/>
    <cellStyle name="Heading1" xfId="1033"/>
    <cellStyle name="Heading2" xfId="1034"/>
    <cellStyle name="Input [yellow]" xfId="1035"/>
    <cellStyle name="kbook" xfId="3137"/>
    <cellStyle name="Model" xfId="1036"/>
    <cellStyle name="Normal - Style1" xfId="1037"/>
    <cellStyle name="Normal_Certs Q2" xfId="3138"/>
    <cellStyle name="OJECT_CUR" xfId="3139"/>
    <cellStyle name="on" xfId="3140"/>
    <cellStyle name="Percent" xfId="1038"/>
    <cellStyle name="Percent [2]" xfId="1039"/>
    <cellStyle name="subhead" xfId="1040"/>
    <cellStyle name="Total" xfId="1041"/>
    <cellStyle name="yInformation" xfId="3141"/>
    <cellStyle name="ㄱ" xfId="3142"/>
    <cellStyle name="강조색1 2" xfId="1042"/>
    <cellStyle name="강조색2 2" xfId="1043"/>
    <cellStyle name="강조색3 2" xfId="1044"/>
    <cellStyle name="강조색4 2" xfId="1045"/>
    <cellStyle name="강조색5 2" xfId="1046"/>
    <cellStyle name="강조색6 2" xfId="1047"/>
    <cellStyle name="경고문 2" xfId="1048"/>
    <cellStyle name="계산 2" xfId="1049"/>
    <cellStyle name="나쁨 2" xfId="1050"/>
    <cellStyle name="메모 2" xfId="1051"/>
    <cellStyle name="백분율" xfId="8" builtinId="5"/>
    <cellStyle name="백분율 10" xfId="3297"/>
    <cellStyle name="백분율 11" xfId="3518"/>
    <cellStyle name="백분율 12" xfId="1052"/>
    <cellStyle name="백분율 2" xfId="3"/>
    <cellStyle name="백분율 2 10" xfId="1054"/>
    <cellStyle name="백분율 2 10 2" xfId="1055"/>
    <cellStyle name="백분율 2 10 3" xfId="1056"/>
    <cellStyle name="백분율 2 11" xfId="1057"/>
    <cellStyle name="백분율 2 11 2" xfId="1058"/>
    <cellStyle name="백분율 2 11 3" xfId="1059"/>
    <cellStyle name="백분율 2 12" xfId="1060"/>
    <cellStyle name="백분율 2 12 2" xfId="1061"/>
    <cellStyle name="백분율 2 12 3" xfId="1062"/>
    <cellStyle name="백분율 2 13" xfId="1063"/>
    <cellStyle name="백분율 2 14" xfId="1064"/>
    <cellStyle name="백분율 2 15" xfId="1065"/>
    <cellStyle name="백분율 2 16" xfId="1066"/>
    <cellStyle name="백분율 2 17" xfId="1067"/>
    <cellStyle name="백분율 2 18" xfId="1068"/>
    <cellStyle name="백분율 2 19" xfId="1069"/>
    <cellStyle name="백분율 2 2" xfId="1070"/>
    <cellStyle name="백분율 2 2 10" xfId="1071"/>
    <cellStyle name="백분율 2 2 2" xfId="1072"/>
    <cellStyle name="백분율 2 2 2 2" xfId="1073"/>
    <cellStyle name="백분율 2 2 2 2 2" xfId="1074"/>
    <cellStyle name="백분율 2 2 2 2 3" xfId="1075"/>
    <cellStyle name="백분율 2 2 3" xfId="1076"/>
    <cellStyle name="백분율 2 2 4" xfId="1077"/>
    <cellStyle name="백분율 2 2 5" xfId="1078"/>
    <cellStyle name="백분율 2 2 5 2" xfId="1079"/>
    <cellStyle name="백분율 2 2 5 3" xfId="1080"/>
    <cellStyle name="백분율 2 2 5 3 2" xfId="1081"/>
    <cellStyle name="백분율 2 2 5 4" xfId="1082"/>
    <cellStyle name="백분율 2 2 6" xfId="1083"/>
    <cellStyle name="백분율 2 2 6 2" xfId="1084"/>
    <cellStyle name="백분율 2 2 6 2 2" xfId="1085"/>
    <cellStyle name="백분율 2 2 7" xfId="1086"/>
    <cellStyle name="백분율 2 2 8" xfId="1087"/>
    <cellStyle name="백분율 2 2 9" xfId="1088"/>
    <cellStyle name="백분율 2 20" xfId="1089"/>
    <cellStyle name="백분율 2 21" xfId="1090"/>
    <cellStyle name="백분율 2 22" xfId="1091"/>
    <cellStyle name="백분율 2 23" xfId="1092"/>
    <cellStyle name="백분율 2 24" xfId="1093"/>
    <cellStyle name="백분율 2 25" xfId="1094"/>
    <cellStyle name="백분율 2 25 2" xfId="1095"/>
    <cellStyle name="백분율 2 26" xfId="3144"/>
    <cellStyle name="백분율 2 27" xfId="1053"/>
    <cellStyle name="백분율 2 3" xfId="1096"/>
    <cellStyle name="백분율 2 3 2" xfId="1097"/>
    <cellStyle name="백분율 2 3 2 2" xfId="1098"/>
    <cellStyle name="백분율 2 3 2 2 2" xfId="1099"/>
    <cellStyle name="백분율 2 3 2 3" xfId="1100"/>
    <cellStyle name="백분율 2 3 3" xfId="1101"/>
    <cellStyle name="백분율 2 3 4" xfId="1102"/>
    <cellStyle name="백분율 2 3 5" xfId="1103"/>
    <cellStyle name="백분율 2 3 6" xfId="1104"/>
    <cellStyle name="백분율 2 3 7" xfId="1105"/>
    <cellStyle name="백분율 2 4" xfId="1106"/>
    <cellStyle name="백분율 2 4 2" xfId="1107"/>
    <cellStyle name="백분율 2 4 2 2" xfId="1108"/>
    <cellStyle name="백분율 2 4 3" xfId="1109"/>
    <cellStyle name="백분율 2 5" xfId="1110"/>
    <cellStyle name="백분율 2 5 2" xfId="1111"/>
    <cellStyle name="백분율 2 5 3" xfId="1112"/>
    <cellStyle name="백분율 2 6" xfId="1113"/>
    <cellStyle name="백분율 2 6 2" xfId="1114"/>
    <cellStyle name="백분율 2 6 3" xfId="1115"/>
    <cellStyle name="백분율 2 7" xfId="1116"/>
    <cellStyle name="백분율 2 7 2" xfId="1117"/>
    <cellStyle name="백분율 2 7 3" xfId="1118"/>
    <cellStyle name="백분율 2 8" xfId="1119"/>
    <cellStyle name="백분율 2 8 2" xfId="1120"/>
    <cellStyle name="백분율 2 8 3" xfId="1121"/>
    <cellStyle name="백분율 2 9" xfId="1122"/>
    <cellStyle name="백분율 2 9 2" xfId="1123"/>
    <cellStyle name="백분율 2 9 3" xfId="1124"/>
    <cellStyle name="백분율 24" xfId="1125"/>
    <cellStyle name="백분율 24 2" xfId="1126"/>
    <cellStyle name="백분율 3" xfId="3114"/>
    <cellStyle name="백분율 3 2" xfId="1127"/>
    <cellStyle name="백분율 3 3" xfId="1128"/>
    <cellStyle name="백분율 4" xfId="3124"/>
    <cellStyle name="백분율 5" xfId="3143"/>
    <cellStyle name="백분율 6" xfId="3174"/>
    <cellStyle name="백분율 7" xfId="3183"/>
    <cellStyle name="백분율 8" xfId="3196"/>
    <cellStyle name="백분율 9" xfId="3239"/>
    <cellStyle name="보통 2" xfId="1129"/>
    <cellStyle name="설명 텍스트 2" xfId="1130"/>
    <cellStyle name="셀 확인 2" xfId="1131"/>
    <cellStyle name="쉼표 [0]" xfId="1" builtinId="6"/>
    <cellStyle name="쉼표 [0] 10" xfId="1133"/>
    <cellStyle name="쉼표 [0] 10 10" xfId="1134"/>
    <cellStyle name="쉼표 [0] 10 11" xfId="1135"/>
    <cellStyle name="쉼표 [0] 10 12" xfId="1136"/>
    <cellStyle name="쉼표 [0] 10 2" xfId="1137"/>
    <cellStyle name="쉼표 [0] 10 3" xfId="1138"/>
    <cellStyle name="쉼표 [0] 10 4" xfId="1139"/>
    <cellStyle name="쉼표 [0] 10 5" xfId="1140"/>
    <cellStyle name="쉼표 [0] 10 6" xfId="1141"/>
    <cellStyle name="쉼표 [0] 10 7" xfId="1142"/>
    <cellStyle name="쉼표 [0] 10 8" xfId="1143"/>
    <cellStyle name="쉼표 [0] 10 9" xfId="1144"/>
    <cellStyle name="쉼표 [0] 11" xfId="1145"/>
    <cellStyle name="쉼표 [0] 11 10" xfId="1146"/>
    <cellStyle name="쉼표 [0] 11 11" xfId="1147"/>
    <cellStyle name="쉼표 [0] 11 12" xfId="1148"/>
    <cellStyle name="쉼표 [0] 11 2" xfId="1149"/>
    <cellStyle name="쉼표 [0] 11 3" xfId="1150"/>
    <cellStyle name="쉼표 [0] 11 4" xfId="1151"/>
    <cellStyle name="쉼표 [0] 11 5" xfId="1152"/>
    <cellStyle name="쉼표 [0] 11 6" xfId="1153"/>
    <cellStyle name="쉼표 [0] 11 7" xfId="1154"/>
    <cellStyle name="쉼표 [0] 11 8" xfId="1155"/>
    <cellStyle name="쉼표 [0] 11 9" xfId="1156"/>
    <cellStyle name="쉼표 [0] 12" xfId="1157"/>
    <cellStyle name="쉼표 [0] 12 2" xfId="1158"/>
    <cellStyle name="쉼표 [0] 12 2 2" xfId="1159"/>
    <cellStyle name="쉼표 [0] 12 2 2 2" xfId="1160"/>
    <cellStyle name="쉼표 [0] 12 2 2 2 2" xfId="1161"/>
    <cellStyle name="쉼표 [0] 12 2 3" xfId="1162"/>
    <cellStyle name="쉼표 [0] 12 2 4" xfId="1163"/>
    <cellStyle name="쉼표 [0] 12 2 5" xfId="1164"/>
    <cellStyle name="쉼표 [0] 12 2 6" xfId="1165"/>
    <cellStyle name="쉼표 [0] 12 3" xfId="1166"/>
    <cellStyle name="쉼표 [0] 12 3 2" xfId="1167"/>
    <cellStyle name="쉼표 [0] 12 3 2 2" xfId="1168"/>
    <cellStyle name="쉼표 [0] 12 3 2 2 2" xfId="1169"/>
    <cellStyle name="쉼표 [0] 12 3 3" xfId="1170"/>
    <cellStyle name="쉼표 [0] 12 3 4" xfId="1171"/>
    <cellStyle name="쉼표 [0] 12 3 5" xfId="1172"/>
    <cellStyle name="쉼표 [0] 12 3 6" xfId="1173"/>
    <cellStyle name="쉼표 [0] 12 4" xfId="1174"/>
    <cellStyle name="쉼표 [0] 12 4 2" xfId="1175"/>
    <cellStyle name="쉼표 [0] 12 4 2 2" xfId="1176"/>
    <cellStyle name="쉼표 [0] 12 4 2 2 2" xfId="1177"/>
    <cellStyle name="쉼표 [0] 12 4 3" xfId="1178"/>
    <cellStyle name="쉼표 [0] 12 4 4" xfId="1179"/>
    <cellStyle name="쉼표 [0] 12 4 5" xfId="1180"/>
    <cellStyle name="쉼표 [0] 12 4 6" xfId="1181"/>
    <cellStyle name="쉼표 [0] 12 5" xfId="1182"/>
    <cellStyle name="쉼표 [0] 12 5 2" xfId="1183"/>
    <cellStyle name="쉼표 [0] 12 5 2 2" xfId="1184"/>
    <cellStyle name="쉼표 [0] 12 6" xfId="1185"/>
    <cellStyle name="쉼표 [0] 12 7" xfId="1186"/>
    <cellStyle name="쉼표 [0] 12 8" xfId="1187"/>
    <cellStyle name="쉼표 [0] 12 9" xfId="1188"/>
    <cellStyle name="쉼표 [0] 13" xfId="1189"/>
    <cellStyle name="쉼표 [0] 13 10" xfId="1190"/>
    <cellStyle name="쉼표 [0] 13 11" xfId="1191"/>
    <cellStyle name="쉼표 [0] 13 12" xfId="1192"/>
    <cellStyle name="쉼표 [0] 13 2" xfId="1193"/>
    <cellStyle name="쉼표 [0] 13 2 2" xfId="1194"/>
    <cellStyle name="쉼표 [0] 13 2 2 2" xfId="1195"/>
    <cellStyle name="쉼표 [0] 13 2 2 2 2" xfId="1196"/>
    <cellStyle name="쉼표 [0] 13 2 3" xfId="1197"/>
    <cellStyle name="쉼표 [0] 13 2 4" xfId="1198"/>
    <cellStyle name="쉼표 [0] 13 2 5" xfId="1199"/>
    <cellStyle name="쉼표 [0] 13 2 6" xfId="1200"/>
    <cellStyle name="쉼표 [0] 13 3" xfId="1201"/>
    <cellStyle name="쉼표 [0] 13 3 2" xfId="1202"/>
    <cellStyle name="쉼표 [0] 13 3 2 2" xfId="1203"/>
    <cellStyle name="쉼표 [0] 13 3 2 2 2" xfId="1204"/>
    <cellStyle name="쉼표 [0] 13 3 3" xfId="1205"/>
    <cellStyle name="쉼표 [0] 13 3 4" xfId="1206"/>
    <cellStyle name="쉼표 [0] 13 3 5" xfId="1207"/>
    <cellStyle name="쉼표 [0] 13 3 6" xfId="1208"/>
    <cellStyle name="쉼표 [0] 13 4" xfId="1209"/>
    <cellStyle name="쉼표 [0] 13 4 2" xfId="1210"/>
    <cellStyle name="쉼표 [0] 13 4 2 2" xfId="1211"/>
    <cellStyle name="쉼표 [0] 13 4 2 2 2" xfId="1212"/>
    <cellStyle name="쉼표 [0] 13 4 3" xfId="1213"/>
    <cellStyle name="쉼표 [0] 13 4 4" xfId="1214"/>
    <cellStyle name="쉼표 [0] 13 4 5" xfId="1215"/>
    <cellStyle name="쉼표 [0] 13 4 6" xfId="1216"/>
    <cellStyle name="쉼표 [0] 13 5" xfId="1217"/>
    <cellStyle name="쉼표 [0] 13 5 2" xfId="1218"/>
    <cellStyle name="쉼표 [0] 13 5 2 2" xfId="1219"/>
    <cellStyle name="쉼표 [0] 13 5 2 2 2" xfId="1220"/>
    <cellStyle name="쉼표 [0] 13 5 3" xfId="1221"/>
    <cellStyle name="쉼표 [0] 13 5 4" xfId="1222"/>
    <cellStyle name="쉼표 [0] 13 5 5" xfId="1223"/>
    <cellStyle name="쉼표 [0] 13 5 6" xfId="1224"/>
    <cellStyle name="쉼표 [0] 13 6" xfId="1225"/>
    <cellStyle name="쉼표 [0] 13 6 2" xfId="1226"/>
    <cellStyle name="쉼표 [0] 13 6 2 2" xfId="1227"/>
    <cellStyle name="쉼표 [0] 13 6 2 2 2" xfId="1228"/>
    <cellStyle name="쉼표 [0] 13 6 3" xfId="1229"/>
    <cellStyle name="쉼표 [0] 13 6 4" xfId="1230"/>
    <cellStyle name="쉼표 [0] 13 6 5" xfId="1231"/>
    <cellStyle name="쉼표 [0] 13 6 6" xfId="1232"/>
    <cellStyle name="쉼표 [0] 13 7" xfId="1233"/>
    <cellStyle name="쉼표 [0] 13 7 2" xfId="1234"/>
    <cellStyle name="쉼표 [0] 13 7 2 2" xfId="1235"/>
    <cellStyle name="쉼표 [0] 13 7 2 2 2" xfId="1236"/>
    <cellStyle name="쉼표 [0] 13 7 3" xfId="1237"/>
    <cellStyle name="쉼표 [0] 13 7 4" xfId="1238"/>
    <cellStyle name="쉼표 [0] 13 7 5" xfId="1239"/>
    <cellStyle name="쉼표 [0] 13 7 6" xfId="1240"/>
    <cellStyle name="쉼표 [0] 13 8" xfId="1241"/>
    <cellStyle name="쉼표 [0] 13 8 2" xfId="1242"/>
    <cellStyle name="쉼표 [0] 13 8 2 2" xfId="1243"/>
    <cellStyle name="쉼표 [0] 13 9" xfId="1244"/>
    <cellStyle name="쉼표 [0] 14" xfId="3115"/>
    <cellStyle name="쉼표 [0] 14 2" xfId="1245"/>
    <cellStyle name="쉼표 [0] 14 3" xfId="1246"/>
    <cellStyle name="쉼표 [0] 15" xfId="1247"/>
    <cellStyle name="쉼표 [0] 16" xfId="1248"/>
    <cellStyle name="쉼표 [0] 17" xfId="1249"/>
    <cellStyle name="쉼표 [0] 18" xfId="1250"/>
    <cellStyle name="쉼표 [0] 19" xfId="1251"/>
    <cellStyle name="쉼표 [0] 2" xfId="4"/>
    <cellStyle name="쉼표 [0] 2 10" xfId="1253"/>
    <cellStyle name="쉼표 [0] 2 10 2" xfId="1254"/>
    <cellStyle name="쉼표 [0] 2 10 2 2" xfId="1255"/>
    <cellStyle name="쉼표 [0] 2 10 2 2 2" xfId="1256"/>
    <cellStyle name="쉼표 [0] 2 10 2 3" xfId="1257"/>
    <cellStyle name="쉼표 [0] 2 10 3" xfId="1258"/>
    <cellStyle name="쉼표 [0] 2 10 4" xfId="1259"/>
    <cellStyle name="쉼표 [0] 2 10 5" xfId="1260"/>
    <cellStyle name="쉼표 [0] 2 10 6" xfId="1261"/>
    <cellStyle name="쉼표 [0] 2 10 7" xfId="1262"/>
    <cellStyle name="쉼표 [0] 2 11" xfId="1263"/>
    <cellStyle name="쉼표 [0] 2 11 2" xfId="1264"/>
    <cellStyle name="쉼표 [0] 2 11 2 2" xfId="1265"/>
    <cellStyle name="쉼표 [0] 2 11 2 2 2" xfId="1266"/>
    <cellStyle name="쉼표 [0] 2 11 2 3" xfId="1267"/>
    <cellStyle name="쉼표 [0] 2 11 3" xfId="1268"/>
    <cellStyle name="쉼표 [0] 2 11 4" xfId="1269"/>
    <cellStyle name="쉼표 [0] 2 11 5" xfId="1270"/>
    <cellStyle name="쉼표 [0] 2 11 6" xfId="1271"/>
    <cellStyle name="쉼표 [0] 2 11 7" xfId="1272"/>
    <cellStyle name="쉼표 [0] 2 12" xfId="1273"/>
    <cellStyle name="쉼표 [0] 2 12 2" xfId="1274"/>
    <cellStyle name="쉼표 [0] 2 12 2 2" xfId="1275"/>
    <cellStyle name="쉼표 [0] 2 12 2 2 2" xfId="1276"/>
    <cellStyle name="쉼표 [0] 2 12 2 3" xfId="1277"/>
    <cellStyle name="쉼표 [0] 2 12 3" xfId="1278"/>
    <cellStyle name="쉼표 [0] 2 12 4" xfId="1279"/>
    <cellStyle name="쉼표 [0] 2 12 5" xfId="1280"/>
    <cellStyle name="쉼표 [0] 2 12 6" xfId="1281"/>
    <cellStyle name="쉼표 [0] 2 12 7" xfId="1282"/>
    <cellStyle name="쉼표 [0] 2 13" xfId="1283"/>
    <cellStyle name="쉼표 [0] 2 13 2" xfId="1284"/>
    <cellStyle name="쉼표 [0] 2 13 2 2" xfId="1285"/>
    <cellStyle name="쉼표 [0] 2 13 2 2 2" xfId="1286"/>
    <cellStyle name="쉼표 [0] 2 13 2 3" xfId="1287"/>
    <cellStyle name="쉼표 [0] 2 13 3" xfId="1288"/>
    <cellStyle name="쉼표 [0] 2 13 4" xfId="1289"/>
    <cellStyle name="쉼표 [0] 2 13 5" xfId="1290"/>
    <cellStyle name="쉼표 [0] 2 13 6" xfId="1291"/>
    <cellStyle name="쉼표 [0] 2 13 7" xfId="1292"/>
    <cellStyle name="쉼표 [0] 2 14" xfId="1293"/>
    <cellStyle name="쉼표 [0] 2 14 2" xfId="1294"/>
    <cellStyle name="쉼표 [0] 2 14 2 2" xfId="1295"/>
    <cellStyle name="쉼표 [0] 2 14 2 2 2" xfId="1296"/>
    <cellStyle name="쉼표 [0] 2 14 2 3" xfId="1297"/>
    <cellStyle name="쉼표 [0] 2 14 3" xfId="1298"/>
    <cellStyle name="쉼표 [0] 2 14 4" xfId="1299"/>
    <cellStyle name="쉼표 [0] 2 14 5" xfId="1300"/>
    <cellStyle name="쉼표 [0] 2 14 6" xfId="1301"/>
    <cellStyle name="쉼표 [0] 2 14 7" xfId="1302"/>
    <cellStyle name="쉼표 [0] 2 15" xfId="1303"/>
    <cellStyle name="쉼표 [0] 2 15 2" xfId="1304"/>
    <cellStyle name="쉼표 [0] 2 15 2 2" xfId="1305"/>
    <cellStyle name="쉼표 [0] 2 15 2 2 2" xfId="1306"/>
    <cellStyle name="쉼표 [0] 2 15 2 3" xfId="1307"/>
    <cellStyle name="쉼표 [0] 2 15 3" xfId="1308"/>
    <cellStyle name="쉼표 [0] 2 15 4" xfId="1309"/>
    <cellStyle name="쉼표 [0] 2 15 5" xfId="1310"/>
    <cellStyle name="쉼표 [0] 2 15 6" xfId="1311"/>
    <cellStyle name="쉼표 [0] 2 15 7" xfId="1312"/>
    <cellStyle name="쉼표 [0] 2 16" xfId="1313"/>
    <cellStyle name="쉼표 [0] 2 16 2" xfId="1314"/>
    <cellStyle name="쉼표 [0] 2 16 2 2" xfId="1315"/>
    <cellStyle name="쉼표 [0] 2 16 2 2 2" xfId="1316"/>
    <cellStyle name="쉼표 [0] 2 16 2 3" xfId="1317"/>
    <cellStyle name="쉼표 [0] 2 16 3" xfId="1318"/>
    <cellStyle name="쉼표 [0] 2 16 4" xfId="1319"/>
    <cellStyle name="쉼표 [0] 2 16 5" xfId="1320"/>
    <cellStyle name="쉼표 [0] 2 16 6" xfId="1321"/>
    <cellStyle name="쉼표 [0] 2 16 7" xfId="1322"/>
    <cellStyle name="쉼표 [0] 2 17" xfId="1323"/>
    <cellStyle name="쉼표 [0] 2 17 2" xfId="1324"/>
    <cellStyle name="쉼표 [0] 2 17 2 2" xfId="1325"/>
    <cellStyle name="쉼표 [0] 2 17 2 2 2" xfId="1326"/>
    <cellStyle name="쉼표 [0] 2 17 2 3" xfId="1327"/>
    <cellStyle name="쉼표 [0] 2 17 3" xfId="1328"/>
    <cellStyle name="쉼표 [0] 2 17 4" xfId="1329"/>
    <cellStyle name="쉼표 [0] 2 17 5" xfId="1330"/>
    <cellStyle name="쉼표 [0] 2 17 6" xfId="1331"/>
    <cellStyle name="쉼표 [0] 2 17 7" xfId="1332"/>
    <cellStyle name="쉼표 [0] 2 18" xfId="1333"/>
    <cellStyle name="쉼표 [0] 2 18 2" xfId="1334"/>
    <cellStyle name="쉼표 [0] 2 18 2 2" xfId="1335"/>
    <cellStyle name="쉼표 [0] 2 18 2 2 2" xfId="1336"/>
    <cellStyle name="쉼표 [0] 2 18 2 3" xfId="1337"/>
    <cellStyle name="쉼표 [0] 2 18 3" xfId="1338"/>
    <cellStyle name="쉼표 [0] 2 18 4" xfId="1339"/>
    <cellStyle name="쉼표 [0] 2 18 5" xfId="1340"/>
    <cellStyle name="쉼표 [0] 2 18 6" xfId="1341"/>
    <cellStyle name="쉼표 [0] 2 18 7" xfId="1342"/>
    <cellStyle name="쉼표 [0] 2 19" xfId="1343"/>
    <cellStyle name="쉼표 [0] 2 19 10" xfId="1344"/>
    <cellStyle name="쉼표 [0] 2 19 11" xfId="1345"/>
    <cellStyle name="쉼표 [0] 2 19 12" xfId="1346"/>
    <cellStyle name="쉼표 [0] 2 19 2" xfId="1347"/>
    <cellStyle name="쉼표 [0] 2 19 2 10" xfId="1348"/>
    <cellStyle name="쉼표 [0] 2 19 2 10 2" xfId="1349"/>
    <cellStyle name="쉼표 [0] 2 19 2 11" xfId="1350"/>
    <cellStyle name="쉼표 [0] 2 19 2 11 2" xfId="1351"/>
    <cellStyle name="쉼표 [0] 2 19 2 12" xfId="1352"/>
    <cellStyle name="쉼표 [0] 2 19 2 12 2" xfId="1353"/>
    <cellStyle name="쉼표 [0] 2 19 2 13" xfId="1354"/>
    <cellStyle name="쉼표 [0] 2 19 2 14" xfId="1355"/>
    <cellStyle name="쉼표 [0] 2 19 2 15" xfId="1356"/>
    <cellStyle name="쉼표 [0] 2 19 2 16" xfId="1357"/>
    <cellStyle name="쉼표 [0] 2 19 2 17" xfId="1358"/>
    <cellStyle name="쉼표 [0] 2 19 2 2" xfId="1359"/>
    <cellStyle name="쉼표 [0] 2 19 2 2 2" xfId="1360"/>
    <cellStyle name="쉼표 [0] 2 19 2 2 2 2" xfId="1361"/>
    <cellStyle name="쉼표 [0] 2 19 2 2 3" xfId="1362"/>
    <cellStyle name="쉼표 [0] 2 19 2 2 3 2" xfId="1363"/>
    <cellStyle name="쉼표 [0] 2 19 2 3" xfId="1364"/>
    <cellStyle name="쉼표 [0] 2 19 2 3 2" xfId="1365"/>
    <cellStyle name="쉼표 [0] 2 19 2 4" xfId="1366"/>
    <cellStyle name="쉼표 [0] 2 19 2 4 2" xfId="1367"/>
    <cellStyle name="쉼표 [0] 2 19 2 5" xfId="1368"/>
    <cellStyle name="쉼표 [0] 2 19 2 5 2" xfId="1369"/>
    <cellStyle name="쉼표 [0] 2 19 2 6" xfId="1370"/>
    <cellStyle name="쉼표 [0] 2 19 2 6 2" xfId="1371"/>
    <cellStyle name="쉼표 [0] 2 19 2 7" xfId="1372"/>
    <cellStyle name="쉼표 [0] 2 19 2 7 2" xfId="1373"/>
    <cellStyle name="쉼표 [0] 2 19 2 8" xfId="1374"/>
    <cellStyle name="쉼표 [0] 2 19 2 8 2" xfId="1375"/>
    <cellStyle name="쉼표 [0] 2 19 2 9" xfId="1376"/>
    <cellStyle name="쉼표 [0] 2 19 2 9 2" xfId="1377"/>
    <cellStyle name="쉼표 [0] 2 19 3" xfId="1378"/>
    <cellStyle name="쉼표 [0] 2 19 3 2" xfId="1379"/>
    <cellStyle name="쉼표 [0] 2 19 3 3" xfId="1380"/>
    <cellStyle name="쉼표 [0] 2 19 4" xfId="1381"/>
    <cellStyle name="쉼표 [0] 2 19 5" xfId="1382"/>
    <cellStyle name="쉼표 [0] 2 19 6" xfId="1383"/>
    <cellStyle name="쉼표 [0] 2 19 7" xfId="1384"/>
    <cellStyle name="쉼표 [0] 2 19 8" xfId="1385"/>
    <cellStyle name="쉼표 [0] 2 19 9" xfId="1386"/>
    <cellStyle name="쉼표 [0] 2 2" xfId="1387"/>
    <cellStyle name="쉼표 [0] 2 2 2" xfId="1388"/>
    <cellStyle name="쉼표 [0] 2 2 2 2" xfId="1389"/>
    <cellStyle name="쉼표 [0] 2 2 2 2 2" xfId="1390"/>
    <cellStyle name="쉼표 [0] 2 2 2 2 2 2" xfId="1391"/>
    <cellStyle name="쉼표 [0] 2 2 2 3" xfId="1392"/>
    <cellStyle name="쉼표 [0] 2 2 2 3 2" xfId="1393"/>
    <cellStyle name="쉼표 [0] 2 2 2 4" xfId="1394"/>
    <cellStyle name="쉼표 [0] 2 2 3" xfId="1395"/>
    <cellStyle name="쉼표 [0] 2 2 3 2" xfId="3218"/>
    <cellStyle name="쉼표 [0] 2 2 4" xfId="1396"/>
    <cellStyle name="쉼표 [0] 2 2 5" xfId="1397"/>
    <cellStyle name="쉼표 [0] 2 2 6" xfId="1398"/>
    <cellStyle name="쉼표 [0] 2 2 7" xfId="1399"/>
    <cellStyle name="쉼표 [0] 2 20" xfId="1400"/>
    <cellStyle name="쉼표 [0] 2 20 2" xfId="1401"/>
    <cellStyle name="쉼표 [0] 2 20 2 2" xfId="1402"/>
    <cellStyle name="쉼표 [0] 2 20 2 2 2" xfId="1403"/>
    <cellStyle name="쉼표 [0] 2 20 2 3" xfId="1404"/>
    <cellStyle name="쉼표 [0] 2 20 3" xfId="1405"/>
    <cellStyle name="쉼표 [0] 2 20 4" xfId="1406"/>
    <cellStyle name="쉼표 [0] 2 20 5" xfId="1407"/>
    <cellStyle name="쉼표 [0] 2 20 6" xfId="1408"/>
    <cellStyle name="쉼표 [0] 2 20 7" xfId="1409"/>
    <cellStyle name="쉼표 [0] 2 21" xfId="1410"/>
    <cellStyle name="쉼표 [0] 2 21 10" xfId="1411"/>
    <cellStyle name="쉼표 [0] 2 21 11" xfId="1412"/>
    <cellStyle name="쉼표 [0] 2 21 12" xfId="1413"/>
    <cellStyle name="쉼표 [0] 2 21 2" xfId="1414"/>
    <cellStyle name="쉼표 [0] 2 21 2 2" xfId="1415"/>
    <cellStyle name="쉼표 [0] 2 21 2 3" xfId="1416"/>
    <cellStyle name="쉼표 [0] 2 21 3" xfId="1417"/>
    <cellStyle name="쉼표 [0] 2 21 4" xfId="1418"/>
    <cellStyle name="쉼표 [0] 2 21 5" xfId="1419"/>
    <cellStyle name="쉼표 [0] 2 21 6" xfId="1420"/>
    <cellStyle name="쉼표 [0] 2 21 7" xfId="1421"/>
    <cellStyle name="쉼표 [0] 2 21 8" xfId="1422"/>
    <cellStyle name="쉼표 [0] 2 21 9" xfId="1423"/>
    <cellStyle name="쉼표 [0] 2 22" xfId="1424"/>
    <cellStyle name="쉼표 [0] 2 22 2" xfId="1425"/>
    <cellStyle name="쉼표 [0] 2 22 2 2" xfId="1426"/>
    <cellStyle name="쉼표 [0] 2 22 2 2 2" xfId="1427"/>
    <cellStyle name="쉼표 [0] 2 22 2 3" xfId="1428"/>
    <cellStyle name="쉼표 [0] 2 22 3" xfId="1429"/>
    <cellStyle name="쉼표 [0] 2 22 4" xfId="1430"/>
    <cellStyle name="쉼표 [0] 2 22 5" xfId="1431"/>
    <cellStyle name="쉼표 [0] 2 22 6" xfId="1432"/>
    <cellStyle name="쉼표 [0] 2 22 7" xfId="1433"/>
    <cellStyle name="쉼표 [0] 2 23" xfId="1434"/>
    <cellStyle name="쉼표 [0] 2 23 2" xfId="1435"/>
    <cellStyle name="쉼표 [0] 2 23 2 2" xfId="1436"/>
    <cellStyle name="쉼표 [0] 2 23 2 2 2" xfId="1437"/>
    <cellStyle name="쉼표 [0] 2 23 2 3" xfId="1438"/>
    <cellStyle name="쉼표 [0] 2 23 3" xfId="1439"/>
    <cellStyle name="쉼표 [0] 2 23 4" xfId="1440"/>
    <cellStyle name="쉼표 [0] 2 23 5" xfId="1441"/>
    <cellStyle name="쉼표 [0] 2 23 6" xfId="1442"/>
    <cellStyle name="쉼표 [0] 2 23 7" xfId="1443"/>
    <cellStyle name="쉼표 [0] 2 24" xfId="1444"/>
    <cellStyle name="쉼표 [0] 2 24 2" xfId="1445"/>
    <cellStyle name="쉼표 [0] 2 24 2 2" xfId="1446"/>
    <cellStyle name="쉼표 [0] 2 24 2 2 2" xfId="1447"/>
    <cellStyle name="쉼표 [0] 2 24 2 3" xfId="1448"/>
    <cellStyle name="쉼표 [0] 2 24 3" xfId="1449"/>
    <cellStyle name="쉼표 [0] 2 24 4" xfId="1450"/>
    <cellStyle name="쉼표 [0] 2 24 5" xfId="1451"/>
    <cellStyle name="쉼표 [0] 2 24 6" xfId="1452"/>
    <cellStyle name="쉼표 [0] 2 24 7" xfId="1453"/>
    <cellStyle name="쉼표 [0] 2 25" xfId="1454"/>
    <cellStyle name="쉼표 [0] 2 25 2" xfId="1455"/>
    <cellStyle name="쉼표 [0] 2 25 2 2" xfId="1456"/>
    <cellStyle name="쉼표 [0] 2 25 2 2 2" xfId="1457"/>
    <cellStyle name="쉼표 [0] 2 25 2 3" xfId="1458"/>
    <cellStyle name="쉼표 [0] 2 25 3" xfId="1459"/>
    <cellStyle name="쉼표 [0] 2 25 4" xfId="1460"/>
    <cellStyle name="쉼표 [0] 2 25 5" xfId="1461"/>
    <cellStyle name="쉼표 [0] 2 25 6" xfId="1462"/>
    <cellStyle name="쉼표 [0] 2 25 7" xfId="1463"/>
    <cellStyle name="쉼표 [0] 2 26" xfId="1464"/>
    <cellStyle name="쉼표 [0] 2 26 2" xfId="1465"/>
    <cellStyle name="쉼표 [0] 2 26 2 2" xfId="1466"/>
    <cellStyle name="쉼표 [0] 2 26 2 2 2" xfId="1467"/>
    <cellStyle name="쉼표 [0] 2 26 2 3" xfId="1468"/>
    <cellStyle name="쉼표 [0] 2 26 3" xfId="1469"/>
    <cellStyle name="쉼표 [0] 2 26 4" xfId="1470"/>
    <cellStyle name="쉼표 [0] 2 26 5" xfId="1471"/>
    <cellStyle name="쉼표 [0] 2 26 6" xfId="1472"/>
    <cellStyle name="쉼표 [0] 2 26 7" xfId="1473"/>
    <cellStyle name="쉼표 [0] 2 27" xfId="1474"/>
    <cellStyle name="쉼표 [0] 2 27 2" xfId="1475"/>
    <cellStyle name="쉼표 [0] 2 27 2 2" xfId="1476"/>
    <cellStyle name="쉼표 [0] 2 27 2 2 2" xfId="1477"/>
    <cellStyle name="쉼표 [0] 2 27 2 3" xfId="1478"/>
    <cellStyle name="쉼표 [0] 2 27 3" xfId="1479"/>
    <cellStyle name="쉼표 [0] 2 27 4" xfId="1480"/>
    <cellStyle name="쉼표 [0] 2 27 5" xfId="1481"/>
    <cellStyle name="쉼표 [0] 2 27 6" xfId="1482"/>
    <cellStyle name="쉼표 [0] 2 27 7" xfId="1483"/>
    <cellStyle name="쉼표 [0] 2 28" xfId="1484"/>
    <cellStyle name="쉼표 [0] 2 28 2" xfId="1485"/>
    <cellStyle name="쉼표 [0] 2 28 2 2" xfId="1486"/>
    <cellStyle name="쉼표 [0] 2 28 2 2 2" xfId="1487"/>
    <cellStyle name="쉼표 [0] 2 28 2 3" xfId="1488"/>
    <cellStyle name="쉼표 [0] 2 28 3" xfId="1489"/>
    <cellStyle name="쉼표 [0] 2 28 4" xfId="1490"/>
    <cellStyle name="쉼표 [0] 2 28 5" xfId="1491"/>
    <cellStyle name="쉼표 [0] 2 28 6" xfId="1492"/>
    <cellStyle name="쉼표 [0] 2 28 7" xfId="1493"/>
    <cellStyle name="쉼표 [0] 2 29" xfId="1494"/>
    <cellStyle name="쉼표 [0] 2 29 2" xfId="1495"/>
    <cellStyle name="쉼표 [0] 2 29 2 2" xfId="1496"/>
    <cellStyle name="쉼표 [0] 2 29 2 2 2" xfId="1497"/>
    <cellStyle name="쉼표 [0] 2 29 2 3" xfId="1498"/>
    <cellStyle name="쉼표 [0] 2 29 3" xfId="1499"/>
    <cellStyle name="쉼표 [0] 2 29 4" xfId="1500"/>
    <cellStyle name="쉼표 [0] 2 29 5" xfId="1501"/>
    <cellStyle name="쉼표 [0] 2 29 6" xfId="1502"/>
    <cellStyle name="쉼표 [0] 2 29 7" xfId="1503"/>
    <cellStyle name="쉼표 [0] 2 3" xfId="1504"/>
    <cellStyle name="쉼표 [0] 2 3 2" xfId="1505"/>
    <cellStyle name="쉼표 [0] 2 3 2 2" xfId="1506"/>
    <cellStyle name="쉼표 [0] 2 3 2 2 2" xfId="1507"/>
    <cellStyle name="쉼표 [0] 2 3 2 3" xfId="1508"/>
    <cellStyle name="쉼표 [0] 2 3 3" xfId="1509"/>
    <cellStyle name="쉼표 [0] 2 3 4" xfId="1510"/>
    <cellStyle name="쉼표 [0] 2 3 5" xfId="1511"/>
    <cellStyle name="쉼표 [0] 2 3 6" xfId="1512"/>
    <cellStyle name="쉼표 [0] 2 3 7" xfId="1513"/>
    <cellStyle name="쉼표 [0] 2 30" xfId="1514"/>
    <cellStyle name="쉼표 [0] 2 30 2" xfId="1515"/>
    <cellStyle name="쉼표 [0] 2 30 2 2" xfId="1516"/>
    <cellStyle name="쉼표 [0] 2 30 3" xfId="1517"/>
    <cellStyle name="쉼표 [0] 2 30 3 2" xfId="1518"/>
    <cellStyle name="쉼표 [0] 2 31" xfId="1519"/>
    <cellStyle name="쉼표 [0] 2 31 2" xfId="1520"/>
    <cellStyle name="쉼표 [0] 2 32" xfId="1521"/>
    <cellStyle name="쉼표 [0] 2 32 2" xfId="1522"/>
    <cellStyle name="쉼표 [0] 2 33" xfId="1523"/>
    <cellStyle name="쉼표 [0] 2 33 2" xfId="1524"/>
    <cellStyle name="쉼표 [0] 2 34" xfId="1525"/>
    <cellStyle name="쉼표 [0] 2 34 2" xfId="1526"/>
    <cellStyle name="쉼표 [0] 2 35" xfId="1527"/>
    <cellStyle name="쉼표 [0] 2 35 2" xfId="1528"/>
    <cellStyle name="쉼표 [0] 2 36" xfId="1529"/>
    <cellStyle name="쉼표 [0] 2 36 2" xfId="1530"/>
    <cellStyle name="쉼표 [0] 2 37" xfId="1531"/>
    <cellStyle name="쉼표 [0] 2 37 2" xfId="1532"/>
    <cellStyle name="쉼표 [0] 2 38" xfId="1533"/>
    <cellStyle name="쉼표 [0] 2 38 2" xfId="1534"/>
    <cellStyle name="쉼표 [0] 2 39" xfId="1535"/>
    <cellStyle name="쉼표 [0] 2 39 2" xfId="1536"/>
    <cellStyle name="쉼표 [0] 2 4" xfId="1537"/>
    <cellStyle name="쉼표 [0] 2 4 2" xfId="1538"/>
    <cellStyle name="쉼표 [0] 2 4 2 2" xfId="1539"/>
    <cellStyle name="쉼표 [0] 2 4 2 2 2" xfId="1540"/>
    <cellStyle name="쉼표 [0] 2 4 2 3" xfId="1541"/>
    <cellStyle name="쉼표 [0] 2 4 3" xfId="1542"/>
    <cellStyle name="쉼표 [0] 2 4 4" xfId="1543"/>
    <cellStyle name="쉼표 [0] 2 4 5" xfId="1544"/>
    <cellStyle name="쉼표 [0] 2 4 6" xfId="1545"/>
    <cellStyle name="쉼표 [0] 2 4 7" xfId="1546"/>
    <cellStyle name="쉼표 [0] 2 40" xfId="1547"/>
    <cellStyle name="쉼표 [0] 2 40 2" xfId="1548"/>
    <cellStyle name="쉼표 [0] 2 41" xfId="1549"/>
    <cellStyle name="쉼표 [0] 2 41 2" xfId="1550"/>
    <cellStyle name="쉼표 [0] 2 42" xfId="1551"/>
    <cellStyle name="쉼표 [0] 2 42 2" xfId="1552"/>
    <cellStyle name="쉼표 [0] 2 43" xfId="1553"/>
    <cellStyle name="쉼표 [0] 2 43 2" xfId="1554"/>
    <cellStyle name="쉼표 [0] 2 44" xfId="1555"/>
    <cellStyle name="쉼표 [0] 2 44 2" xfId="1556"/>
    <cellStyle name="쉼표 [0] 2 45" xfId="1557"/>
    <cellStyle name="쉼표 [0] 2 45 2" xfId="1558"/>
    <cellStyle name="쉼표 [0] 2 46" xfId="1559"/>
    <cellStyle name="쉼표 [0] 2 46 2" xfId="1560"/>
    <cellStyle name="쉼표 [0] 2 47" xfId="1561"/>
    <cellStyle name="쉼표 [0] 2 47 2" xfId="1562"/>
    <cellStyle name="쉼표 [0] 2 48" xfId="1563"/>
    <cellStyle name="쉼표 [0] 2 48 2" xfId="1564"/>
    <cellStyle name="쉼표 [0] 2 49" xfId="1565"/>
    <cellStyle name="쉼표 [0] 2 49 2" xfId="1566"/>
    <cellStyle name="쉼표 [0] 2 5" xfId="1567"/>
    <cellStyle name="쉼표 [0] 2 5 2" xfId="1568"/>
    <cellStyle name="쉼표 [0] 2 5 2 2" xfId="1569"/>
    <cellStyle name="쉼표 [0] 2 5 2 2 2" xfId="1570"/>
    <cellStyle name="쉼표 [0] 2 5 2 3" xfId="1571"/>
    <cellStyle name="쉼표 [0] 2 5 3" xfId="1572"/>
    <cellStyle name="쉼표 [0] 2 5 4" xfId="1573"/>
    <cellStyle name="쉼표 [0] 2 5 5" xfId="1574"/>
    <cellStyle name="쉼표 [0] 2 5 6" xfId="1575"/>
    <cellStyle name="쉼표 [0] 2 5 7" xfId="1576"/>
    <cellStyle name="쉼표 [0] 2 50" xfId="1577"/>
    <cellStyle name="쉼표 [0] 2 51" xfId="1578"/>
    <cellStyle name="쉼표 [0] 2 52" xfId="3146"/>
    <cellStyle name="쉼표 [0] 2 53" xfId="1252"/>
    <cellStyle name="쉼표 [0] 2 6" xfId="1579"/>
    <cellStyle name="쉼표 [0] 2 6 2" xfId="1580"/>
    <cellStyle name="쉼표 [0] 2 6 2 2" xfId="1581"/>
    <cellStyle name="쉼표 [0] 2 6 2 2 2" xfId="1582"/>
    <cellStyle name="쉼표 [0] 2 6 2 3" xfId="1583"/>
    <cellStyle name="쉼표 [0] 2 6 3" xfId="1584"/>
    <cellStyle name="쉼표 [0] 2 6 4" xfId="1585"/>
    <cellStyle name="쉼표 [0] 2 6 5" xfId="1586"/>
    <cellStyle name="쉼표 [0] 2 6 6" xfId="1587"/>
    <cellStyle name="쉼표 [0] 2 6 7" xfId="1588"/>
    <cellStyle name="쉼표 [0] 2 7" xfId="1589"/>
    <cellStyle name="쉼표 [0] 2 7 2" xfId="1590"/>
    <cellStyle name="쉼표 [0] 2 7 2 2" xfId="1591"/>
    <cellStyle name="쉼표 [0] 2 7 2 2 2" xfId="1592"/>
    <cellStyle name="쉼표 [0] 2 7 2 3" xfId="1593"/>
    <cellStyle name="쉼표 [0] 2 7 3" xfId="1594"/>
    <cellStyle name="쉼표 [0] 2 7 4" xfId="1595"/>
    <cellStyle name="쉼표 [0] 2 7 5" xfId="1596"/>
    <cellStyle name="쉼표 [0] 2 7 6" xfId="1597"/>
    <cellStyle name="쉼표 [0] 2 7 7" xfId="1598"/>
    <cellStyle name="쉼표 [0] 2 8" xfId="1599"/>
    <cellStyle name="쉼표 [0] 2 8 2" xfId="1600"/>
    <cellStyle name="쉼표 [0] 2 8 2 2" xfId="1601"/>
    <cellStyle name="쉼표 [0] 2 8 2 2 2" xfId="1602"/>
    <cellStyle name="쉼표 [0] 2 8 2 3" xfId="1603"/>
    <cellStyle name="쉼표 [0] 2 8 3" xfId="1604"/>
    <cellStyle name="쉼표 [0] 2 8 4" xfId="1605"/>
    <cellStyle name="쉼표 [0] 2 8 5" xfId="1606"/>
    <cellStyle name="쉼표 [0] 2 8 6" xfId="1607"/>
    <cellStyle name="쉼표 [0] 2 8 7" xfId="1608"/>
    <cellStyle name="쉼표 [0] 2 9" xfId="1609"/>
    <cellStyle name="쉼표 [0] 2 9 2" xfId="1610"/>
    <cellStyle name="쉼표 [0] 2 9 2 2" xfId="1611"/>
    <cellStyle name="쉼표 [0] 2 9 2 2 2" xfId="1612"/>
    <cellStyle name="쉼표 [0] 2 9 2 3" xfId="1613"/>
    <cellStyle name="쉼표 [0] 2 9 3" xfId="1614"/>
    <cellStyle name="쉼표 [0] 2 9 4" xfId="1615"/>
    <cellStyle name="쉼표 [0] 2 9 5" xfId="1616"/>
    <cellStyle name="쉼표 [0] 2 9 6" xfId="1617"/>
    <cellStyle name="쉼표 [0] 2 9 7" xfId="1618"/>
    <cellStyle name="쉼표 [0] 20" xfId="1619"/>
    <cellStyle name="쉼표 [0] 21" xfId="1620"/>
    <cellStyle name="쉼표 [0] 21 2" xfId="1621"/>
    <cellStyle name="쉼표 [0] 21 2 2" xfId="1622"/>
    <cellStyle name="쉼표 [0] 21 2 3" xfId="1623"/>
    <cellStyle name="쉼표 [0] 21 2 4" xfId="1624"/>
    <cellStyle name="쉼표 [0] 21 2 5" xfId="1625"/>
    <cellStyle name="쉼표 [0] 21 2 5 2" xfId="1626"/>
    <cellStyle name="쉼표 [0] 21 2 6" xfId="1627"/>
    <cellStyle name="쉼표 [0] 21 3" xfId="1628"/>
    <cellStyle name="쉼표 [0] 21 3 2" xfId="1629"/>
    <cellStyle name="쉼표 [0] 21 3 3" xfId="1630"/>
    <cellStyle name="쉼표 [0] 21 3 4" xfId="1631"/>
    <cellStyle name="쉼표 [0] 21 3 5" xfId="1632"/>
    <cellStyle name="쉼표 [0] 21 4" xfId="1633"/>
    <cellStyle name="쉼표 [0] 21 4 2" xfId="1634"/>
    <cellStyle name="쉼표 [0] 21 4 3" xfId="1635"/>
    <cellStyle name="쉼표 [0] 21 4 4" xfId="1636"/>
    <cellStyle name="쉼표 [0] 21 4 5" xfId="1637"/>
    <cellStyle name="쉼표 [0] 22" xfId="1638"/>
    <cellStyle name="쉼표 [0] 23" xfId="1639"/>
    <cellStyle name="쉼표 [0] 24" xfId="1640"/>
    <cellStyle name="쉼표 [0] 25" xfId="1641"/>
    <cellStyle name="쉼표 [0] 26" xfId="1642"/>
    <cellStyle name="쉼표 [0] 27" xfId="1643"/>
    <cellStyle name="쉼표 [0] 27 2" xfId="1644"/>
    <cellStyle name="쉼표 [0] 28" xfId="1645"/>
    <cellStyle name="쉼표 [0] 29" xfId="1646"/>
    <cellStyle name="쉼표 [0] 3" xfId="1647"/>
    <cellStyle name="쉼표 [0] 3 10" xfId="1648"/>
    <cellStyle name="쉼표 [0] 3 10 2" xfId="1649"/>
    <cellStyle name="쉼표 [0] 3 10 2 2" xfId="1650"/>
    <cellStyle name="쉼표 [0] 3 11" xfId="1651"/>
    <cellStyle name="쉼표 [0] 3 12" xfId="1652"/>
    <cellStyle name="쉼표 [0] 3 13" xfId="1653"/>
    <cellStyle name="쉼표 [0] 3 14" xfId="1654"/>
    <cellStyle name="쉼표 [0] 3 15" xfId="1655"/>
    <cellStyle name="쉼표 [0] 3 16" xfId="1656"/>
    <cellStyle name="쉼표 [0] 3 17" xfId="1657"/>
    <cellStyle name="쉼표 [0] 3 18" xfId="1658"/>
    <cellStyle name="쉼표 [0] 3 19" xfId="1659"/>
    <cellStyle name="쉼표 [0] 3 2" xfId="1660"/>
    <cellStyle name="쉼표 [0] 3 2 10" xfId="1661"/>
    <cellStyle name="쉼표 [0] 3 2 10 2" xfId="1662"/>
    <cellStyle name="쉼표 [0] 3 2 10 2 2" xfId="1663"/>
    <cellStyle name="쉼표 [0] 3 2 10 2 2 2" xfId="1664"/>
    <cellStyle name="쉼표 [0] 3 2 10 3" xfId="1665"/>
    <cellStyle name="쉼표 [0] 3 2 10 4" xfId="1666"/>
    <cellStyle name="쉼표 [0] 3 2 10 5" xfId="1667"/>
    <cellStyle name="쉼표 [0] 3 2 10 6" xfId="1668"/>
    <cellStyle name="쉼표 [0] 3 2 11" xfId="1669"/>
    <cellStyle name="쉼표 [0] 3 2 11 2" xfId="1670"/>
    <cellStyle name="쉼표 [0] 3 2 11 2 2" xfId="1671"/>
    <cellStyle name="쉼표 [0] 3 2 11 2 2 2" xfId="1672"/>
    <cellStyle name="쉼표 [0] 3 2 11 3" xfId="1673"/>
    <cellStyle name="쉼표 [0] 3 2 11 4" xfId="1674"/>
    <cellStyle name="쉼표 [0] 3 2 11 5" xfId="1675"/>
    <cellStyle name="쉼표 [0] 3 2 11 6" xfId="1676"/>
    <cellStyle name="쉼표 [0] 3 2 12" xfId="1677"/>
    <cellStyle name="쉼표 [0] 3 2 12 2" xfId="1678"/>
    <cellStyle name="쉼표 [0] 3 2 12 2 2" xfId="1679"/>
    <cellStyle name="쉼표 [0] 3 2 12 2 2 2" xfId="1680"/>
    <cellStyle name="쉼표 [0] 3 2 12 3" xfId="1681"/>
    <cellStyle name="쉼표 [0] 3 2 12 4" xfId="1682"/>
    <cellStyle name="쉼표 [0] 3 2 12 5" xfId="1683"/>
    <cellStyle name="쉼표 [0] 3 2 12 6" xfId="1684"/>
    <cellStyle name="쉼표 [0] 3 2 13" xfId="1685"/>
    <cellStyle name="쉼표 [0] 3 2 13 2" xfId="1686"/>
    <cellStyle name="쉼표 [0] 3 2 13 2 2" xfId="1687"/>
    <cellStyle name="쉼표 [0] 3 2 13 2 2 2" xfId="1688"/>
    <cellStyle name="쉼표 [0] 3 2 13 3" xfId="1689"/>
    <cellStyle name="쉼표 [0] 3 2 13 4" xfId="1690"/>
    <cellStyle name="쉼표 [0] 3 2 13 5" xfId="1691"/>
    <cellStyle name="쉼표 [0] 3 2 13 6" xfId="1692"/>
    <cellStyle name="쉼표 [0] 3 2 14" xfId="1693"/>
    <cellStyle name="쉼표 [0] 3 2 14 2" xfId="1694"/>
    <cellStyle name="쉼표 [0] 3 2 14 2 2" xfId="1695"/>
    <cellStyle name="쉼표 [0] 3 2 14 2 2 2" xfId="1696"/>
    <cellStyle name="쉼표 [0] 3 2 14 3" xfId="1697"/>
    <cellStyle name="쉼표 [0] 3 2 14 4" xfId="1698"/>
    <cellStyle name="쉼표 [0] 3 2 14 5" xfId="1699"/>
    <cellStyle name="쉼표 [0] 3 2 14 6" xfId="1700"/>
    <cellStyle name="쉼표 [0] 3 2 15" xfId="1701"/>
    <cellStyle name="쉼표 [0] 3 2 15 2" xfId="1702"/>
    <cellStyle name="쉼표 [0] 3 2 15 2 2" xfId="1703"/>
    <cellStyle name="쉼표 [0] 3 2 15 2 2 2" xfId="1704"/>
    <cellStyle name="쉼표 [0] 3 2 15 3" xfId="1705"/>
    <cellStyle name="쉼표 [0] 3 2 15 4" xfId="1706"/>
    <cellStyle name="쉼표 [0] 3 2 15 5" xfId="1707"/>
    <cellStyle name="쉼표 [0] 3 2 15 6" xfId="1708"/>
    <cellStyle name="쉼표 [0] 3 2 16" xfId="1709"/>
    <cellStyle name="쉼표 [0] 3 2 16 2" xfId="1710"/>
    <cellStyle name="쉼표 [0] 3 2 16 2 2" xfId="1711"/>
    <cellStyle name="쉼표 [0] 3 2 16 2 2 2" xfId="1712"/>
    <cellStyle name="쉼표 [0] 3 2 16 3" xfId="1713"/>
    <cellStyle name="쉼표 [0] 3 2 16 4" xfId="1714"/>
    <cellStyle name="쉼표 [0] 3 2 16 5" xfId="1715"/>
    <cellStyle name="쉼표 [0] 3 2 16 6" xfId="1716"/>
    <cellStyle name="쉼표 [0] 3 2 17" xfId="1717"/>
    <cellStyle name="쉼표 [0] 3 2 17 2" xfId="1718"/>
    <cellStyle name="쉼표 [0] 3 2 17 2 2" xfId="1719"/>
    <cellStyle name="쉼표 [0] 3 2 17 2 2 2" xfId="1720"/>
    <cellStyle name="쉼표 [0] 3 2 17 3" xfId="1721"/>
    <cellStyle name="쉼표 [0] 3 2 17 4" xfId="1722"/>
    <cellStyle name="쉼표 [0] 3 2 17 5" xfId="1723"/>
    <cellStyle name="쉼표 [0] 3 2 17 6" xfId="1724"/>
    <cellStyle name="쉼표 [0] 3 2 18" xfId="1725"/>
    <cellStyle name="쉼표 [0] 3 2 18 2" xfId="1726"/>
    <cellStyle name="쉼표 [0] 3 2 18 2 2" xfId="1727"/>
    <cellStyle name="쉼표 [0] 3 2 18 2 2 2" xfId="1728"/>
    <cellStyle name="쉼표 [0] 3 2 18 3" xfId="1729"/>
    <cellStyle name="쉼표 [0] 3 2 18 4" xfId="1730"/>
    <cellStyle name="쉼표 [0] 3 2 18 5" xfId="1731"/>
    <cellStyle name="쉼표 [0] 3 2 18 6" xfId="1732"/>
    <cellStyle name="쉼표 [0] 3 2 19" xfId="1733"/>
    <cellStyle name="쉼표 [0] 3 2 19 2" xfId="1734"/>
    <cellStyle name="쉼표 [0] 3 2 19 2 2" xfId="1735"/>
    <cellStyle name="쉼표 [0] 3 2 19 2 2 2" xfId="1736"/>
    <cellStyle name="쉼표 [0] 3 2 19 3" xfId="1737"/>
    <cellStyle name="쉼표 [0] 3 2 19 4" xfId="1738"/>
    <cellStyle name="쉼표 [0] 3 2 19 5" xfId="1739"/>
    <cellStyle name="쉼표 [0] 3 2 19 6" xfId="1740"/>
    <cellStyle name="쉼표 [0] 3 2 2" xfId="1741"/>
    <cellStyle name="쉼표 [0] 3 2 2 2" xfId="1742"/>
    <cellStyle name="쉼표 [0] 3 2 2 2 2" xfId="1743"/>
    <cellStyle name="쉼표 [0] 3 2 2 2 2 2" xfId="1744"/>
    <cellStyle name="쉼표 [0] 3 2 2 2 2 3" xfId="1745"/>
    <cellStyle name="쉼표 [0] 3 2 2 2 2 4" xfId="1746"/>
    <cellStyle name="쉼표 [0] 3 2 2 2 2 5" xfId="1747"/>
    <cellStyle name="쉼표 [0] 3 2 2 2 2 5 2" xfId="1748"/>
    <cellStyle name="쉼표 [0] 3 2 2 2 2 6" xfId="1749"/>
    <cellStyle name="쉼표 [0] 3 2 2 2 3" xfId="1750"/>
    <cellStyle name="쉼표 [0] 3 2 2 2 3 2" xfId="1751"/>
    <cellStyle name="쉼표 [0] 3 2 2 2 3 3" xfId="1752"/>
    <cellStyle name="쉼표 [0] 3 2 2 2 3 4" xfId="1753"/>
    <cellStyle name="쉼표 [0] 3 2 2 2 3 5" xfId="1754"/>
    <cellStyle name="쉼표 [0] 3 2 2 2 4" xfId="1755"/>
    <cellStyle name="쉼표 [0] 3 2 2 2 4 2" xfId="1756"/>
    <cellStyle name="쉼표 [0] 3 2 2 2 4 3" xfId="1757"/>
    <cellStyle name="쉼표 [0] 3 2 2 2 4 4" xfId="1758"/>
    <cellStyle name="쉼표 [0] 3 2 2 2 4 5" xfId="1759"/>
    <cellStyle name="쉼표 [0] 3 2 2 2 5" xfId="1760"/>
    <cellStyle name="쉼표 [0] 3 2 2 3" xfId="1761"/>
    <cellStyle name="쉼표 [0] 3 2 2 4" xfId="1762"/>
    <cellStyle name="쉼표 [0] 3 2 2 5" xfId="1763"/>
    <cellStyle name="쉼표 [0] 3 2 2 6" xfId="1764"/>
    <cellStyle name="쉼표 [0] 3 2 2 7" xfId="1765"/>
    <cellStyle name="쉼표 [0] 3 2 2 8" xfId="1766"/>
    <cellStyle name="쉼표 [0] 3 2 2 9" xfId="1767"/>
    <cellStyle name="쉼표 [0] 3 2 20" xfId="1768"/>
    <cellStyle name="쉼표 [0] 3 2 20 2" xfId="1769"/>
    <cellStyle name="쉼표 [0] 3 2 20 2 2" xfId="1770"/>
    <cellStyle name="쉼표 [0] 3 2 20 2 2 2" xfId="1771"/>
    <cellStyle name="쉼표 [0] 3 2 20 3" xfId="1772"/>
    <cellStyle name="쉼표 [0] 3 2 20 4" xfId="1773"/>
    <cellStyle name="쉼표 [0] 3 2 20 5" xfId="1774"/>
    <cellStyle name="쉼표 [0] 3 2 20 6" xfId="1775"/>
    <cellStyle name="쉼표 [0] 3 2 21" xfId="1776"/>
    <cellStyle name="쉼표 [0] 3 2 21 2" xfId="1777"/>
    <cellStyle name="쉼표 [0] 3 2 21 2 2" xfId="1778"/>
    <cellStyle name="쉼표 [0] 3 2 21 2 2 2" xfId="1779"/>
    <cellStyle name="쉼표 [0] 3 2 21 3" xfId="1780"/>
    <cellStyle name="쉼표 [0] 3 2 21 4" xfId="1781"/>
    <cellStyle name="쉼표 [0] 3 2 21 5" xfId="1782"/>
    <cellStyle name="쉼표 [0] 3 2 21 6" xfId="1783"/>
    <cellStyle name="쉼표 [0] 3 2 22" xfId="1784"/>
    <cellStyle name="쉼표 [0] 3 2 22 2" xfId="1785"/>
    <cellStyle name="쉼표 [0] 3 2 22 2 2" xfId="1786"/>
    <cellStyle name="쉼표 [0] 3 2 22 2 2 2" xfId="1787"/>
    <cellStyle name="쉼표 [0] 3 2 22 3" xfId="1788"/>
    <cellStyle name="쉼표 [0] 3 2 22 4" xfId="1789"/>
    <cellStyle name="쉼표 [0] 3 2 22 5" xfId="1790"/>
    <cellStyle name="쉼표 [0] 3 2 22 6" xfId="1791"/>
    <cellStyle name="쉼표 [0] 3 2 23" xfId="1792"/>
    <cellStyle name="쉼표 [0] 3 2 23 2" xfId="1793"/>
    <cellStyle name="쉼표 [0] 3 2 23 2 2" xfId="1794"/>
    <cellStyle name="쉼표 [0] 3 2 23 2 2 2" xfId="1795"/>
    <cellStyle name="쉼표 [0] 3 2 23 3" xfId="1796"/>
    <cellStyle name="쉼표 [0] 3 2 23 4" xfId="1797"/>
    <cellStyle name="쉼표 [0] 3 2 23 5" xfId="1798"/>
    <cellStyle name="쉼표 [0] 3 2 23 6" xfId="1799"/>
    <cellStyle name="쉼표 [0] 3 2 24" xfId="1800"/>
    <cellStyle name="쉼표 [0] 3 2 24 2" xfId="1801"/>
    <cellStyle name="쉼표 [0] 3 2 24 2 2" xfId="1802"/>
    <cellStyle name="쉼표 [0] 3 2 24 2 2 2" xfId="1803"/>
    <cellStyle name="쉼표 [0] 3 2 24 3" xfId="1804"/>
    <cellStyle name="쉼표 [0] 3 2 24 4" xfId="1805"/>
    <cellStyle name="쉼표 [0] 3 2 24 5" xfId="1806"/>
    <cellStyle name="쉼표 [0] 3 2 24 6" xfId="1807"/>
    <cellStyle name="쉼표 [0] 3 2 25" xfId="1808"/>
    <cellStyle name="쉼표 [0] 3 2 25 2" xfId="1809"/>
    <cellStyle name="쉼표 [0] 3 2 25 2 2" xfId="1810"/>
    <cellStyle name="쉼표 [0] 3 2 25 2 2 2" xfId="1811"/>
    <cellStyle name="쉼표 [0] 3 2 25 3" xfId="1812"/>
    <cellStyle name="쉼표 [0] 3 2 25 4" xfId="1813"/>
    <cellStyle name="쉼표 [0] 3 2 25 5" xfId="1814"/>
    <cellStyle name="쉼표 [0] 3 2 25 6" xfId="1815"/>
    <cellStyle name="쉼표 [0] 3 2 26" xfId="1816"/>
    <cellStyle name="쉼표 [0] 3 2 26 2" xfId="1817"/>
    <cellStyle name="쉼표 [0] 3 2 26 2 2" xfId="1818"/>
    <cellStyle name="쉼표 [0] 3 2 26 2 2 2" xfId="1819"/>
    <cellStyle name="쉼표 [0] 3 2 26 3" xfId="1820"/>
    <cellStyle name="쉼표 [0] 3 2 26 4" xfId="1821"/>
    <cellStyle name="쉼표 [0] 3 2 26 5" xfId="1822"/>
    <cellStyle name="쉼표 [0] 3 2 26 6" xfId="1823"/>
    <cellStyle name="쉼표 [0] 3 2 27" xfId="1824"/>
    <cellStyle name="쉼표 [0] 3 2 27 2" xfId="1825"/>
    <cellStyle name="쉼표 [0] 3 2 27 2 2" xfId="1826"/>
    <cellStyle name="쉼표 [0] 3 2 27 2 2 2" xfId="1827"/>
    <cellStyle name="쉼표 [0] 3 2 27 3" xfId="1828"/>
    <cellStyle name="쉼표 [0] 3 2 27 4" xfId="1829"/>
    <cellStyle name="쉼표 [0] 3 2 27 5" xfId="1830"/>
    <cellStyle name="쉼표 [0] 3 2 27 6" xfId="1831"/>
    <cellStyle name="쉼표 [0] 3 2 28" xfId="1832"/>
    <cellStyle name="쉼표 [0] 3 2 28 2" xfId="1833"/>
    <cellStyle name="쉼표 [0] 3 2 28 2 2" xfId="1834"/>
    <cellStyle name="쉼표 [0] 3 2 28 2 2 2" xfId="1835"/>
    <cellStyle name="쉼표 [0] 3 2 28 3" xfId="1836"/>
    <cellStyle name="쉼표 [0] 3 2 28 4" xfId="1837"/>
    <cellStyle name="쉼표 [0] 3 2 28 5" xfId="1838"/>
    <cellStyle name="쉼표 [0] 3 2 28 6" xfId="1839"/>
    <cellStyle name="쉼표 [0] 3 2 29" xfId="1840"/>
    <cellStyle name="쉼표 [0] 3 2 29 2" xfId="1841"/>
    <cellStyle name="쉼표 [0] 3 2 29 2 2" xfId="1842"/>
    <cellStyle name="쉼표 [0] 3 2 29 2 2 2" xfId="1843"/>
    <cellStyle name="쉼표 [0] 3 2 29 3" xfId="1844"/>
    <cellStyle name="쉼표 [0] 3 2 29 4" xfId="1845"/>
    <cellStyle name="쉼표 [0] 3 2 29 5" xfId="1846"/>
    <cellStyle name="쉼표 [0] 3 2 29 6" xfId="1847"/>
    <cellStyle name="쉼표 [0] 3 2 3" xfId="1848"/>
    <cellStyle name="쉼표 [0] 3 2 3 2" xfId="1849"/>
    <cellStyle name="쉼표 [0] 3 2 3 2 2" xfId="1850"/>
    <cellStyle name="쉼표 [0] 3 2 3 2 2 2" xfId="1851"/>
    <cellStyle name="쉼표 [0] 3 2 3 3" xfId="1852"/>
    <cellStyle name="쉼표 [0] 3 2 3 4" xfId="1853"/>
    <cellStyle name="쉼표 [0] 3 2 3 5" xfId="1854"/>
    <cellStyle name="쉼표 [0] 3 2 3 6" xfId="1855"/>
    <cellStyle name="쉼표 [0] 3 2 30" xfId="1856"/>
    <cellStyle name="쉼표 [0] 3 2 30 2" xfId="1857"/>
    <cellStyle name="쉼표 [0] 3 2 30 2 2" xfId="1858"/>
    <cellStyle name="쉼표 [0] 3 2 30 2 2 2" xfId="1859"/>
    <cellStyle name="쉼표 [0] 3 2 30 3" xfId="1860"/>
    <cellStyle name="쉼표 [0] 3 2 30 4" xfId="1861"/>
    <cellStyle name="쉼표 [0] 3 2 30 5" xfId="1862"/>
    <cellStyle name="쉼표 [0] 3 2 30 6" xfId="1863"/>
    <cellStyle name="쉼표 [0] 3 2 31" xfId="1864"/>
    <cellStyle name="쉼표 [0] 3 2 31 2" xfId="1865"/>
    <cellStyle name="쉼표 [0] 3 2 31 2 2" xfId="1866"/>
    <cellStyle name="쉼표 [0] 3 2 31 2 2 2" xfId="1867"/>
    <cellStyle name="쉼표 [0] 3 2 31 3" xfId="1868"/>
    <cellStyle name="쉼표 [0] 3 2 31 4" xfId="1869"/>
    <cellStyle name="쉼표 [0] 3 2 31 5" xfId="1870"/>
    <cellStyle name="쉼표 [0] 3 2 31 6" xfId="1871"/>
    <cellStyle name="쉼표 [0] 3 2 32" xfId="1872"/>
    <cellStyle name="쉼표 [0] 3 2 32 2" xfId="1873"/>
    <cellStyle name="쉼표 [0] 3 2 32 2 2" xfId="1874"/>
    <cellStyle name="쉼표 [0] 3 2 32 2 2 2" xfId="1875"/>
    <cellStyle name="쉼표 [0] 3 2 32 3" xfId="1876"/>
    <cellStyle name="쉼표 [0] 3 2 32 4" xfId="1877"/>
    <cellStyle name="쉼표 [0] 3 2 32 5" xfId="1878"/>
    <cellStyle name="쉼표 [0] 3 2 32 6" xfId="1879"/>
    <cellStyle name="쉼표 [0] 3 2 33" xfId="1880"/>
    <cellStyle name="쉼표 [0] 3 2 33 2" xfId="1881"/>
    <cellStyle name="쉼표 [0] 3 2 33 2 2" xfId="1882"/>
    <cellStyle name="쉼표 [0] 3 2 33 2 2 2" xfId="1883"/>
    <cellStyle name="쉼표 [0] 3 2 33 3" xfId="1884"/>
    <cellStyle name="쉼표 [0] 3 2 33 4" xfId="1885"/>
    <cellStyle name="쉼표 [0] 3 2 33 5" xfId="1886"/>
    <cellStyle name="쉼표 [0] 3 2 33 6" xfId="1887"/>
    <cellStyle name="쉼표 [0] 3 2 34" xfId="1888"/>
    <cellStyle name="쉼표 [0] 3 2 34 2" xfId="1889"/>
    <cellStyle name="쉼표 [0] 3 2 34 2 2" xfId="1890"/>
    <cellStyle name="쉼표 [0] 3 2 34 2 2 2" xfId="1891"/>
    <cellStyle name="쉼표 [0] 3 2 34 3" xfId="1892"/>
    <cellStyle name="쉼표 [0] 3 2 34 4" xfId="1893"/>
    <cellStyle name="쉼표 [0] 3 2 34 5" xfId="1894"/>
    <cellStyle name="쉼표 [0] 3 2 34 6" xfId="1895"/>
    <cellStyle name="쉼표 [0] 3 2 35" xfId="1896"/>
    <cellStyle name="쉼표 [0] 3 2 35 2" xfId="1897"/>
    <cellStyle name="쉼표 [0] 3 2 35 2 2" xfId="1898"/>
    <cellStyle name="쉼표 [0] 3 2 35 2 2 2" xfId="1899"/>
    <cellStyle name="쉼표 [0] 3 2 35 3" xfId="1900"/>
    <cellStyle name="쉼표 [0] 3 2 35 4" xfId="1901"/>
    <cellStyle name="쉼표 [0] 3 2 35 5" xfId="1902"/>
    <cellStyle name="쉼표 [0] 3 2 35 6" xfId="1903"/>
    <cellStyle name="쉼표 [0] 3 2 36" xfId="1904"/>
    <cellStyle name="쉼표 [0] 3 2 36 2" xfId="1905"/>
    <cellStyle name="쉼표 [0] 3 2 36 3" xfId="1906"/>
    <cellStyle name="쉼표 [0] 3 2 36 4" xfId="1907"/>
    <cellStyle name="쉼표 [0] 3 2 36 5" xfId="1908"/>
    <cellStyle name="쉼표 [0] 3 2 36 5 2" xfId="1909"/>
    <cellStyle name="쉼표 [0] 3 2 36 6" xfId="1910"/>
    <cellStyle name="쉼표 [0] 3 2 37" xfId="1911"/>
    <cellStyle name="쉼표 [0] 3 2 37 2" xfId="1912"/>
    <cellStyle name="쉼표 [0] 3 2 37 3" xfId="1913"/>
    <cellStyle name="쉼표 [0] 3 2 37 4" xfId="1914"/>
    <cellStyle name="쉼표 [0] 3 2 37 5" xfId="1915"/>
    <cellStyle name="쉼표 [0] 3 2 38" xfId="1916"/>
    <cellStyle name="쉼표 [0] 3 2 38 2" xfId="1917"/>
    <cellStyle name="쉼표 [0] 3 2 38 3" xfId="1918"/>
    <cellStyle name="쉼표 [0] 3 2 38 4" xfId="1919"/>
    <cellStyle name="쉼표 [0] 3 2 38 5" xfId="1920"/>
    <cellStyle name="쉼표 [0] 3 2 39" xfId="1921"/>
    <cellStyle name="쉼표 [0] 3 2 39 2" xfId="1922"/>
    <cellStyle name="쉼표 [0] 3 2 4" xfId="1923"/>
    <cellStyle name="쉼표 [0] 3 2 4 2" xfId="1924"/>
    <cellStyle name="쉼표 [0] 3 2 4 2 2" xfId="1925"/>
    <cellStyle name="쉼표 [0] 3 2 4 2 2 2" xfId="1926"/>
    <cellStyle name="쉼표 [0] 3 2 4 3" xfId="1927"/>
    <cellStyle name="쉼표 [0] 3 2 4 4" xfId="1928"/>
    <cellStyle name="쉼표 [0] 3 2 4 5" xfId="1929"/>
    <cellStyle name="쉼표 [0] 3 2 4 6" xfId="1930"/>
    <cellStyle name="쉼표 [0] 3 2 40" xfId="1931"/>
    <cellStyle name="쉼표 [0] 3 2 5" xfId="1932"/>
    <cellStyle name="쉼표 [0] 3 2 5 2" xfId="1933"/>
    <cellStyle name="쉼표 [0] 3 2 5 2 2" xfId="1934"/>
    <cellStyle name="쉼표 [0] 3 2 5 2 2 2" xfId="1935"/>
    <cellStyle name="쉼표 [0] 3 2 5 3" xfId="1936"/>
    <cellStyle name="쉼표 [0] 3 2 5 4" xfId="1937"/>
    <cellStyle name="쉼표 [0] 3 2 5 5" xfId="1938"/>
    <cellStyle name="쉼표 [0] 3 2 5 6" xfId="1939"/>
    <cellStyle name="쉼표 [0] 3 2 6" xfId="1940"/>
    <cellStyle name="쉼표 [0] 3 2 6 2" xfId="1941"/>
    <cellStyle name="쉼표 [0] 3 2 6 2 2" xfId="1942"/>
    <cellStyle name="쉼표 [0] 3 2 6 2 2 2" xfId="1943"/>
    <cellStyle name="쉼표 [0] 3 2 6 3" xfId="1944"/>
    <cellStyle name="쉼표 [0] 3 2 6 4" xfId="1945"/>
    <cellStyle name="쉼표 [0] 3 2 6 5" xfId="1946"/>
    <cellStyle name="쉼표 [0] 3 2 6 6" xfId="1947"/>
    <cellStyle name="쉼표 [0] 3 2 7" xfId="1948"/>
    <cellStyle name="쉼표 [0] 3 2 7 2" xfId="1949"/>
    <cellStyle name="쉼표 [0] 3 2 7 2 2" xfId="1950"/>
    <cellStyle name="쉼표 [0] 3 2 7 2 2 2" xfId="1951"/>
    <cellStyle name="쉼표 [0] 3 2 7 3" xfId="1952"/>
    <cellStyle name="쉼표 [0] 3 2 7 4" xfId="1953"/>
    <cellStyle name="쉼표 [0] 3 2 7 5" xfId="1954"/>
    <cellStyle name="쉼표 [0] 3 2 7 6" xfId="1955"/>
    <cellStyle name="쉼표 [0] 3 2 8" xfId="1956"/>
    <cellStyle name="쉼표 [0] 3 2 8 2" xfId="1957"/>
    <cellStyle name="쉼표 [0] 3 2 8 2 2" xfId="1958"/>
    <cellStyle name="쉼표 [0] 3 2 8 2 2 2" xfId="1959"/>
    <cellStyle name="쉼표 [0] 3 2 8 3" xfId="1960"/>
    <cellStyle name="쉼표 [0] 3 2 8 4" xfId="1961"/>
    <cellStyle name="쉼표 [0] 3 2 8 5" xfId="1962"/>
    <cellStyle name="쉼표 [0] 3 2 8 6" xfId="1963"/>
    <cellStyle name="쉼표 [0] 3 2 9" xfId="1964"/>
    <cellStyle name="쉼표 [0] 3 2 9 2" xfId="1965"/>
    <cellStyle name="쉼표 [0] 3 2 9 2 2" xfId="1966"/>
    <cellStyle name="쉼표 [0] 3 2 9 2 2 2" xfId="1967"/>
    <cellStyle name="쉼표 [0] 3 2 9 3" xfId="1968"/>
    <cellStyle name="쉼표 [0] 3 2 9 4" xfId="1969"/>
    <cellStyle name="쉼표 [0] 3 2 9 5" xfId="1970"/>
    <cellStyle name="쉼표 [0] 3 2 9 6" xfId="1971"/>
    <cellStyle name="쉼표 [0] 3 20" xfId="1972"/>
    <cellStyle name="쉼표 [0] 3 21" xfId="1973"/>
    <cellStyle name="쉼표 [0] 3 21 2" xfId="1974"/>
    <cellStyle name="쉼표 [0] 3 21 2 2" xfId="1975"/>
    <cellStyle name="쉼표 [0] 3 22" xfId="1976"/>
    <cellStyle name="쉼표 [0] 3 22 2" xfId="1977"/>
    <cellStyle name="쉼표 [0] 3 22 2 2" xfId="1978"/>
    <cellStyle name="쉼표 [0] 3 23" xfId="1979"/>
    <cellStyle name="쉼표 [0] 3 23 2" xfId="1980"/>
    <cellStyle name="쉼표 [0] 3 23 2 2" xfId="1981"/>
    <cellStyle name="쉼표 [0] 3 24" xfId="1982"/>
    <cellStyle name="쉼표 [0] 3 25" xfId="1983"/>
    <cellStyle name="쉼표 [0] 3 26" xfId="1984"/>
    <cellStyle name="쉼표 [0] 3 27" xfId="1985"/>
    <cellStyle name="쉼표 [0] 3 28" xfId="1986"/>
    <cellStyle name="쉼표 [0] 3 29" xfId="1987"/>
    <cellStyle name="쉼표 [0] 3 3" xfId="1988"/>
    <cellStyle name="쉼표 [0] 3 3 2" xfId="1989"/>
    <cellStyle name="쉼표 [0] 3 3 2 2" xfId="1990"/>
    <cellStyle name="쉼표 [0] 3 3 2 2 2" xfId="1991"/>
    <cellStyle name="쉼표 [0] 3 3 2 3" xfId="1992"/>
    <cellStyle name="쉼표 [0] 3 3 3" xfId="1993"/>
    <cellStyle name="쉼표 [0] 3 3 4" xfId="1994"/>
    <cellStyle name="쉼표 [0] 3 3 5" xfId="1995"/>
    <cellStyle name="쉼표 [0] 3 3 6" xfId="1996"/>
    <cellStyle name="쉼표 [0] 3 3 7" xfId="1997"/>
    <cellStyle name="쉼표 [0] 3 30" xfId="1998"/>
    <cellStyle name="쉼표 [0] 3 31" xfId="1999"/>
    <cellStyle name="쉼표 [0] 3 32" xfId="2000"/>
    <cellStyle name="쉼표 [0] 3 33" xfId="2001"/>
    <cellStyle name="쉼표 [0] 3 34" xfId="2002"/>
    <cellStyle name="쉼표 [0] 3 35" xfId="2003"/>
    <cellStyle name="쉼표 [0] 3 36" xfId="2004"/>
    <cellStyle name="쉼표 [0] 3 37" xfId="2005"/>
    <cellStyle name="쉼표 [0] 3 38" xfId="2006"/>
    <cellStyle name="쉼표 [0] 3 39" xfId="2007"/>
    <cellStyle name="쉼표 [0] 3 4" xfId="2008"/>
    <cellStyle name="쉼표 [0] 3 4 2" xfId="2009"/>
    <cellStyle name="쉼표 [0] 3 4 2 2" xfId="2010"/>
    <cellStyle name="쉼표 [0] 3 4 2 2 2" xfId="2011"/>
    <cellStyle name="쉼표 [0] 3 4 2 3" xfId="2012"/>
    <cellStyle name="쉼표 [0] 3 4 3" xfId="2013"/>
    <cellStyle name="쉼표 [0] 3 4 4" xfId="2014"/>
    <cellStyle name="쉼표 [0] 3 4 5" xfId="2015"/>
    <cellStyle name="쉼표 [0] 3 4 6" xfId="2016"/>
    <cellStyle name="쉼표 [0] 3 4 7" xfId="2017"/>
    <cellStyle name="쉼표 [0] 3 40" xfId="2018"/>
    <cellStyle name="쉼표 [0] 3 41" xfId="2019"/>
    <cellStyle name="쉼표 [0] 3 42" xfId="2020"/>
    <cellStyle name="쉼표 [0] 3 43" xfId="2021"/>
    <cellStyle name="쉼표 [0] 3 44" xfId="2022"/>
    <cellStyle name="쉼표 [0] 3 45" xfId="2023"/>
    <cellStyle name="쉼표 [0] 3 46" xfId="2024"/>
    <cellStyle name="쉼표 [0] 3 47" xfId="2025"/>
    <cellStyle name="쉼표 [0] 3 5" xfId="2026"/>
    <cellStyle name="쉼표 [0] 3 5 2" xfId="2027"/>
    <cellStyle name="쉼표 [0] 3 5 2 2" xfId="2028"/>
    <cellStyle name="쉼표 [0] 3 5 2 2 2" xfId="2029"/>
    <cellStyle name="쉼표 [0] 3 5 2 3" xfId="2030"/>
    <cellStyle name="쉼표 [0] 3 5 3" xfId="2031"/>
    <cellStyle name="쉼표 [0] 3 5 4" xfId="2032"/>
    <cellStyle name="쉼표 [0] 3 5 5" xfId="2033"/>
    <cellStyle name="쉼표 [0] 3 5 6" xfId="2034"/>
    <cellStyle name="쉼표 [0] 3 5 7" xfId="2035"/>
    <cellStyle name="쉼표 [0] 3 6" xfId="2036"/>
    <cellStyle name="쉼표 [0] 3 6 10" xfId="2037"/>
    <cellStyle name="쉼표 [0] 3 6 11" xfId="2038"/>
    <cellStyle name="쉼표 [0] 3 6 12" xfId="2039"/>
    <cellStyle name="쉼표 [0] 3 6 2" xfId="2040"/>
    <cellStyle name="쉼표 [0] 3 6 2 2" xfId="2041"/>
    <cellStyle name="쉼표 [0] 3 6 2 3" xfId="2042"/>
    <cellStyle name="쉼표 [0] 3 6 3" xfId="2043"/>
    <cellStyle name="쉼표 [0] 3 6 4" xfId="2044"/>
    <cellStyle name="쉼표 [0] 3 6 5" xfId="2045"/>
    <cellStyle name="쉼표 [0] 3 6 6" xfId="2046"/>
    <cellStyle name="쉼표 [0] 3 6 7" xfId="2047"/>
    <cellStyle name="쉼표 [0] 3 6 8" xfId="2048"/>
    <cellStyle name="쉼표 [0] 3 6 9" xfId="2049"/>
    <cellStyle name="쉼표 [0] 3 7" xfId="2050"/>
    <cellStyle name="쉼표 [0] 3 7 2" xfId="2051"/>
    <cellStyle name="쉼표 [0] 3 7 2 2" xfId="2052"/>
    <cellStyle name="쉼표 [0] 3 7 2 3" xfId="2053"/>
    <cellStyle name="쉼표 [0] 3 7 2 4" xfId="2054"/>
    <cellStyle name="쉼표 [0] 3 7 2 5" xfId="2055"/>
    <cellStyle name="쉼표 [0] 3 7 2 6" xfId="2056"/>
    <cellStyle name="쉼표 [0] 3 7 2 7" xfId="2057"/>
    <cellStyle name="쉼표 [0] 3 7 2 8" xfId="2058"/>
    <cellStyle name="쉼표 [0] 3 7 2 9" xfId="2059"/>
    <cellStyle name="쉼표 [0] 3 7 3" xfId="2060"/>
    <cellStyle name="쉼표 [0] 3 7 3 2" xfId="2061"/>
    <cellStyle name="쉼표 [0] 3 7 3 3" xfId="2062"/>
    <cellStyle name="쉼표 [0] 3 7 3 4" xfId="2063"/>
    <cellStyle name="쉼표 [0] 3 7 3 5" xfId="2064"/>
    <cellStyle name="쉼표 [0] 3 7 3 5 2" xfId="2065"/>
    <cellStyle name="쉼표 [0] 3 7 3 6" xfId="2066"/>
    <cellStyle name="쉼표 [0] 3 7 4" xfId="2067"/>
    <cellStyle name="쉼표 [0] 3 7 4 2" xfId="2068"/>
    <cellStyle name="쉼표 [0] 3 7 4 3" xfId="2069"/>
    <cellStyle name="쉼표 [0] 3 7 4 4" xfId="2070"/>
    <cellStyle name="쉼표 [0] 3 7 4 5" xfId="2071"/>
    <cellStyle name="쉼표 [0] 3 7 5" xfId="2072"/>
    <cellStyle name="쉼표 [0] 3 7 5 2" xfId="2073"/>
    <cellStyle name="쉼표 [0] 3 7 6" xfId="2074"/>
    <cellStyle name="쉼표 [0] 3 8" xfId="2075"/>
    <cellStyle name="쉼표 [0] 3 9" xfId="2076"/>
    <cellStyle name="쉼표 [0] 3 9 2" xfId="2077"/>
    <cellStyle name="쉼표 [0] 3 9 2 2" xfId="2078"/>
    <cellStyle name="쉼표 [0] 30" xfId="2079"/>
    <cellStyle name="쉼표 [0] 31" xfId="2080"/>
    <cellStyle name="쉼표 [0] 31 2" xfId="3219"/>
    <cellStyle name="쉼표 [0] 32" xfId="2081"/>
    <cellStyle name="쉼표 [0] 33" xfId="2082"/>
    <cellStyle name="쉼표 [0] 34" xfId="2083"/>
    <cellStyle name="쉼표 [0] 35" xfId="2084"/>
    <cellStyle name="쉼표 [0] 36" xfId="2085"/>
    <cellStyle name="쉼표 [0] 36 2" xfId="2086"/>
    <cellStyle name="쉼표 [0] 37" xfId="2087"/>
    <cellStyle name="쉼표 [0] 38" xfId="2088"/>
    <cellStyle name="쉼표 [0] 38 2" xfId="3116"/>
    <cellStyle name="쉼표 [0] 39" xfId="2089"/>
    <cellStyle name="쉼표 [0] 39 2" xfId="3117"/>
    <cellStyle name="쉼표 [0] 4" xfId="2090"/>
    <cellStyle name="쉼표 [0] 4 10" xfId="2091"/>
    <cellStyle name="쉼표 [0] 4 11" xfId="2092"/>
    <cellStyle name="쉼표 [0] 4 12" xfId="2093"/>
    <cellStyle name="쉼표 [0] 4 12 2" xfId="2094"/>
    <cellStyle name="쉼표 [0] 4 12 2 2" xfId="2095"/>
    <cellStyle name="쉼표 [0] 4 12 2 2 2" xfId="2096"/>
    <cellStyle name="쉼표 [0] 4 12 3" xfId="2097"/>
    <cellStyle name="쉼표 [0] 4 12 4" xfId="2098"/>
    <cellStyle name="쉼표 [0] 4 12 5" xfId="2099"/>
    <cellStyle name="쉼표 [0] 4 12 6" xfId="2100"/>
    <cellStyle name="쉼표 [0] 4 12 7" xfId="2101"/>
    <cellStyle name="쉼표 [0] 4 13" xfId="2102"/>
    <cellStyle name="쉼표 [0] 4 13 2" xfId="2103"/>
    <cellStyle name="쉼표 [0] 4 13 2 2" xfId="2104"/>
    <cellStyle name="쉼표 [0] 4 13 2 2 2" xfId="2105"/>
    <cellStyle name="쉼표 [0] 4 13 3" xfId="2106"/>
    <cellStyle name="쉼표 [0] 4 13 4" xfId="2107"/>
    <cellStyle name="쉼표 [0] 4 13 5" xfId="2108"/>
    <cellStyle name="쉼표 [0] 4 13 6" xfId="2109"/>
    <cellStyle name="쉼표 [0] 4 13 7" xfId="2110"/>
    <cellStyle name="쉼표 [0] 4 14" xfId="2111"/>
    <cellStyle name="쉼표 [0] 4 14 2" xfId="2112"/>
    <cellStyle name="쉼표 [0] 4 14 2 2" xfId="2113"/>
    <cellStyle name="쉼표 [0] 4 14 2 2 2" xfId="2114"/>
    <cellStyle name="쉼표 [0] 4 14 3" xfId="2115"/>
    <cellStyle name="쉼표 [0] 4 14 4" xfId="2116"/>
    <cellStyle name="쉼표 [0] 4 14 5" xfId="2117"/>
    <cellStyle name="쉼표 [0] 4 14 6" xfId="2118"/>
    <cellStyle name="쉼표 [0] 4 14 7" xfId="2119"/>
    <cellStyle name="쉼표 [0] 4 15" xfId="2120"/>
    <cellStyle name="쉼표 [0] 4 16" xfId="2121"/>
    <cellStyle name="쉼표 [0] 4 17" xfId="2122"/>
    <cellStyle name="쉼표 [0] 4 18" xfId="2123"/>
    <cellStyle name="쉼표 [0] 4 18 2" xfId="2124"/>
    <cellStyle name="쉼표 [0] 4 18 2 2" xfId="2125"/>
    <cellStyle name="쉼표 [0] 4 19" xfId="2126"/>
    <cellStyle name="쉼표 [0] 4 19 2" xfId="2127"/>
    <cellStyle name="쉼표 [0] 4 19 2 2" xfId="2128"/>
    <cellStyle name="쉼표 [0] 4 2" xfId="2129"/>
    <cellStyle name="쉼표 [0] 4 2 10" xfId="2130"/>
    <cellStyle name="쉼표 [0] 4 2 10 2" xfId="2131"/>
    <cellStyle name="쉼표 [0] 4 2 10 2 2" xfId="2132"/>
    <cellStyle name="쉼표 [0] 4 2 10 2 2 2" xfId="2133"/>
    <cellStyle name="쉼표 [0] 4 2 10 3" xfId="2134"/>
    <cellStyle name="쉼표 [0] 4 2 10 4" xfId="2135"/>
    <cellStyle name="쉼표 [0] 4 2 10 5" xfId="2136"/>
    <cellStyle name="쉼표 [0] 4 2 10 6" xfId="2137"/>
    <cellStyle name="쉼표 [0] 4 2 11" xfId="2138"/>
    <cellStyle name="쉼표 [0] 4 2 11 2" xfId="2139"/>
    <cellStyle name="쉼표 [0] 4 2 11 2 2" xfId="2140"/>
    <cellStyle name="쉼표 [0] 4 2 11 2 2 2" xfId="2141"/>
    <cellStyle name="쉼표 [0] 4 2 11 3" xfId="2142"/>
    <cellStyle name="쉼표 [0] 4 2 11 4" xfId="2143"/>
    <cellStyle name="쉼표 [0] 4 2 11 5" xfId="2144"/>
    <cellStyle name="쉼표 [0] 4 2 11 6" xfId="2145"/>
    <cellStyle name="쉼표 [0] 4 2 12" xfId="2146"/>
    <cellStyle name="쉼표 [0] 4 2 12 2" xfId="2147"/>
    <cellStyle name="쉼표 [0] 4 2 12 2 2" xfId="2148"/>
    <cellStyle name="쉼표 [0] 4 2 12 2 2 2" xfId="2149"/>
    <cellStyle name="쉼표 [0] 4 2 12 3" xfId="2150"/>
    <cellStyle name="쉼표 [0] 4 2 12 4" xfId="2151"/>
    <cellStyle name="쉼표 [0] 4 2 12 5" xfId="2152"/>
    <cellStyle name="쉼표 [0] 4 2 12 6" xfId="2153"/>
    <cellStyle name="쉼표 [0] 4 2 13" xfId="2154"/>
    <cellStyle name="쉼표 [0] 4 2 13 2" xfId="2155"/>
    <cellStyle name="쉼표 [0] 4 2 13 2 2" xfId="2156"/>
    <cellStyle name="쉼표 [0] 4 2 13 2 2 2" xfId="2157"/>
    <cellStyle name="쉼표 [0] 4 2 13 3" xfId="2158"/>
    <cellStyle name="쉼표 [0] 4 2 13 4" xfId="2159"/>
    <cellStyle name="쉼표 [0] 4 2 13 5" xfId="2160"/>
    <cellStyle name="쉼표 [0] 4 2 13 6" xfId="2161"/>
    <cellStyle name="쉼표 [0] 4 2 14" xfId="2162"/>
    <cellStyle name="쉼표 [0] 4 2 14 2" xfId="2163"/>
    <cellStyle name="쉼표 [0] 4 2 14 2 2" xfId="2164"/>
    <cellStyle name="쉼표 [0] 4 2 14 2 2 2" xfId="2165"/>
    <cellStyle name="쉼표 [0] 4 2 14 3" xfId="2166"/>
    <cellStyle name="쉼표 [0] 4 2 14 4" xfId="2167"/>
    <cellStyle name="쉼표 [0] 4 2 14 5" xfId="2168"/>
    <cellStyle name="쉼표 [0] 4 2 14 6" xfId="2169"/>
    <cellStyle name="쉼표 [0] 4 2 15" xfId="2170"/>
    <cellStyle name="쉼표 [0] 4 2 15 2" xfId="2171"/>
    <cellStyle name="쉼표 [0] 4 2 15 2 2" xfId="2172"/>
    <cellStyle name="쉼표 [0] 4 2 15 2 2 2" xfId="2173"/>
    <cellStyle name="쉼표 [0] 4 2 15 3" xfId="2174"/>
    <cellStyle name="쉼표 [0] 4 2 15 4" xfId="2175"/>
    <cellStyle name="쉼표 [0] 4 2 15 5" xfId="2176"/>
    <cellStyle name="쉼표 [0] 4 2 15 6" xfId="2177"/>
    <cellStyle name="쉼표 [0] 4 2 16" xfId="2178"/>
    <cellStyle name="쉼표 [0] 4 2 16 2" xfId="2179"/>
    <cellStyle name="쉼표 [0] 4 2 16 2 2" xfId="2180"/>
    <cellStyle name="쉼표 [0] 4 2 16 2 2 2" xfId="2181"/>
    <cellStyle name="쉼표 [0] 4 2 16 3" xfId="2182"/>
    <cellStyle name="쉼표 [0] 4 2 16 4" xfId="2183"/>
    <cellStyle name="쉼표 [0] 4 2 16 5" xfId="2184"/>
    <cellStyle name="쉼표 [0] 4 2 16 6" xfId="2185"/>
    <cellStyle name="쉼표 [0] 4 2 17" xfId="2186"/>
    <cellStyle name="쉼표 [0] 4 2 17 2" xfId="2187"/>
    <cellStyle name="쉼표 [0] 4 2 17 2 2" xfId="2188"/>
    <cellStyle name="쉼표 [0] 4 2 17 2 2 2" xfId="2189"/>
    <cellStyle name="쉼표 [0] 4 2 17 3" xfId="2190"/>
    <cellStyle name="쉼표 [0] 4 2 17 4" xfId="2191"/>
    <cellStyle name="쉼표 [0] 4 2 17 5" xfId="2192"/>
    <cellStyle name="쉼표 [0] 4 2 17 6" xfId="2193"/>
    <cellStyle name="쉼표 [0] 4 2 18" xfId="2194"/>
    <cellStyle name="쉼표 [0] 4 2 18 2" xfId="2195"/>
    <cellStyle name="쉼표 [0] 4 2 18 2 2" xfId="2196"/>
    <cellStyle name="쉼표 [0] 4 2 18 2 2 2" xfId="2197"/>
    <cellStyle name="쉼표 [0] 4 2 18 3" xfId="2198"/>
    <cellStyle name="쉼표 [0] 4 2 18 4" xfId="2199"/>
    <cellStyle name="쉼표 [0] 4 2 18 5" xfId="2200"/>
    <cellStyle name="쉼표 [0] 4 2 18 6" xfId="2201"/>
    <cellStyle name="쉼표 [0] 4 2 19" xfId="2202"/>
    <cellStyle name="쉼표 [0] 4 2 19 2" xfId="2203"/>
    <cellStyle name="쉼표 [0] 4 2 19 2 2" xfId="2204"/>
    <cellStyle name="쉼표 [0] 4 2 19 2 2 2" xfId="2205"/>
    <cellStyle name="쉼표 [0] 4 2 19 3" xfId="2206"/>
    <cellStyle name="쉼표 [0] 4 2 19 4" xfId="2207"/>
    <cellStyle name="쉼표 [0] 4 2 19 5" xfId="2208"/>
    <cellStyle name="쉼표 [0] 4 2 19 6" xfId="2209"/>
    <cellStyle name="쉼표 [0] 4 2 2" xfId="2210"/>
    <cellStyle name="쉼표 [0] 4 2 2 2" xfId="2211"/>
    <cellStyle name="쉼표 [0] 4 2 2 2 2" xfId="2212"/>
    <cellStyle name="쉼표 [0] 4 2 2 2 2 2" xfId="2213"/>
    <cellStyle name="쉼표 [0] 4 2 2 2 2 3" xfId="2214"/>
    <cellStyle name="쉼표 [0] 4 2 2 2 2 4" xfId="2215"/>
    <cellStyle name="쉼표 [0] 4 2 2 2 2 5" xfId="2216"/>
    <cellStyle name="쉼표 [0] 4 2 2 2 2 5 2" xfId="2217"/>
    <cellStyle name="쉼표 [0] 4 2 2 2 2 6" xfId="2218"/>
    <cellStyle name="쉼표 [0] 4 2 2 2 3" xfId="2219"/>
    <cellStyle name="쉼표 [0] 4 2 2 2 3 2" xfId="2220"/>
    <cellStyle name="쉼표 [0] 4 2 2 2 3 3" xfId="2221"/>
    <cellStyle name="쉼표 [0] 4 2 2 2 3 4" xfId="2222"/>
    <cellStyle name="쉼표 [0] 4 2 2 2 3 5" xfId="2223"/>
    <cellStyle name="쉼표 [0] 4 2 2 2 4" xfId="2224"/>
    <cellStyle name="쉼표 [0] 4 2 2 2 4 2" xfId="2225"/>
    <cellStyle name="쉼표 [0] 4 2 2 2 4 3" xfId="2226"/>
    <cellStyle name="쉼표 [0] 4 2 2 2 4 4" xfId="2227"/>
    <cellStyle name="쉼표 [0] 4 2 2 2 4 5" xfId="2228"/>
    <cellStyle name="쉼표 [0] 4 2 2 2 5" xfId="2229"/>
    <cellStyle name="쉼표 [0] 4 2 2 3" xfId="2230"/>
    <cellStyle name="쉼표 [0] 4 2 2 4" xfId="2231"/>
    <cellStyle name="쉼표 [0] 4 2 2 5" xfId="2232"/>
    <cellStyle name="쉼표 [0] 4 2 2 6" xfId="2233"/>
    <cellStyle name="쉼표 [0] 4 2 2 7" xfId="2234"/>
    <cellStyle name="쉼표 [0] 4 2 2 8" xfId="2235"/>
    <cellStyle name="쉼표 [0] 4 2 2 9" xfId="2236"/>
    <cellStyle name="쉼표 [0] 4 2 20" xfId="2237"/>
    <cellStyle name="쉼표 [0] 4 2 20 2" xfId="2238"/>
    <cellStyle name="쉼표 [0] 4 2 20 2 2" xfId="2239"/>
    <cellStyle name="쉼표 [0] 4 2 20 2 2 2" xfId="2240"/>
    <cellStyle name="쉼표 [0] 4 2 20 3" xfId="2241"/>
    <cellStyle name="쉼표 [0] 4 2 20 4" xfId="2242"/>
    <cellStyle name="쉼표 [0] 4 2 20 5" xfId="2243"/>
    <cellStyle name="쉼표 [0] 4 2 20 6" xfId="2244"/>
    <cellStyle name="쉼표 [0] 4 2 21" xfId="2245"/>
    <cellStyle name="쉼표 [0] 4 2 21 2" xfId="2246"/>
    <cellStyle name="쉼표 [0] 4 2 21 2 2" xfId="2247"/>
    <cellStyle name="쉼표 [0] 4 2 21 2 2 2" xfId="2248"/>
    <cellStyle name="쉼표 [0] 4 2 21 3" xfId="2249"/>
    <cellStyle name="쉼표 [0] 4 2 21 4" xfId="2250"/>
    <cellStyle name="쉼표 [0] 4 2 21 5" xfId="2251"/>
    <cellStyle name="쉼표 [0] 4 2 21 6" xfId="2252"/>
    <cellStyle name="쉼표 [0] 4 2 22" xfId="2253"/>
    <cellStyle name="쉼표 [0] 4 2 22 2" xfId="2254"/>
    <cellStyle name="쉼표 [0] 4 2 22 2 2" xfId="2255"/>
    <cellStyle name="쉼표 [0] 4 2 22 2 2 2" xfId="2256"/>
    <cellStyle name="쉼표 [0] 4 2 22 3" xfId="2257"/>
    <cellStyle name="쉼표 [0] 4 2 22 4" xfId="2258"/>
    <cellStyle name="쉼표 [0] 4 2 22 5" xfId="2259"/>
    <cellStyle name="쉼표 [0] 4 2 22 6" xfId="2260"/>
    <cellStyle name="쉼표 [0] 4 2 23" xfId="2261"/>
    <cellStyle name="쉼표 [0] 4 2 23 2" xfId="2262"/>
    <cellStyle name="쉼표 [0] 4 2 23 2 2" xfId="2263"/>
    <cellStyle name="쉼표 [0] 4 2 23 2 2 2" xfId="2264"/>
    <cellStyle name="쉼표 [0] 4 2 23 3" xfId="2265"/>
    <cellStyle name="쉼표 [0] 4 2 23 4" xfId="2266"/>
    <cellStyle name="쉼표 [0] 4 2 23 5" xfId="2267"/>
    <cellStyle name="쉼표 [0] 4 2 23 6" xfId="2268"/>
    <cellStyle name="쉼표 [0] 4 2 24" xfId="2269"/>
    <cellStyle name="쉼표 [0] 4 2 24 2" xfId="2270"/>
    <cellStyle name="쉼표 [0] 4 2 24 2 2" xfId="2271"/>
    <cellStyle name="쉼표 [0] 4 2 24 2 2 2" xfId="2272"/>
    <cellStyle name="쉼표 [0] 4 2 24 3" xfId="2273"/>
    <cellStyle name="쉼표 [0] 4 2 24 4" xfId="2274"/>
    <cellStyle name="쉼표 [0] 4 2 24 5" xfId="2275"/>
    <cellStyle name="쉼표 [0] 4 2 24 6" xfId="2276"/>
    <cellStyle name="쉼표 [0] 4 2 25" xfId="2277"/>
    <cellStyle name="쉼표 [0] 4 2 25 2" xfId="2278"/>
    <cellStyle name="쉼표 [0] 4 2 25 2 2" xfId="2279"/>
    <cellStyle name="쉼표 [0] 4 2 25 2 2 2" xfId="2280"/>
    <cellStyle name="쉼표 [0] 4 2 25 3" xfId="2281"/>
    <cellStyle name="쉼표 [0] 4 2 25 4" xfId="2282"/>
    <cellStyle name="쉼표 [0] 4 2 25 5" xfId="2283"/>
    <cellStyle name="쉼표 [0] 4 2 25 6" xfId="2284"/>
    <cellStyle name="쉼표 [0] 4 2 26" xfId="2285"/>
    <cellStyle name="쉼표 [0] 4 2 26 2" xfId="2286"/>
    <cellStyle name="쉼표 [0] 4 2 26 2 2" xfId="2287"/>
    <cellStyle name="쉼표 [0] 4 2 26 2 2 2" xfId="2288"/>
    <cellStyle name="쉼표 [0] 4 2 26 3" xfId="2289"/>
    <cellStyle name="쉼표 [0] 4 2 26 4" xfId="2290"/>
    <cellStyle name="쉼표 [0] 4 2 26 5" xfId="2291"/>
    <cellStyle name="쉼표 [0] 4 2 26 6" xfId="2292"/>
    <cellStyle name="쉼표 [0] 4 2 27" xfId="2293"/>
    <cellStyle name="쉼표 [0] 4 2 27 2" xfId="2294"/>
    <cellStyle name="쉼표 [0] 4 2 27 2 2" xfId="2295"/>
    <cellStyle name="쉼표 [0] 4 2 27 2 2 2" xfId="2296"/>
    <cellStyle name="쉼표 [0] 4 2 27 3" xfId="2297"/>
    <cellStyle name="쉼표 [0] 4 2 27 4" xfId="2298"/>
    <cellStyle name="쉼표 [0] 4 2 27 5" xfId="2299"/>
    <cellStyle name="쉼표 [0] 4 2 27 6" xfId="2300"/>
    <cellStyle name="쉼표 [0] 4 2 28" xfId="2301"/>
    <cellStyle name="쉼표 [0] 4 2 28 2" xfId="2302"/>
    <cellStyle name="쉼표 [0] 4 2 28 2 2" xfId="2303"/>
    <cellStyle name="쉼표 [0] 4 2 28 2 2 2" xfId="2304"/>
    <cellStyle name="쉼표 [0] 4 2 28 3" xfId="2305"/>
    <cellStyle name="쉼표 [0] 4 2 28 4" xfId="2306"/>
    <cellStyle name="쉼표 [0] 4 2 28 5" xfId="2307"/>
    <cellStyle name="쉼표 [0] 4 2 28 6" xfId="2308"/>
    <cellStyle name="쉼표 [0] 4 2 29" xfId="2309"/>
    <cellStyle name="쉼표 [0] 4 2 29 2" xfId="2310"/>
    <cellStyle name="쉼표 [0] 4 2 29 2 2" xfId="2311"/>
    <cellStyle name="쉼표 [0] 4 2 29 2 2 2" xfId="2312"/>
    <cellStyle name="쉼표 [0] 4 2 29 3" xfId="2313"/>
    <cellStyle name="쉼표 [0] 4 2 29 4" xfId="2314"/>
    <cellStyle name="쉼표 [0] 4 2 29 5" xfId="2315"/>
    <cellStyle name="쉼표 [0] 4 2 29 6" xfId="2316"/>
    <cellStyle name="쉼표 [0] 4 2 3" xfId="2317"/>
    <cellStyle name="쉼표 [0] 4 2 3 2" xfId="2318"/>
    <cellStyle name="쉼표 [0] 4 2 3 2 2" xfId="2319"/>
    <cellStyle name="쉼표 [0] 4 2 3 2 2 2" xfId="2320"/>
    <cellStyle name="쉼표 [0] 4 2 3 3" xfId="2321"/>
    <cellStyle name="쉼표 [0] 4 2 3 4" xfId="2322"/>
    <cellStyle name="쉼표 [0] 4 2 3 5" xfId="2323"/>
    <cellStyle name="쉼표 [0] 4 2 3 6" xfId="2324"/>
    <cellStyle name="쉼표 [0] 4 2 30" xfId="2325"/>
    <cellStyle name="쉼표 [0] 4 2 30 2" xfId="2326"/>
    <cellStyle name="쉼표 [0] 4 2 30 2 2" xfId="2327"/>
    <cellStyle name="쉼표 [0] 4 2 30 2 2 2" xfId="2328"/>
    <cellStyle name="쉼표 [0] 4 2 30 3" xfId="2329"/>
    <cellStyle name="쉼표 [0] 4 2 30 4" xfId="2330"/>
    <cellStyle name="쉼표 [0] 4 2 30 5" xfId="2331"/>
    <cellStyle name="쉼표 [0] 4 2 30 6" xfId="2332"/>
    <cellStyle name="쉼표 [0] 4 2 31" xfId="2333"/>
    <cellStyle name="쉼표 [0] 4 2 31 2" xfId="2334"/>
    <cellStyle name="쉼표 [0] 4 2 31 2 2" xfId="2335"/>
    <cellStyle name="쉼표 [0] 4 2 31 2 2 2" xfId="2336"/>
    <cellStyle name="쉼표 [0] 4 2 31 3" xfId="2337"/>
    <cellStyle name="쉼표 [0] 4 2 31 4" xfId="2338"/>
    <cellStyle name="쉼표 [0] 4 2 31 5" xfId="2339"/>
    <cellStyle name="쉼표 [0] 4 2 31 6" xfId="2340"/>
    <cellStyle name="쉼표 [0] 4 2 32" xfId="2341"/>
    <cellStyle name="쉼표 [0] 4 2 32 2" xfId="2342"/>
    <cellStyle name="쉼표 [0] 4 2 32 2 2" xfId="2343"/>
    <cellStyle name="쉼표 [0] 4 2 32 2 2 2" xfId="2344"/>
    <cellStyle name="쉼표 [0] 4 2 32 3" xfId="2345"/>
    <cellStyle name="쉼표 [0] 4 2 32 4" xfId="2346"/>
    <cellStyle name="쉼표 [0] 4 2 32 5" xfId="2347"/>
    <cellStyle name="쉼표 [0] 4 2 32 6" xfId="2348"/>
    <cellStyle name="쉼표 [0] 4 2 33" xfId="2349"/>
    <cellStyle name="쉼표 [0] 4 2 33 2" xfId="2350"/>
    <cellStyle name="쉼표 [0] 4 2 33 2 2" xfId="2351"/>
    <cellStyle name="쉼표 [0] 4 2 33 2 2 2" xfId="2352"/>
    <cellStyle name="쉼표 [0] 4 2 33 3" xfId="2353"/>
    <cellStyle name="쉼표 [0] 4 2 33 4" xfId="2354"/>
    <cellStyle name="쉼표 [0] 4 2 33 5" xfId="2355"/>
    <cellStyle name="쉼표 [0] 4 2 33 6" xfId="2356"/>
    <cellStyle name="쉼표 [0] 4 2 34" xfId="2357"/>
    <cellStyle name="쉼표 [0] 4 2 34 2" xfId="2358"/>
    <cellStyle name="쉼표 [0] 4 2 34 2 2" xfId="2359"/>
    <cellStyle name="쉼표 [0] 4 2 34 2 2 2" xfId="2360"/>
    <cellStyle name="쉼표 [0] 4 2 34 3" xfId="2361"/>
    <cellStyle name="쉼표 [0] 4 2 34 4" xfId="2362"/>
    <cellStyle name="쉼표 [0] 4 2 34 5" xfId="2363"/>
    <cellStyle name="쉼표 [0] 4 2 34 6" xfId="2364"/>
    <cellStyle name="쉼표 [0] 4 2 35" xfId="2365"/>
    <cellStyle name="쉼표 [0] 4 2 35 2" xfId="2366"/>
    <cellStyle name="쉼표 [0] 4 2 35 2 2" xfId="2367"/>
    <cellStyle name="쉼표 [0] 4 2 35 2 2 2" xfId="2368"/>
    <cellStyle name="쉼표 [0] 4 2 35 3" xfId="2369"/>
    <cellStyle name="쉼표 [0] 4 2 35 4" xfId="2370"/>
    <cellStyle name="쉼표 [0] 4 2 35 5" xfId="2371"/>
    <cellStyle name="쉼표 [0] 4 2 35 6" xfId="2372"/>
    <cellStyle name="쉼표 [0] 4 2 36" xfId="2373"/>
    <cellStyle name="쉼표 [0] 4 2 36 2" xfId="2374"/>
    <cellStyle name="쉼표 [0] 4 2 36 3" xfId="2375"/>
    <cellStyle name="쉼표 [0] 4 2 36 4" xfId="2376"/>
    <cellStyle name="쉼표 [0] 4 2 36 5" xfId="2377"/>
    <cellStyle name="쉼표 [0] 4 2 36 5 2" xfId="2378"/>
    <cellStyle name="쉼표 [0] 4 2 36 6" xfId="2379"/>
    <cellStyle name="쉼표 [0] 4 2 37" xfId="2380"/>
    <cellStyle name="쉼표 [0] 4 2 37 2" xfId="2381"/>
    <cellStyle name="쉼표 [0] 4 2 37 3" xfId="2382"/>
    <cellStyle name="쉼표 [0] 4 2 37 4" xfId="2383"/>
    <cellStyle name="쉼표 [0] 4 2 37 5" xfId="2384"/>
    <cellStyle name="쉼표 [0] 4 2 38" xfId="2385"/>
    <cellStyle name="쉼표 [0] 4 2 38 2" xfId="2386"/>
    <cellStyle name="쉼표 [0] 4 2 38 3" xfId="2387"/>
    <cellStyle name="쉼표 [0] 4 2 38 4" xfId="2388"/>
    <cellStyle name="쉼표 [0] 4 2 38 5" xfId="2389"/>
    <cellStyle name="쉼표 [0] 4 2 39" xfId="2390"/>
    <cellStyle name="쉼표 [0] 4 2 39 2" xfId="2391"/>
    <cellStyle name="쉼표 [0] 4 2 4" xfId="2392"/>
    <cellStyle name="쉼표 [0] 4 2 4 2" xfId="2393"/>
    <cellStyle name="쉼표 [0] 4 2 4 2 2" xfId="2394"/>
    <cellStyle name="쉼표 [0] 4 2 4 2 2 2" xfId="2395"/>
    <cellStyle name="쉼표 [0] 4 2 4 3" xfId="2396"/>
    <cellStyle name="쉼표 [0] 4 2 4 4" xfId="2397"/>
    <cellStyle name="쉼표 [0] 4 2 4 5" xfId="2398"/>
    <cellStyle name="쉼표 [0] 4 2 4 6" xfId="2399"/>
    <cellStyle name="쉼표 [0] 4 2 40" xfId="2400"/>
    <cellStyle name="쉼표 [0] 4 2 5" xfId="2401"/>
    <cellStyle name="쉼표 [0] 4 2 5 2" xfId="2402"/>
    <cellStyle name="쉼표 [0] 4 2 5 2 2" xfId="2403"/>
    <cellStyle name="쉼표 [0] 4 2 5 2 2 2" xfId="2404"/>
    <cellStyle name="쉼표 [0] 4 2 5 3" xfId="2405"/>
    <cellStyle name="쉼표 [0] 4 2 5 4" xfId="2406"/>
    <cellStyle name="쉼표 [0] 4 2 5 5" xfId="2407"/>
    <cellStyle name="쉼표 [0] 4 2 5 6" xfId="2408"/>
    <cellStyle name="쉼표 [0] 4 2 6" xfId="2409"/>
    <cellStyle name="쉼표 [0] 4 2 6 2" xfId="2410"/>
    <cellStyle name="쉼표 [0] 4 2 6 2 2" xfId="2411"/>
    <cellStyle name="쉼표 [0] 4 2 6 2 2 2" xfId="2412"/>
    <cellStyle name="쉼표 [0] 4 2 6 3" xfId="2413"/>
    <cellStyle name="쉼표 [0] 4 2 6 4" xfId="2414"/>
    <cellStyle name="쉼표 [0] 4 2 6 5" xfId="2415"/>
    <cellStyle name="쉼표 [0] 4 2 6 6" xfId="2416"/>
    <cellStyle name="쉼표 [0] 4 2 7" xfId="2417"/>
    <cellStyle name="쉼표 [0] 4 2 7 2" xfId="2418"/>
    <cellStyle name="쉼표 [0] 4 2 7 2 2" xfId="2419"/>
    <cellStyle name="쉼표 [0] 4 2 7 2 2 2" xfId="2420"/>
    <cellStyle name="쉼표 [0] 4 2 7 3" xfId="2421"/>
    <cellStyle name="쉼표 [0] 4 2 7 4" xfId="2422"/>
    <cellStyle name="쉼표 [0] 4 2 7 5" xfId="2423"/>
    <cellStyle name="쉼표 [0] 4 2 7 6" xfId="2424"/>
    <cellStyle name="쉼표 [0] 4 2 8" xfId="2425"/>
    <cellStyle name="쉼표 [0] 4 2 8 2" xfId="2426"/>
    <cellStyle name="쉼표 [0] 4 2 8 2 2" xfId="2427"/>
    <cellStyle name="쉼표 [0] 4 2 8 2 2 2" xfId="2428"/>
    <cellStyle name="쉼표 [0] 4 2 8 3" xfId="2429"/>
    <cellStyle name="쉼표 [0] 4 2 8 4" xfId="2430"/>
    <cellStyle name="쉼표 [0] 4 2 8 5" xfId="2431"/>
    <cellStyle name="쉼표 [0] 4 2 8 6" xfId="2432"/>
    <cellStyle name="쉼표 [0] 4 2 9" xfId="2433"/>
    <cellStyle name="쉼표 [0] 4 2 9 2" xfId="2434"/>
    <cellStyle name="쉼표 [0] 4 2 9 2 2" xfId="2435"/>
    <cellStyle name="쉼표 [0] 4 2 9 2 2 2" xfId="2436"/>
    <cellStyle name="쉼표 [0] 4 2 9 3" xfId="2437"/>
    <cellStyle name="쉼표 [0] 4 2 9 4" xfId="2438"/>
    <cellStyle name="쉼표 [0] 4 2 9 5" xfId="2439"/>
    <cellStyle name="쉼표 [0] 4 2 9 6" xfId="2440"/>
    <cellStyle name="쉼표 [0] 4 20" xfId="2441"/>
    <cellStyle name="쉼표 [0] 4 21" xfId="2442"/>
    <cellStyle name="쉼표 [0] 4 22" xfId="2443"/>
    <cellStyle name="쉼표 [0] 4 23" xfId="2444"/>
    <cellStyle name="쉼표 [0] 4 24" xfId="2445"/>
    <cellStyle name="쉼표 [0] 4 25" xfId="2446"/>
    <cellStyle name="쉼표 [0] 4 26" xfId="2447"/>
    <cellStyle name="쉼표 [0] 4 27" xfId="2448"/>
    <cellStyle name="쉼표 [0] 4 28" xfId="2449"/>
    <cellStyle name="쉼표 [0] 4 29" xfId="2450"/>
    <cellStyle name="쉼표 [0] 4 3" xfId="2451"/>
    <cellStyle name="쉼표 [0] 4 3 2" xfId="2452"/>
    <cellStyle name="쉼표 [0] 4 3 2 2" xfId="2453"/>
    <cellStyle name="쉼표 [0] 4 3 2 2 2" xfId="2454"/>
    <cellStyle name="쉼표 [0] 4 3 2 3" xfId="2455"/>
    <cellStyle name="쉼표 [0] 4 3 3" xfId="2456"/>
    <cellStyle name="쉼표 [0] 4 3 4" xfId="2457"/>
    <cellStyle name="쉼표 [0] 4 3 5" xfId="2458"/>
    <cellStyle name="쉼표 [0] 4 3 6" xfId="2459"/>
    <cellStyle name="쉼표 [0] 4 3 7" xfId="2460"/>
    <cellStyle name="쉼표 [0] 4 30" xfId="2461"/>
    <cellStyle name="쉼표 [0] 4 31" xfId="2462"/>
    <cellStyle name="쉼표 [0] 4 32" xfId="2463"/>
    <cellStyle name="쉼표 [0] 4 33" xfId="2464"/>
    <cellStyle name="쉼표 [0] 4 34" xfId="2465"/>
    <cellStyle name="쉼표 [0] 4 35" xfId="2466"/>
    <cellStyle name="쉼표 [0] 4 36" xfId="2467"/>
    <cellStyle name="쉼표 [0] 4 37" xfId="2468"/>
    <cellStyle name="쉼표 [0] 4 38" xfId="2469"/>
    <cellStyle name="쉼표 [0] 4 39" xfId="2470"/>
    <cellStyle name="쉼표 [0] 4 4" xfId="2471"/>
    <cellStyle name="쉼표 [0] 4 4 2" xfId="2472"/>
    <cellStyle name="쉼표 [0] 4 4 2 2" xfId="2473"/>
    <cellStyle name="쉼표 [0] 4 4 2 2 2" xfId="2474"/>
    <cellStyle name="쉼표 [0] 4 4 2 3" xfId="2475"/>
    <cellStyle name="쉼표 [0] 4 4 3" xfId="2476"/>
    <cellStyle name="쉼표 [0] 4 4 4" xfId="2477"/>
    <cellStyle name="쉼표 [0] 4 4 5" xfId="2478"/>
    <cellStyle name="쉼표 [0] 4 4 6" xfId="2479"/>
    <cellStyle name="쉼표 [0] 4 4 7" xfId="2480"/>
    <cellStyle name="쉼표 [0] 4 40" xfId="2481"/>
    <cellStyle name="쉼표 [0] 4 41" xfId="2482"/>
    <cellStyle name="쉼표 [0] 4 42" xfId="2483"/>
    <cellStyle name="쉼표 [0] 4 43" xfId="2484"/>
    <cellStyle name="쉼표 [0] 4 44" xfId="2485"/>
    <cellStyle name="쉼표 [0] 4 45" xfId="2486"/>
    <cellStyle name="쉼표 [0] 4 46" xfId="2487"/>
    <cellStyle name="쉼표 [0] 4 47" xfId="2488"/>
    <cellStyle name="쉼표 [0] 4 48" xfId="2489"/>
    <cellStyle name="쉼표 [0] 4 49" xfId="2490"/>
    <cellStyle name="쉼표 [0] 4 5" xfId="2491"/>
    <cellStyle name="쉼표 [0] 4 5 2" xfId="2492"/>
    <cellStyle name="쉼표 [0] 4 5 2 2" xfId="2493"/>
    <cellStyle name="쉼표 [0] 4 5 2 2 2" xfId="2494"/>
    <cellStyle name="쉼표 [0] 4 5 2 3" xfId="2495"/>
    <cellStyle name="쉼표 [0] 4 5 3" xfId="2496"/>
    <cellStyle name="쉼표 [0] 4 5 4" xfId="2497"/>
    <cellStyle name="쉼표 [0] 4 5 5" xfId="2498"/>
    <cellStyle name="쉼표 [0] 4 5 6" xfId="2499"/>
    <cellStyle name="쉼표 [0] 4 5 7" xfId="2500"/>
    <cellStyle name="쉼표 [0] 4 50" xfId="2501"/>
    <cellStyle name="쉼표 [0] 4 6" xfId="2502"/>
    <cellStyle name="쉼표 [0] 4 6 2" xfId="2503"/>
    <cellStyle name="쉼표 [0] 4 6 2 2" xfId="2504"/>
    <cellStyle name="쉼표 [0] 4 6 2 2 2" xfId="2505"/>
    <cellStyle name="쉼표 [0] 4 6 2 3" xfId="2506"/>
    <cellStyle name="쉼표 [0] 4 6 3" xfId="2507"/>
    <cellStyle name="쉼표 [0] 4 6 4" xfId="2508"/>
    <cellStyle name="쉼표 [0] 4 6 5" xfId="2509"/>
    <cellStyle name="쉼표 [0] 4 6 6" xfId="2510"/>
    <cellStyle name="쉼표 [0] 4 6 7" xfId="2511"/>
    <cellStyle name="쉼표 [0] 4 7" xfId="2512"/>
    <cellStyle name="쉼표 [0] 4 7 2" xfId="2513"/>
    <cellStyle name="쉼표 [0] 4 7 2 2" xfId="2514"/>
    <cellStyle name="쉼표 [0] 4 7 2 3" xfId="2515"/>
    <cellStyle name="쉼표 [0] 4 7 2 4" xfId="2516"/>
    <cellStyle name="쉼표 [0] 4 7 2 5" xfId="2517"/>
    <cellStyle name="쉼표 [0] 4 7 2 6" xfId="2518"/>
    <cellStyle name="쉼표 [0] 4 7 2 7" xfId="2519"/>
    <cellStyle name="쉼표 [0] 4 7 2 8" xfId="2520"/>
    <cellStyle name="쉼표 [0] 4 7 2 9" xfId="2521"/>
    <cellStyle name="쉼표 [0] 4 7 3" xfId="2522"/>
    <cellStyle name="쉼표 [0] 4 7 3 2" xfId="2523"/>
    <cellStyle name="쉼표 [0] 4 7 3 3" xfId="2524"/>
    <cellStyle name="쉼표 [0] 4 7 3 4" xfId="2525"/>
    <cellStyle name="쉼표 [0] 4 7 3 5" xfId="2526"/>
    <cellStyle name="쉼표 [0] 4 7 3 5 2" xfId="2527"/>
    <cellStyle name="쉼표 [0] 4 7 3 6" xfId="2528"/>
    <cellStyle name="쉼표 [0] 4 7 4" xfId="2529"/>
    <cellStyle name="쉼표 [0] 4 7 4 2" xfId="2530"/>
    <cellStyle name="쉼표 [0] 4 7 4 3" xfId="2531"/>
    <cellStyle name="쉼표 [0] 4 7 4 4" xfId="2532"/>
    <cellStyle name="쉼표 [0] 4 7 4 5" xfId="2533"/>
    <cellStyle name="쉼표 [0] 4 7 5" xfId="2534"/>
    <cellStyle name="쉼표 [0] 4 8" xfId="2535"/>
    <cellStyle name="쉼표 [0] 4 9" xfId="2536"/>
    <cellStyle name="쉼표 [0] 40" xfId="3121"/>
    <cellStyle name="쉼표 [0] 41" xfId="3125"/>
    <cellStyle name="쉼표 [0] 42" xfId="3145"/>
    <cellStyle name="쉼표 [0] 43" xfId="3175"/>
    <cellStyle name="쉼표 [0] 44" xfId="3184"/>
    <cellStyle name="쉼표 [0] 45" xfId="3197"/>
    <cellStyle name="쉼표 [0] 46" xfId="3216"/>
    <cellStyle name="쉼표 [0] 46 2" xfId="3276"/>
    <cellStyle name="쉼표 [0] 46 2 2" xfId="3388"/>
    <cellStyle name="쉼표 [0] 46 2 2 2" xfId="3717"/>
    <cellStyle name="쉼표 [0] 46 2 3" xfId="3497"/>
    <cellStyle name="쉼표 [0] 46 2 3 2" xfId="3826"/>
    <cellStyle name="쉼표 [0] 46 2 4" xfId="3609"/>
    <cellStyle name="쉼표 [0] 46 3" xfId="3334"/>
    <cellStyle name="쉼표 [0] 46 3 2" xfId="3663"/>
    <cellStyle name="쉼표 [0] 46 4" xfId="3443"/>
    <cellStyle name="쉼표 [0] 46 4 2" xfId="3772"/>
    <cellStyle name="쉼표 [0] 46 5" xfId="3555"/>
    <cellStyle name="쉼표 [0] 47" xfId="3240"/>
    <cellStyle name="쉼표 [0] 48" xfId="3298"/>
    <cellStyle name="쉼표 [0] 49" xfId="3519"/>
    <cellStyle name="쉼표 [0] 5" xfId="2537"/>
    <cellStyle name="쉼표 [0] 5 10" xfId="2538"/>
    <cellStyle name="쉼표 [0] 5 11" xfId="2539"/>
    <cellStyle name="쉼표 [0] 5 12" xfId="2540"/>
    <cellStyle name="쉼표 [0] 5 13" xfId="2541"/>
    <cellStyle name="쉼표 [0] 5 2" xfId="2542"/>
    <cellStyle name="쉼표 [0] 5 2 2" xfId="2543"/>
    <cellStyle name="쉼표 [0] 5 2 2 2" xfId="2544"/>
    <cellStyle name="쉼표 [0] 5 2 2 2 2" xfId="2545"/>
    <cellStyle name="쉼표 [0] 5 2 2 3" xfId="2546"/>
    <cellStyle name="쉼표 [0] 5 2 3" xfId="2547"/>
    <cellStyle name="쉼표 [0] 5 2 4" xfId="2548"/>
    <cellStyle name="쉼표 [0] 5 2 5" xfId="2549"/>
    <cellStyle name="쉼표 [0] 5 2 6" xfId="2550"/>
    <cellStyle name="쉼표 [0] 5 2 7" xfId="2551"/>
    <cellStyle name="쉼표 [0] 5 3" xfId="2552"/>
    <cellStyle name="쉼표 [0] 5 4" xfId="2553"/>
    <cellStyle name="쉼표 [0] 5 5" xfId="2554"/>
    <cellStyle name="쉼표 [0] 5 6" xfId="2555"/>
    <cellStyle name="쉼표 [0] 5 7" xfId="2556"/>
    <cellStyle name="쉼표 [0] 5 8" xfId="2557"/>
    <cellStyle name="쉼표 [0] 5 9" xfId="2558"/>
    <cellStyle name="쉼표 [0] 50" xfId="1132"/>
    <cellStyle name="쉼표 [0] 6" xfId="2559"/>
    <cellStyle name="쉼표 [0] 6 10" xfId="2560"/>
    <cellStyle name="쉼표 [0] 6 11" xfId="2561"/>
    <cellStyle name="쉼표 [0] 6 12" xfId="2562"/>
    <cellStyle name="쉼표 [0] 6 13" xfId="2563"/>
    <cellStyle name="쉼표 [0] 6 14" xfId="2564"/>
    <cellStyle name="쉼표 [0] 6 2" xfId="2565"/>
    <cellStyle name="쉼표 [0] 6 2 2" xfId="2566"/>
    <cellStyle name="쉼표 [0] 6 2 2 2" xfId="2567"/>
    <cellStyle name="쉼표 [0] 6 2 2 2 2" xfId="2568"/>
    <cellStyle name="쉼표 [0] 6 2 2 3" xfId="2569"/>
    <cellStyle name="쉼표 [0] 6 2 3" xfId="2570"/>
    <cellStyle name="쉼표 [0] 6 2 4" xfId="2571"/>
    <cellStyle name="쉼표 [0] 6 2 5" xfId="2572"/>
    <cellStyle name="쉼표 [0] 6 2 6" xfId="2573"/>
    <cellStyle name="쉼표 [0] 6 2 7" xfId="2574"/>
    <cellStyle name="쉼표 [0] 6 3" xfId="2575"/>
    <cellStyle name="쉼표 [0] 6 3 2" xfId="2576"/>
    <cellStyle name="쉼표 [0] 6 3 2 2" xfId="2577"/>
    <cellStyle name="쉼표 [0] 6 3 2 2 2" xfId="2578"/>
    <cellStyle name="쉼표 [0] 6 3 2 3" xfId="2579"/>
    <cellStyle name="쉼표 [0] 6 3 3" xfId="2580"/>
    <cellStyle name="쉼표 [0] 6 3 4" xfId="2581"/>
    <cellStyle name="쉼표 [0] 6 3 5" xfId="2582"/>
    <cellStyle name="쉼표 [0] 6 3 6" xfId="2583"/>
    <cellStyle name="쉼표 [0] 6 3 7" xfId="2584"/>
    <cellStyle name="쉼표 [0] 6 4" xfId="2585"/>
    <cellStyle name="쉼표 [0] 6 5" xfId="2586"/>
    <cellStyle name="쉼표 [0] 6 6" xfId="2587"/>
    <cellStyle name="쉼표 [0] 6 7" xfId="2588"/>
    <cellStyle name="쉼표 [0] 6 8" xfId="2589"/>
    <cellStyle name="쉼표 [0] 6 9" xfId="2590"/>
    <cellStyle name="쉼표 [0] 7" xfId="2591"/>
    <cellStyle name="쉼표 [0] 7 10" xfId="2592"/>
    <cellStyle name="쉼표 [0] 7 11" xfId="2593"/>
    <cellStyle name="쉼표 [0] 7 12" xfId="2594"/>
    <cellStyle name="쉼표 [0] 7 2" xfId="2595"/>
    <cellStyle name="쉼표 [0] 7 3" xfId="2596"/>
    <cellStyle name="쉼표 [0] 7 4" xfId="2597"/>
    <cellStyle name="쉼표 [0] 7 5" xfId="2598"/>
    <cellStyle name="쉼표 [0] 7 6" xfId="2599"/>
    <cellStyle name="쉼표 [0] 7 7" xfId="2600"/>
    <cellStyle name="쉼표 [0] 7 8" xfId="2601"/>
    <cellStyle name="쉼표 [0] 7 9" xfId="2602"/>
    <cellStyle name="쉼표 [0] 8" xfId="2603"/>
    <cellStyle name="쉼표 [0] 8 10" xfId="2604"/>
    <cellStyle name="쉼표 [0] 8 11" xfId="2605"/>
    <cellStyle name="쉼표 [0] 8 12" xfId="2606"/>
    <cellStyle name="쉼표 [0] 8 2" xfId="2607"/>
    <cellStyle name="쉼표 [0] 8 3" xfId="2608"/>
    <cellStyle name="쉼표 [0] 8 4" xfId="2609"/>
    <cellStyle name="쉼표 [0] 8 5" xfId="2610"/>
    <cellStyle name="쉼표 [0] 8 6" xfId="2611"/>
    <cellStyle name="쉼표 [0] 8 7" xfId="2612"/>
    <cellStyle name="쉼표 [0] 8 8" xfId="2613"/>
    <cellStyle name="쉼표 [0] 8 9" xfId="2614"/>
    <cellStyle name="쉼표 [0] 9" xfId="2615"/>
    <cellStyle name="쉼표 [0] 9 10" xfId="2616"/>
    <cellStyle name="쉼표 [0] 9 11" xfId="2617"/>
    <cellStyle name="쉼표 [0] 9 12" xfId="2618"/>
    <cellStyle name="쉼표 [0] 9 2" xfId="2619"/>
    <cellStyle name="쉼표 [0] 9 3" xfId="2620"/>
    <cellStyle name="쉼표 [0] 9 4" xfId="2621"/>
    <cellStyle name="쉼표 [0] 9 5" xfId="2622"/>
    <cellStyle name="쉼표 [0] 9 6" xfId="2623"/>
    <cellStyle name="쉼표 [0] 9 7" xfId="2624"/>
    <cellStyle name="쉼표 [0] 9 8" xfId="2625"/>
    <cellStyle name="쉼표 [0] 9 9" xfId="2626"/>
    <cellStyle name="스타일 1" xfId="2627"/>
    <cellStyle name="스타일 1 2" xfId="3147"/>
    <cellStyle name="스타일 10" xfId="3148"/>
    <cellStyle name="스타일 11" xfId="3149"/>
    <cellStyle name="스타일 12" xfId="3150"/>
    <cellStyle name="스타일 13" xfId="3151"/>
    <cellStyle name="스타일 14" xfId="3152"/>
    <cellStyle name="스타일 15" xfId="3153"/>
    <cellStyle name="스타일 16" xfId="3154"/>
    <cellStyle name="스타일 17" xfId="3155"/>
    <cellStyle name="스타일 18" xfId="3156"/>
    <cellStyle name="스타일 19" xfId="3157"/>
    <cellStyle name="스타일 2" xfId="3158"/>
    <cellStyle name="스타일 20" xfId="3159"/>
    <cellStyle name="스타일 21" xfId="3160"/>
    <cellStyle name="스타일 3" xfId="3161"/>
    <cellStyle name="스타일 4" xfId="3162"/>
    <cellStyle name="스타일 5" xfId="3163"/>
    <cellStyle name="스타일 6" xfId="3164"/>
    <cellStyle name="스타일 7" xfId="3165"/>
    <cellStyle name="스타일 8" xfId="3166"/>
    <cellStyle name="스타일 9" xfId="3167"/>
    <cellStyle name="연결된 셀 2" xfId="2628"/>
    <cellStyle name="요약 2" xfId="2629"/>
    <cellStyle name="입력 2" xfId="2630"/>
    <cellStyle name="제목 1 2" xfId="2631"/>
    <cellStyle name="제목 2 2" xfId="2632"/>
    <cellStyle name="제목 3 2" xfId="2633"/>
    <cellStyle name="제목 4 2" xfId="2634"/>
    <cellStyle name="제목 5" xfId="2635"/>
    <cellStyle name="좋음 2" xfId="2636"/>
    <cellStyle name="출력 2" xfId="2637"/>
    <cellStyle name="콤마 [0]_1" xfId="2638"/>
    <cellStyle name="콤마_1" xfId="2639"/>
    <cellStyle name="통화 [0]" xfId="7" builtinId="7"/>
    <cellStyle name="통화 [0] 10" xfId="2641"/>
    <cellStyle name="통화 [0] 11" xfId="2642"/>
    <cellStyle name="통화 [0] 12" xfId="3118"/>
    <cellStyle name="통화 [0] 12 2" xfId="2643"/>
    <cellStyle name="통화 [0] 13" xfId="3126"/>
    <cellStyle name="통화 [0] 14" xfId="3176"/>
    <cellStyle name="통화 [0] 15" xfId="3185"/>
    <cellStyle name="통화 [0] 16" xfId="3198"/>
    <cellStyle name="통화 [0] 17" xfId="3217"/>
    <cellStyle name="통화 [0] 17 2" xfId="3277"/>
    <cellStyle name="통화 [0] 17 2 2" xfId="3389"/>
    <cellStyle name="통화 [0] 17 2 2 2" xfId="3718"/>
    <cellStyle name="통화 [0] 17 2 3" xfId="3498"/>
    <cellStyle name="통화 [0] 17 2 3 2" xfId="3827"/>
    <cellStyle name="통화 [0] 17 2 4" xfId="3610"/>
    <cellStyle name="통화 [0] 17 3" xfId="3335"/>
    <cellStyle name="통화 [0] 17 3 2" xfId="3664"/>
    <cellStyle name="통화 [0] 17 4" xfId="3444"/>
    <cellStyle name="통화 [0] 17 4 2" xfId="3773"/>
    <cellStyle name="통화 [0] 17 5" xfId="3556"/>
    <cellStyle name="통화 [0] 18" xfId="3241"/>
    <cellStyle name="통화 [0] 19" xfId="3299"/>
    <cellStyle name="통화 [0] 2" xfId="2644"/>
    <cellStyle name="통화 [0] 2 10" xfId="2645"/>
    <cellStyle name="통화 [0] 2 10 2" xfId="2646"/>
    <cellStyle name="통화 [0] 2 10 3" xfId="2647"/>
    <cellStyle name="통화 [0] 2 11" xfId="2648"/>
    <cellStyle name="통화 [0] 2 11 2" xfId="2649"/>
    <cellStyle name="통화 [0] 2 11 3" xfId="2650"/>
    <cellStyle name="통화 [0] 2 12" xfId="2651"/>
    <cellStyle name="통화 [0] 2 12 2" xfId="2652"/>
    <cellStyle name="통화 [0] 2 12 3" xfId="2653"/>
    <cellStyle name="통화 [0] 2 13" xfId="2654"/>
    <cellStyle name="통화 [0] 2 13 2" xfId="2655"/>
    <cellStyle name="통화 [0] 2 13 3" xfId="2656"/>
    <cellStyle name="통화 [0] 2 14" xfId="2657"/>
    <cellStyle name="통화 [0] 2 14 2" xfId="2658"/>
    <cellStyle name="통화 [0] 2 14 3" xfId="2659"/>
    <cellStyle name="통화 [0] 2 15" xfId="2660"/>
    <cellStyle name="통화 [0] 2 15 2" xfId="2661"/>
    <cellStyle name="통화 [0] 2 15 3" xfId="2662"/>
    <cellStyle name="통화 [0] 2 16" xfId="2663"/>
    <cellStyle name="통화 [0] 2 17" xfId="2664"/>
    <cellStyle name="통화 [0] 2 18" xfId="2665"/>
    <cellStyle name="통화 [0] 2 19" xfId="2666"/>
    <cellStyle name="통화 [0] 2 2" xfId="2667"/>
    <cellStyle name="통화 [0] 2 2 10" xfId="2668"/>
    <cellStyle name="통화 [0] 2 2 2" xfId="2669"/>
    <cellStyle name="통화 [0] 2 2 2 2" xfId="2670"/>
    <cellStyle name="통화 [0] 2 2 2 2 2" xfId="2671"/>
    <cellStyle name="통화 [0] 2 2 2 2 2 2" xfId="2672"/>
    <cellStyle name="통화 [0] 2 2 2 2 2 2 2" xfId="2673"/>
    <cellStyle name="통화 [0] 2 2 2 2 2 2 2 2" xfId="2674"/>
    <cellStyle name="통화 [0] 2 2 2 2 2 2 2 2 2" xfId="2675"/>
    <cellStyle name="통화 [0] 2 2 2 2 2 2 2 2 2 2" xfId="2676"/>
    <cellStyle name="통화 [0] 2 2 2 2 2 2 2 2 2 2 2" xfId="2677"/>
    <cellStyle name="통화 [0] 2 2 2 2 2 2 2 2 2 2 2 2" xfId="2678"/>
    <cellStyle name="통화 [0] 2 2 2 2 2 2 2 2 2 2 2 2 2" xfId="2679"/>
    <cellStyle name="통화 [0] 2 2 2 2 2 2 2 2 2 2 3" xfId="2680"/>
    <cellStyle name="통화 [0] 2 2 2 2 2 2 2 2 2 3" xfId="2681"/>
    <cellStyle name="통화 [0] 2 2 2 2 2 2 2 2 3" xfId="2682"/>
    <cellStyle name="통화 [0] 2 2 2 2 2 2 2 2 4" xfId="2683"/>
    <cellStyle name="통화 [0] 2 2 2 2 2 2 2 3" xfId="2684"/>
    <cellStyle name="통화 [0] 2 2 2 2 2 2 2 3 2" xfId="2685"/>
    <cellStyle name="통화 [0] 2 2 2 2 2 2 2 4" xfId="2686"/>
    <cellStyle name="통화 [0] 2 2 2 2 2 2 3" xfId="2687"/>
    <cellStyle name="통화 [0] 2 2 2 2 2 2 4" xfId="2688"/>
    <cellStyle name="통화 [0] 2 2 2 2 2 2 5" xfId="2689"/>
    <cellStyle name="통화 [0] 2 2 2 2 2 3" xfId="2690"/>
    <cellStyle name="통화 [0] 2 2 2 2 2 3 2" xfId="2691"/>
    <cellStyle name="통화 [0] 2 2 2 2 2 4" xfId="2692"/>
    <cellStyle name="통화 [0] 2 2 2 2 2 4 2" xfId="2693"/>
    <cellStyle name="통화 [0] 2 2 2 2 2 5" xfId="2694"/>
    <cellStyle name="통화 [0] 2 2 2 2 3" xfId="2695"/>
    <cellStyle name="통화 [0] 2 2 2 2 4" xfId="2696"/>
    <cellStyle name="통화 [0] 2 2 2 2 5" xfId="2697"/>
    <cellStyle name="통화 [0] 2 2 2 2 6" xfId="2698"/>
    <cellStyle name="통화 [0] 2 2 2 3" xfId="2699"/>
    <cellStyle name="통화 [0] 2 2 2 4" xfId="2700"/>
    <cellStyle name="통화 [0] 2 2 2 5" xfId="2701"/>
    <cellStyle name="통화 [0] 2 2 2 6" xfId="2702"/>
    <cellStyle name="통화 [0] 2 2 3" xfId="2703"/>
    <cellStyle name="통화 [0] 2 2 4" xfId="2704"/>
    <cellStyle name="통화 [0] 2 2 5" xfId="2705"/>
    <cellStyle name="통화 [0] 2 2 5 2" xfId="2706"/>
    <cellStyle name="통화 [0] 2 2 5 3" xfId="2707"/>
    <cellStyle name="통화 [0] 2 2 5 3 2" xfId="2708"/>
    <cellStyle name="통화 [0] 2 2 5 4" xfId="2709"/>
    <cellStyle name="통화 [0] 2 2 6" xfId="2710"/>
    <cellStyle name="통화 [0] 2 2 6 2" xfId="2711"/>
    <cellStyle name="통화 [0] 2 2 6 2 2" xfId="2712"/>
    <cellStyle name="통화 [0] 2 2 7" xfId="2713"/>
    <cellStyle name="통화 [0] 2 2 8" xfId="2714"/>
    <cellStyle name="통화 [0] 2 2 9" xfId="2715"/>
    <cellStyle name="통화 [0] 2 20" xfId="2716"/>
    <cellStyle name="통화 [0] 2 21" xfId="2717"/>
    <cellStyle name="통화 [0] 2 22" xfId="2718"/>
    <cellStyle name="통화 [0] 2 23" xfId="2719"/>
    <cellStyle name="통화 [0] 2 24" xfId="2720"/>
    <cellStyle name="통화 [0] 2 25" xfId="2721"/>
    <cellStyle name="통화 [0] 2 26" xfId="2722"/>
    <cellStyle name="통화 [0] 2 27" xfId="2723"/>
    <cellStyle name="통화 [0] 2 28" xfId="2724"/>
    <cellStyle name="통화 [0] 2 28 2" xfId="2725"/>
    <cellStyle name="통화 [0] 2 3" xfId="2726"/>
    <cellStyle name="통화 [0] 2 3 2" xfId="2727"/>
    <cellStyle name="통화 [0] 2 3 2 2" xfId="2728"/>
    <cellStyle name="통화 [0] 2 3 2 2 2" xfId="2729"/>
    <cellStyle name="통화 [0] 2 3 2 3" xfId="2730"/>
    <cellStyle name="통화 [0] 2 3 3" xfId="2731"/>
    <cellStyle name="통화 [0] 2 3 4" xfId="2732"/>
    <cellStyle name="통화 [0] 2 3 5" xfId="2733"/>
    <cellStyle name="통화 [0] 2 3 6" xfId="2734"/>
    <cellStyle name="통화 [0] 2 3 7" xfId="2735"/>
    <cellStyle name="통화 [0] 2 4" xfId="2736"/>
    <cellStyle name="통화 [0] 2 4 2" xfId="2737"/>
    <cellStyle name="통화 [0] 2 4 2 2" xfId="2738"/>
    <cellStyle name="통화 [0] 2 4 2 2 2" xfId="2739"/>
    <cellStyle name="통화 [0] 2 4 2 3" xfId="2740"/>
    <cellStyle name="통화 [0] 2 4 3" xfId="2741"/>
    <cellStyle name="통화 [0] 2 4 4" xfId="2742"/>
    <cellStyle name="통화 [0] 2 4 5" xfId="2743"/>
    <cellStyle name="통화 [0] 2 4 6" xfId="2744"/>
    <cellStyle name="통화 [0] 2 4 7" xfId="2745"/>
    <cellStyle name="통화 [0] 2 5" xfId="2746"/>
    <cellStyle name="통화 [0] 2 6" xfId="2747"/>
    <cellStyle name="통화 [0] 2 6 2" xfId="2748"/>
    <cellStyle name="통화 [0] 2 6 2 2" xfId="2749"/>
    <cellStyle name="통화 [0] 2 6 2 2 2" xfId="2750"/>
    <cellStyle name="통화 [0] 2 6 2 3" xfId="2751"/>
    <cellStyle name="통화 [0] 2 6 3" xfId="2752"/>
    <cellStyle name="통화 [0] 2 6 4" xfId="2753"/>
    <cellStyle name="통화 [0] 2 6 5" xfId="2754"/>
    <cellStyle name="통화 [0] 2 6 6" xfId="2755"/>
    <cellStyle name="통화 [0] 2 6 7" xfId="2756"/>
    <cellStyle name="통화 [0] 2 7" xfId="2757"/>
    <cellStyle name="통화 [0] 2 7 2" xfId="2758"/>
    <cellStyle name="통화 [0] 2 7 3" xfId="2759"/>
    <cellStyle name="통화 [0] 2 8" xfId="2760"/>
    <cellStyle name="통화 [0] 2 8 2" xfId="2761"/>
    <cellStyle name="통화 [0] 2 8 3" xfId="2762"/>
    <cellStyle name="통화 [0] 2 9" xfId="2763"/>
    <cellStyle name="통화 [0] 2 9 2" xfId="2764"/>
    <cellStyle name="통화 [0] 2 9 3" xfId="2765"/>
    <cellStyle name="통화 [0] 20" xfId="3520"/>
    <cellStyle name="통화 [0] 21" xfId="2640"/>
    <cellStyle name="통화 [0] 3" xfId="2766"/>
    <cellStyle name="통화 [0] 3 10" xfId="2767"/>
    <cellStyle name="통화 [0] 3 11" xfId="2768"/>
    <cellStyle name="통화 [0] 3 12" xfId="2769"/>
    <cellStyle name="통화 [0] 3 2" xfId="2770"/>
    <cellStyle name="통화 [0] 3 3" xfId="2771"/>
    <cellStyle name="통화 [0] 3 4" xfId="2772"/>
    <cellStyle name="통화 [0] 3 5" xfId="2773"/>
    <cellStyle name="통화 [0] 3 6" xfId="2774"/>
    <cellStyle name="통화 [0] 3 7" xfId="2775"/>
    <cellStyle name="통화 [0] 3 8" xfId="2776"/>
    <cellStyle name="통화 [0] 3 9" xfId="2777"/>
    <cellStyle name="통화 [0] 33" xfId="2778"/>
    <cellStyle name="통화 [0] 33 2" xfId="2779"/>
    <cellStyle name="통화 [0] 4" xfId="2780"/>
    <cellStyle name="통화 [0] 4 10" xfId="2781"/>
    <cellStyle name="통화 [0] 4 11" xfId="2782"/>
    <cellStyle name="통화 [0] 4 12" xfId="2783"/>
    <cellStyle name="통화 [0] 4 2" xfId="2784"/>
    <cellStyle name="통화 [0] 4 3" xfId="2785"/>
    <cellStyle name="통화 [0] 4 4" xfId="2786"/>
    <cellStyle name="통화 [0] 4 5" xfId="2787"/>
    <cellStyle name="통화 [0] 4 6" xfId="2788"/>
    <cellStyle name="통화 [0] 4 7" xfId="2789"/>
    <cellStyle name="통화 [0] 4 8" xfId="2790"/>
    <cellStyle name="통화 [0] 4 9" xfId="2791"/>
    <cellStyle name="통화 [0] 5" xfId="2792"/>
    <cellStyle name="통화 [0] 5 10" xfId="2793"/>
    <cellStyle name="통화 [0] 5 11" xfId="2794"/>
    <cellStyle name="통화 [0] 5 12" xfId="2795"/>
    <cellStyle name="통화 [0] 5 2" xfId="2796"/>
    <cellStyle name="통화 [0] 5 3" xfId="2797"/>
    <cellStyle name="통화 [0] 5 4" xfId="2798"/>
    <cellStyle name="통화 [0] 5 5" xfId="2799"/>
    <cellStyle name="통화 [0] 5 6" xfId="2800"/>
    <cellStyle name="통화 [0] 5 7" xfId="2801"/>
    <cellStyle name="통화 [0] 5 8" xfId="2802"/>
    <cellStyle name="통화 [0] 5 9" xfId="2803"/>
    <cellStyle name="통화 [0] 6" xfId="2804"/>
    <cellStyle name="통화 [0] 6 10" xfId="2805"/>
    <cellStyle name="통화 [0] 6 11" xfId="2806"/>
    <cellStyle name="통화 [0] 6 12" xfId="2807"/>
    <cellStyle name="통화 [0] 6 2" xfId="2808"/>
    <cellStyle name="통화 [0] 6 3" xfId="2809"/>
    <cellStyle name="통화 [0] 6 4" xfId="2810"/>
    <cellStyle name="통화 [0] 6 5" xfId="2811"/>
    <cellStyle name="통화 [0] 6 6" xfId="2812"/>
    <cellStyle name="통화 [0] 6 7" xfId="2813"/>
    <cellStyle name="통화 [0] 6 8" xfId="2814"/>
    <cellStyle name="통화 [0] 6 9" xfId="2815"/>
    <cellStyle name="통화 [0] 7" xfId="2816"/>
    <cellStyle name="통화 [0] 7 10" xfId="2817"/>
    <cellStyle name="통화 [0] 7 11" xfId="2818"/>
    <cellStyle name="통화 [0] 7 12" xfId="2819"/>
    <cellStyle name="통화 [0] 7 2" xfId="2820"/>
    <cellStyle name="통화 [0] 7 3" xfId="2821"/>
    <cellStyle name="통화 [0] 7 4" xfId="2822"/>
    <cellStyle name="통화 [0] 7 5" xfId="2823"/>
    <cellStyle name="통화 [0] 7 6" xfId="2824"/>
    <cellStyle name="통화 [0] 7 7" xfId="2825"/>
    <cellStyle name="통화 [0] 7 8" xfId="2826"/>
    <cellStyle name="통화 [0] 7 9" xfId="2827"/>
    <cellStyle name="통화 [0] 8" xfId="2828"/>
    <cellStyle name="통화 [0] 8 10" xfId="2829"/>
    <cellStyle name="통화 [0] 8 11" xfId="2830"/>
    <cellStyle name="통화 [0] 8 12" xfId="2831"/>
    <cellStyle name="통화 [0] 8 2" xfId="2832"/>
    <cellStyle name="통화 [0] 8 3" xfId="2833"/>
    <cellStyle name="통화 [0] 8 4" xfId="2834"/>
    <cellStyle name="통화 [0] 8 5" xfId="2835"/>
    <cellStyle name="통화 [0] 8 6" xfId="2836"/>
    <cellStyle name="통화 [0] 8 7" xfId="2837"/>
    <cellStyle name="통화 [0] 8 8" xfId="2838"/>
    <cellStyle name="통화 [0] 8 9" xfId="2839"/>
    <cellStyle name="통화 [0] 9" xfId="2840"/>
    <cellStyle name="표준" xfId="0" builtinId="0"/>
    <cellStyle name="표준 10" xfId="2841"/>
    <cellStyle name="표준 10 2" xfId="2842"/>
    <cellStyle name="표준 10 3" xfId="2843"/>
    <cellStyle name="표준 10 4" xfId="2844"/>
    <cellStyle name="표준 10 5" xfId="2845"/>
    <cellStyle name="표준 11" xfId="2846"/>
    <cellStyle name="표준 11 2" xfId="2847"/>
    <cellStyle name="표준 11 3" xfId="2848"/>
    <cellStyle name="표준 11 4" xfId="2849"/>
    <cellStyle name="표준 11 5" xfId="2850"/>
    <cellStyle name="표준 11 6" xfId="2851"/>
    <cellStyle name="표준 11 7" xfId="2852"/>
    <cellStyle name="표준 11 8" xfId="2853"/>
    <cellStyle name="표준 12" xfId="3119"/>
    <cellStyle name="표준 12 2" xfId="2854"/>
    <cellStyle name="표준 12 3" xfId="2855"/>
    <cellStyle name="표준 12 4" xfId="2856"/>
    <cellStyle name="표준 12 5" xfId="2857"/>
    <cellStyle name="표준 13" xfId="2858"/>
    <cellStyle name="표준 13 10" xfId="2859"/>
    <cellStyle name="표준 13 11" xfId="2860"/>
    <cellStyle name="표준 13 12" xfId="2861"/>
    <cellStyle name="표준 13 13" xfId="2862"/>
    <cellStyle name="표준 13 2" xfId="2863"/>
    <cellStyle name="표준 13 3" xfId="2864"/>
    <cellStyle name="표준 13 4" xfId="2865"/>
    <cellStyle name="표준 13 5" xfId="2866"/>
    <cellStyle name="표준 13 6" xfId="2867"/>
    <cellStyle name="표준 13 7" xfId="2868"/>
    <cellStyle name="표준 13 8" xfId="2869"/>
    <cellStyle name="표준 13 9" xfId="2870"/>
    <cellStyle name="표준 14" xfId="2871"/>
    <cellStyle name="標準 14" xfId="2872"/>
    <cellStyle name="표준 14 10" xfId="2873"/>
    <cellStyle name="표준 14 11" xfId="2874"/>
    <cellStyle name="표준 14 12" xfId="2875"/>
    <cellStyle name="표준 14 2" xfId="2876"/>
    <cellStyle name="표준 14 3" xfId="2877"/>
    <cellStyle name="표준 14 4" xfId="2878"/>
    <cellStyle name="표준 14 5" xfId="2879"/>
    <cellStyle name="표준 14 6" xfId="2880"/>
    <cellStyle name="표준 14 7" xfId="2881"/>
    <cellStyle name="표준 14 8" xfId="2882"/>
    <cellStyle name="표준 14 9" xfId="2883"/>
    <cellStyle name="표준 15" xfId="2884"/>
    <cellStyle name="표준 15 10" xfId="2885"/>
    <cellStyle name="표준 15 11" xfId="2886"/>
    <cellStyle name="표준 15 12" xfId="2887"/>
    <cellStyle name="표준 15 13" xfId="2888"/>
    <cellStyle name="표준 15 2" xfId="2889"/>
    <cellStyle name="표준 15 3" xfId="2890"/>
    <cellStyle name="표준 15 4" xfId="2891"/>
    <cellStyle name="표준 15 5" xfId="2892"/>
    <cellStyle name="표준 15 6" xfId="2893"/>
    <cellStyle name="표준 15 7" xfId="2894"/>
    <cellStyle name="표준 15 8" xfId="2895"/>
    <cellStyle name="표준 15 9" xfId="2896"/>
    <cellStyle name="표준 16" xfId="2897"/>
    <cellStyle name="표준 16 10" xfId="2898"/>
    <cellStyle name="표준 16 11" xfId="2899"/>
    <cellStyle name="표준 16 12" xfId="2900"/>
    <cellStyle name="표준 16 13" xfId="2901"/>
    <cellStyle name="표준 16 2" xfId="2902"/>
    <cellStyle name="표준 16 3" xfId="2903"/>
    <cellStyle name="표준 16 4" xfId="2904"/>
    <cellStyle name="표준 16 5" xfId="2905"/>
    <cellStyle name="표준 16 6" xfId="2906"/>
    <cellStyle name="표준 16 7" xfId="2907"/>
    <cellStyle name="표준 16 8" xfId="2908"/>
    <cellStyle name="표준 16 9" xfId="2909"/>
    <cellStyle name="표준 17" xfId="2910"/>
    <cellStyle name="표준 18" xfId="2911"/>
    <cellStyle name="표준 19" xfId="2912"/>
    <cellStyle name="표준 19 2" xfId="2913"/>
    <cellStyle name="표준 19 3" xfId="2914"/>
    <cellStyle name="표준 19 4" xfId="2915"/>
    <cellStyle name="표준 2" xfId="2"/>
    <cellStyle name="표준 2 10" xfId="2917"/>
    <cellStyle name="표준 2 11" xfId="2918"/>
    <cellStyle name="표준 2 12" xfId="2919"/>
    <cellStyle name="표준 2 13" xfId="2920"/>
    <cellStyle name="표준 2 14" xfId="2921"/>
    <cellStyle name="표준 2 15" xfId="2922"/>
    <cellStyle name="표준 2 16" xfId="2923"/>
    <cellStyle name="표준 2 17" xfId="2924"/>
    <cellStyle name="표준 2 18" xfId="2925"/>
    <cellStyle name="표준 2 19" xfId="2926"/>
    <cellStyle name="표준 2 2" xfId="2927"/>
    <cellStyle name="표준 2 2 2" xfId="2928"/>
    <cellStyle name="표준 2 2 2 2" xfId="2929"/>
    <cellStyle name="표준 2 2 2 2 2" xfId="2930"/>
    <cellStyle name="표준 2 2 2 2 2 2" xfId="2931"/>
    <cellStyle name="표준 2 2 2 2 2 2 2" xfId="2932"/>
    <cellStyle name="표준 2 2 2 2 2 2 2 2" xfId="2933"/>
    <cellStyle name="표준 2 2 2 2 2 2 2 2 2" xfId="2934"/>
    <cellStyle name="표준 2 2 2 2 2 2 2 2 2 2" xfId="2935"/>
    <cellStyle name="표준 2 2 2 2 2 2 2 2 2 2 2" xfId="2936"/>
    <cellStyle name="표준 2 2 2 2 2 2 2 2 2 2 2 2" xfId="2937"/>
    <cellStyle name="표준 2 2 2 2 2 2 2 2 2 2 2 2 2" xfId="2938"/>
    <cellStyle name="표준 2 2 2 2 2 2 2 2 2 2 3" xfId="2939"/>
    <cellStyle name="표준 2 2 2 2 2 2 2 2 2 3" xfId="2940"/>
    <cellStyle name="표준 2 2 2 2 2 2 2 2 3" xfId="2941"/>
    <cellStyle name="표준 2 2 2 2 2 2 2 2 4" xfId="2942"/>
    <cellStyle name="표준 2 2 2 2 2 2 2 3" xfId="2943"/>
    <cellStyle name="표준 2 2 2 2 2 2 2 4" xfId="2944"/>
    <cellStyle name="표준 2 2 2 2 2 2 3" xfId="2945"/>
    <cellStyle name="표준 2 2 2 2 2 2 4" xfId="2946"/>
    <cellStyle name="표준 2 2 2 2 2 2 5" xfId="2947"/>
    <cellStyle name="표준 2 2 2 2 2 3" xfId="2948"/>
    <cellStyle name="표준 2 2 2 2 2 4" xfId="2949"/>
    <cellStyle name="표준 2 2 2 2 2 5" xfId="2950"/>
    <cellStyle name="표준 2 2 2 2 3" xfId="2951"/>
    <cellStyle name="표준 2 2 2 2 4" xfId="2952"/>
    <cellStyle name="표준 2 2 2 2 5" xfId="2953"/>
    <cellStyle name="표준 2 2 2 2 6" xfId="2954"/>
    <cellStyle name="표준 2 2 2 3" xfId="2955"/>
    <cellStyle name="표준 2 2 2 4" xfId="2956"/>
    <cellStyle name="표준 2 2 2 5" xfId="2957"/>
    <cellStyle name="표준 2 2 2 6" xfId="2958"/>
    <cellStyle name="표준 2 2 3" xfId="2959"/>
    <cellStyle name="표준 2 2 4" xfId="2960"/>
    <cellStyle name="표준 2 2 5" xfId="2961"/>
    <cellStyle name="표준 2 2 6" xfId="2962"/>
    <cellStyle name="표준 2 2 7" xfId="2963"/>
    <cellStyle name="표준 2 20" xfId="2964"/>
    <cellStyle name="표준 2 21" xfId="2965"/>
    <cellStyle name="표준 2 22" xfId="2966"/>
    <cellStyle name="표준 2 23" xfId="2967"/>
    <cellStyle name="표준 2 24" xfId="2968"/>
    <cellStyle name="표준 2 25" xfId="2969"/>
    <cellStyle name="표준 2 26" xfId="2970"/>
    <cellStyle name="표준 2 26 2" xfId="2971"/>
    <cellStyle name="표준 2 27" xfId="2972"/>
    <cellStyle name="표준 2 28" xfId="2916"/>
    <cellStyle name="표준 2 3" xfId="2973"/>
    <cellStyle name="표준 2 4" xfId="2974"/>
    <cellStyle name="표준 2 5" xfId="2975"/>
    <cellStyle name="표준 2 6" xfId="2976"/>
    <cellStyle name="표준 2 7" xfId="2977"/>
    <cellStyle name="표준 2 8" xfId="2978"/>
    <cellStyle name="표준 2 8 10" xfId="2979"/>
    <cellStyle name="표준 2 8 11" xfId="2980"/>
    <cellStyle name="표준 2 8 12" xfId="2981"/>
    <cellStyle name="표준 2 8 13" xfId="2982"/>
    <cellStyle name="표준 2 8 13 2" xfId="2983"/>
    <cellStyle name="표준 2 8 14" xfId="2984"/>
    <cellStyle name="표준 2 8 15" xfId="2985"/>
    <cellStyle name="표준 2 8 16" xfId="2986"/>
    <cellStyle name="표준 2 8 17" xfId="2987"/>
    <cellStyle name="표준 2 8 18" xfId="2988"/>
    <cellStyle name="표준 2 8 19" xfId="2989"/>
    <cellStyle name="표준 2 8 2" xfId="2990"/>
    <cellStyle name="표준 2 8 2 10" xfId="2991"/>
    <cellStyle name="표준 2 8 2 11" xfId="2992"/>
    <cellStyle name="표준 2 8 2 12" xfId="2993"/>
    <cellStyle name="표준 2 8 2 2" xfId="2994"/>
    <cellStyle name="표준 2 8 2 2 2" xfId="2995"/>
    <cellStyle name="표준 2 8 2 3" xfId="2996"/>
    <cellStyle name="표준 2 8 2 4" xfId="2997"/>
    <cellStyle name="표준 2 8 2 5" xfId="2998"/>
    <cellStyle name="표준 2 8 2 6" xfId="2999"/>
    <cellStyle name="표준 2 8 2 7" xfId="3000"/>
    <cellStyle name="표준 2 8 2 8" xfId="3001"/>
    <cellStyle name="표준 2 8 2 9" xfId="3002"/>
    <cellStyle name="표준 2 8 20" xfId="3003"/>
    <cellStyle name="표준 2 8 21" xfId="3004"/>
    <cellStyle name="표준 2 8 22" xfId="3005"/>
    <cellStyle name="표준 2 8 3" xfId="3006"/>
    <cellStyle name="표준 2 8 4" xfId="3007"/>
    <cellStyle name="표준 2 8 5" xfId="3008"/>
    <cellStyle name="표준 2 8 6" xfId="3009"/>
    <cellStyle name="표준 2 8 7" xfId="3010"/>
    <cellStyle name="표준 2 8 8" xfId="3011"/>
    <cellStyle name="표준 2 8 9" xfId="3012"/>
    <cellStyle name="표준 2 9" xfId="3013"/>
    <cellStyle name="표준 2 9 2" xfId="3014"/>
    <cellStyle name="표준 2 9 2 2" xfId="3015"/>
    <cellStyle name="표준 2 9 2 3" xfId="3016"/>
    <cellStyle name="표준 2 9 2 4" xfId="3017"/>
    <cellStyle name="표준 2 9 3" xfId="3018"/>
    <cellStyle name="표준 2 9 4" xfId="3019"/>
    <cellStyle name="표준 20" xfId="3020"/>
    <cellStyle name="표준 20 2" xfId="3168"/>
    <cellStyle name="표준 21" xfId="3021"/>
    <cellStyle name="표준 21 2" xfId="3022"/>
    <cellStyle name="표준 21 3" xfId="3023"/>
    <cellStyle name="표준 21 4" xfId="3024"/>
    <cellStyle name="표준 21 5" xfId="3169"/>
    <cellStyle name="표준 22" xfId="3112"/>
    <cellStyle name="표준 22 2" xfId="3178"/>
    <cellStyle name="표준 22 2 2" xfId="3192"/>
    <cellStyle name="표준 22 2 2 2" xfId="3213"/>
    <cellStyle name="표준 22 2 2 2 2" xfId="3273"/>
    <cellStyle name="표준 22 2 2 2 2 2" xfId="3385"/>
    <cellStyle name="표준 22 2 2 2 2 2 2" xfId="3714"/>
    <cellStyle name="표준 22 2 2 2 2 3" xfId="3494"/>
    <cellStyle name="표준 22 2 2 2 2 3 2" xfId="3823"/>
    <cellStyle name="표준 22 2 2 2 2 4" xfId="3606"/>
    <cellStyle name="표준 22 2 2 2 3" xfId="3331"/>
    <cellStyle name="표준 22 2 2 2 3 2" xfId="3660"/>
    <cellStyle name="표준 22 2 2 2 4" xfId="3440"/>
    <cellStyle name="표준 22 2 2 2 4 2" xfId="3769"/>
    <cellStyle name="표준 22 2 2 2 5" xfId="3552"/>
    <cellStyle name="표준 22 2 2 3" xfId="3235"/>
    <cellStyle name="표준 22 2 2 3 2" xfId="3293"/>
    <cellStyle name="표준 22 2 2 3 2 2" xfId="3405"/>
    <cellStyle name="표준 22 2 2 3 2 2 2" xfId="3734"/>
    <cellStyle name="표준 22 2 2 3 2 3" xfId="3514"/>
    <cellStyle name="표준 22 2 2 3 2 3 2" xfId="3843"/>
    <cellStyle name="표준 22 2 2 3 2 4" xfId="3626"/>
    <cellStyle name="표준 22 2 2 3 3" xfId="3351"/>
    <cellStyle name="표준 22 2 2 3 3 2" xfId="3680"/>
    <cellStyle name="표준 22 2 2 3 4" xfId="3460"/>
    <cellStyle name="표준 22 2 2 3 4 2" xfId="3789"/>
    <cellStyle name="표준 22 2 2 3 5" xfId="3572"/>
    <cellStyle name="표준 22 2 2 4" xfId="3256"/>
    <cellStyle name="표준 22 2 2 4 2" xfId="3368"/>
    <cellStyle name="표준 22 2 2 4 2 2" xfId="3697"/>
    <cellStyle name="표준 22 2 2 4 3" xfId="3477"/>
    <cellStyle name="표준 22 2 2 4 3 2" xfId="3806"/>
    <cellStyle name="표준 22 2 2 4 4" xfId="3589"/>
    <cellStyle name="표준 22 2 2 5" xfId="3314"/>
    <cellStyle name="표준 22 2 2 5 2" xfId="3643"/>
    <cellStyle name="표준 22 2 2 6" xfId="3423"/>
    <cellStyle name="표준 22 2 2 6 2" xfId="3752"/>
    <cellStyle name="표준 22 2 2 7" xfId="3535"/>
    <cellStyle name="표준 22 2 3" xfId="3203"/>
    <cellStyle name="표준 22 2 3 2" xfId="3263"/>
    <cellStyle name="표준 22 2 3 2 2" xfId="3375"/>
    <cellStyle name="표준 22 2 3 2 2 2" xfId="3704"/>
    <cellStyle name="표준 22 2 3 2 3" xfId="3484"/>
    <cellStyle name="표준 22 2 3 2 3 2" xfId="3813"/>
    <cellStyle name="표준 22 2 3 2 4" xfId="3596"/>
    <cellStyle name="표준 22 2 3 3" xfId="3321"/>
    <cellStyle name="표준 22 2 3 3 2" xfId="3650"/>
    <cellStyle name="표준 22 2 3 4" xfId="3430"/>
    <cellStyle name="표준 22 2 3 4 2" xfId="3759"/>
    <cellStyle name="표준 22 2 3 5" xfId="3542"/>
    <cellStyle name="표준 22 2 4" xfId="3225"/>
    <cellStyle name="표준 22 2 4 2" xfId="3283"/>
    <cellStyle name="표준 22 2 4 2 2" xfId="3395"/>
    <cellStyle name="표준 22 2 4 2 2 2" xfId="3724"/>
    <cellStyle name="표준 22 2 4 2 3" xfId="3504"/>
    <cellStyle name="표준 22 2 4 2 3 2" xfId="3833"/>
    <cellStyle name="표준 22 2 4 2 4" xfId="3616"/>
    <cellStyle name="표준 22 2 4 3" xfId="3341"/>
    <cellStyle name="표준 22 2 4 3 2" xfId="3670"/>
    <cellStyle name="표준 22 2 4 4" xfId="3450"/>
    <cellStyle name="표준 22 2 4 4 2" xfId="3779"/>
    <cellStyle name="표준 22 2 4 5" xfId="3562"/>
    <cellStyle name="표준 22 2 5" xfId="3246"/>
    <cellStyle name="표준 22 2 5 2" xfId="3358"/>
    <cellStyle name="표준 22 2 5 2 2" xfId="3687"/>
    <cellStyle name="표준 22 2 5 3" xfId="3467"/>
    <cellStyle name="표준 22 2 5 3 2" xfId="3796"/>
    <cellStyle name="표준 22 2 5 4" xfId="3579"/>
    <cellStyle name="표준 22 2 6" xfId="3304"/>
    <cellStyle name="표준 22 2 6 2" xfId="3633"/>
    <cellStyle name="표준 22 2 7" xfId="3413"/>
    <cellStyle name="표준 22 2 7 2" xfId="3742"/>
    <cellStyle name="표준 22 2 8" xfId="3525"/>
    <cellStyle name="표준 22 3" xfId="3188"/>
    <cellStyle name="표준 22 3 2" xfId="3209"/>
    <cellStyle name="표준 22 3 2 2" xfId="3269"/>
    <cellStyle name="표준 22 3 2 2 2" xfId="3381"/>
    <cellStyle name="표준 22 3 2 2 2 2" xfId="3710"/>
    <cellStyle name="표준 22 3 2 2 3" xfId="3490"/>
    <cellStyle name="표준 22 3 2 2 3 2" xfId="3819"/>
    <cellStyle name="표준 22 3 2 2 4" xfId="3602"/>
    <cellStyle name="표준 22 3 2 3" xfId="3327"/>
    <cellStyle name="표준 22 3 2 3 2" xfId="3656"/>
    <cellStyle name="표준 22 3 2 4" xfId="3436"/>
    <cellStyle name="표준 22 3 2 4 2" xfId="3765"/>
    <cellStyle name="표준 22 3 2 5" xfId="3548"/>
    <cellStyle name="표준 22 3 3" xfId="3231"/>
    <cellStyle name="표준 22 3 3 2" xfId="3289"/>
    <cellStyle name="표준 22 3 3 2 2" xfId="3401"/>
    <cellStyle name="표준 22 3 3 2 2 2" xfId="3730"/>
    <cellStyle name="표준 22 3 3 2 3" xfId="3510"/>
    <cellStyle name="표준 22 3 3 2 3 2" xfId="3839"/>
    <cellStyle name="표준 22 3 3 2 4" xfId="3622"/>
    <cellStyle name="표준 22 3 3 3" xfId="3347"/>
    <cellStyle name="표준 22 3 3 3 2" xfId="3676"/>
    <cellStyle name="표준 22 3 3 4" xfId="3456"/>
    <cellStyle name="표준 22 3 3 4 2" xfId="3785"/>
    <cellStyle name="표준 22 3 3 5" xfId="3568"/>
    <cellStyle name="표준 22 3 4" xfId="3252"/>
    <cellStyle name="표준 22 3 4 2" xfId="3364"/>
    <cellStyle name="표준 22 3 4 2 2" xfId="3693"/>
    <cellStyle name="표준 22 3 4 3" xfId="3473"/>
    <cellStyle name="표준 22 3 4 3 2" xfId="3802"/>
    <cellStyle name="표준 22 3 4 4" xfId="3585"/>
    <cellStyle name="표준 22 3 5" xfId="3310"/>
    <cellStyle name="표준 22 3 5 2" xfId="3639"/>
    <cellStyle name="표준 22 3 6" xfId="3419"/>
    <cellStyle name="표준 22 3 6 2" xfId="3748"/>
    <cellStyle name="표준 22 3 7" xfId="3531"/>
    <cellStyle name="표준 22 4" xfId="3199"/>
    <cellStyle name="표준 22 4 2" xfId="3259"/>
    <cellStyle name="표준 22 4 2 2" xfId="3371"/>
    <cellStyle name="표준 22 4 2 2 2" xfId="3700"/>
    <cellStyle name="표준 22 4 2 3" xfId="3480"/>
    <cellStyle name="표준 22 4 2 3 2" xfId="3809"/>
    <cellStyle name="표준 22 4 2 4" xfId="3592"/>
    <cellStyle name="표준 22 4 3" xfId="3317"/>
    <cellStyle name="표준 22 4 3 2" xfId="3646"/>
    <cellStyle name="표준 22 4 4" xfId="3426"/>
    <cellStyle name="표준 22 4 4 2" xfId="3755"/>
    <cellStyle name="표준 22 4 5" xfId="3538"/>
    <cellStyle name="표준 22 5" xfId="3221"/>
    <cellStyle name="표준 22 5 2" xfId="3279"/>
    <cellStyle name="표준 22 5 2 2" xfId="3391"/>
    <cellStyle name="표준 22 5 2 2 2" xfId="3720"/>
    <cellStyle name="표준 22 5 2 3" xfId="3500"/>
    <cellStyle name="표준 22 5 2 3 2" xfId="3829"/>
    <cellStyle name="표준 22 5 2 4" xfId="3612"/>
    <cellStyle name="표준 22 5 3" xfId="3337"/>
    <cellStyle name="표준 22 5 3 2" xfId="3666"/>
    <cellStyle name="표준 22 5 4" xfId="3446"/>
    <cellStyle name="표준 22 5 4 2" xfId="3775"/>
    <cellStyle name="표준 22 5 5" xfId="3558"/>
    <cellStyle name="표준 22 6" xfId="3242"/>
    <cellStyle name="표준 22 6 2" xfId="3354"/>
    <cellStyle name="표준 22 6 2 2" xfId="3683"/>
    <cellStyle name="표준 22 6 3" xfId="3463"/>
    <cellStyle name="표준 22 6 3 2" xfId="3792"/>
    <cellStyle name="표준 22 6 4" xfId="3575"/>
    <cellStyle name="표준 22 7" xfId="3300"/>
    <cellStyle name="표준 22 7 2" xfId="3629"/>
    <cellStyle name="표준 22 8" xfId="3409"/>
    <cellStyle name="표준 22 8 2" xfId="3738"/>
    <cellStyle name="표준 22 9" xfId="3521"/>
    <cellStyle name="표준 23" xfId="3025"/>
    <cellStyle name="표준 24" xfId="3026"/>
    <cellStyle name="표준 25" xfId="3027"/>
    <cellStyle name="표준 26" xfId="3028"/>
    <cellStyle name="표준 27" xfId="3029"/>
    <cellStyle name="표준 28" xfId="3030"/>
    <cellStyle name="표준 29" xfId="3031"/>
    <cellStyle name="표준 3" xfId="3032"/>
    <cellStyle name="표준 3 2" xfId="5"/>
    <cellStyle name="표준 3 3" xfId="3033"/>
    <cellStyle name="표준 3 4" xfId="3034"/>
    <cellStyle name="표준 3 5" xfId="3035"/>
    <cellStyle name="표준 3 6" xfId="3036"/>
    <cellStyle name="표준 3 7" xfId="3037"/>
    <cellStyle name="표준 3 8" xfId="3038"/>
    <cellStyle name="표준 3 9" xfId="3039"/>
    <cellStyle name="표준 30" xfId="3040"/>
    <cellStyle name="표준 30 10" xfId="3041"/>
    <cellStyle name="표준 30 11" xfId="3042"/>
    <cellStyle name="표준 30 12" xfId="3043"/>
    <cellStyle name="표준 30 2" xfId="3044"/>
    <cellStyle name="표준 30 3" xfId="3045"/>
    <cellStyle name="표준 30 4" xfId="3046"/>
    <cellStyle name="표준 30 5" xfId="3047"/>
    <cellStyle name="표준 30 6" xfId="3048"/>
    <cellStyle name="표준 30 7" xfId="3049"/>
    <cellStyle name="표준 30 8" xfId="3050"/>
    <cellStyle name="표준 30 9" xfId="3051"/>
    <cellStyle name="표준 31" xfId="3052"/>
    <cellStyle name="표준 32" xfId="3053"/>
    <cellStyle name="표준 33" xfId="3054"/>
    <cellStyle name="표준 34" xfId="3055"/>
    <cellStyle name="표준 35" xfId="3056"/>
    <cellStyle name="표준 36" xfId="3057"/>
    <cellStyle name="표준 37" xfId="3058"/>
    <cellStyle name="표준 38" xfId="3059"/>
    <cellStyle name="표준 39" xfId="3060"/>
    <cellStyle name="표준 4" xfId="3061"/>
    <cellStyle name="표준 4 2" xfId="6"/>
    <cellStyle name="표준 4 3" xfId="3062"/>
    <cellStyle name="표준 4 4" xfId="3063"/>
    <cellStyle name="표준 4 5" xfId="3064"/>
    <cellStyle name="표준 4 6" xfId="3065"/>
    <cellStyle name="표준 4 7" xfId="3066"/>
    <cellStyle name="표준 40" xfId="3067"/>
    <cellStyle name="표준 41" xfId="3120"/>
    <cellStyle name="표준 42" xfId="3122"/>
    <cellStyle name="표준 43" xfId="3068"/>
    <cellStyle name="표준 44" xfId="3069"/>
    <cellStyle name="표준 45" xfId="3070"/>
    <cellStyle name="표준 46" xfId="3123"/>
    <cellStyle name="표준 46 2" xfId="3179"/>
    <cellStyle name="표준 46 2 2" xfId="3193"/>
    <cellStyle name="표준 46 2 2 2" xfId="3214"/>
    <cellStyle name="표준 46 2 2 2 2" xfId="3274"/>
    <cellStyle name="표준 46 2 2 2 2 2" xfId="3386"/>
    <cellStyle name="표준 46 2 2 2 2 2 2" xfId="3715"/>
    <cellStyle name="표준 46 2 2 2 2 3" xfId="3495"/>
    <cellStyle name="표준 46 2 2 2 2 3 2" xfId="3824"/>
    <cellStyle name="표준 46 2 2 2 2 4" xfId="3607"/>
    <cellStyle name="표준 46 2 2 2 3" xfId="3332"/>
    <cellStyle name="표준 46 2 2 2 3 2" xfId="3661"/>
    <cellStyle name="표준 46 2 2 2 4" xfId="3441"/>
    <cellStyle name="표준 46 2 2 2 4 2" xfId="3770"/>
    <cellStyle name="표준 46 2 2 2 5" xfId="3553"/>
    <cellStyle name="표준 46 2 2 3" xfId="3236"/>
    <cellStyle name="표준 46 2 2 3 2" xfId="3294"/>
    <cellStyle name="표준 46 2 2 3 2 2" xfId="3406"/>
    <cellStyle name="표준 46 2 2 3 2 2 2" xfId="3735"/>
    <cellStyle name="표준 46 2 2 3 2 3" xfId="3515"/>
    <cellStyle name="표준 46 2 2 3 2 3 2" xfId="3844"/>
    <cellStyle name="표준 46 2 2 3 2 4" xfId="3627"/>
    <cellStyle name="표준 46 2 2 3 3" xfId="3352"/>
    <cellStyle name="표준 46 2 2 3 3 2" xfId="3681"/>
    <cellStyle name="표준 46 2 2 3 4" xfId="3461"/>
    <cellStyle name="표준 46 2 2 3 4 2" xfId="3790"/>
    <cellStyle name="표준 46 2 2 3 5" xfId="3573"/>
    <cellStyle name="표준 46 2 2 4" xfId="3257"/>
    <cellStyle name="표준 46 2 2 4 2" xfId="3369"/>
    <cellStyle name="표준 46 2 2 4 2 2" xfId="3698"/>
    <cellStyle name="표준 46 2 2 4 3" xfId="3478"/>
    <cellStyle name="표준 46 2 2 4 3 2" xfId="3807"/>
    <cellStyle name="표준 46 2 2 4 4" xfId="3590"/>
    <cellStyle name="표준 46 2 2 5" xfId="3315"/>
    <cellStyle name="표준 46 2 2 5 2" xfId="3644"/>
    <cellStyle name="표준 46 2 2 6" xfId="3424"/>
    <cellStyle name="표준 46 2 2 6 2" xfId="3753"/>
    <cellStyle name="표준 46 2 2 7" xfId="3536"/>
    <cellStyle name="표준 46 2 3" xfId="3204"/>
    <cellStyle name="표준 46 2 3 2" xfId="3264"/>
    <cellStyle name="표준 46 2 3 2 2" xfId="3376"/>
    <cellStyle name="표준 46 2 3 2 2 2" xfId="3705"/>
    <cellStyle name="표준 46 2 3 2 3" xfId="3485"/>
    <cellStyle name="표준 46 2 3 2 3 2" xfId="3814"/>
    <cellStyle name="표준 46 2 3 2 4" xfId="3597"/>
    <cellStyle name="표준 46 2 3 3" xfId="3322"/>
    <cellStyle name="표준 46 2 3 3 2" xfId="3651"/>
    <cellStyle name="표준 46 2 3 4" xfId="3431"/>
    <cellStyle name="표준 46 2 3 4 2" xfId="3760"/>
    <cellStyle name="표준 46 2 3 5" xfId="3543"/>
    <cellStyle name="표준 46 2 4" xfId="3226"/>
    <cellStyle name="표준 46 2 4 2" xfId="3284"/>
    <cellStyle name="표준 46 2 4 2 2" xfId="3396"/>
    <cellStyle name="표준 46 2 4 2 2 2" xfId="3725"/>
    <cellStyle name="표준 46 2 4 2 3" xfId="3505"/>
    <cellStyle name="표준 46 2 4 2 3 2" xfId="3834"/>
    <cellStyle name="표준 46 2 4 2 4" xfId="3617"/>
    <cellStyle name="표준 46 2 4 3" xfId="3342"/>
    <cellStyle name="표준 46 2 4 3 2" xfId="3671"/>
    <cellStyle name="표준 46 2 4 4" xfId="3451"/>
    <cellStyle name="표준 46 2 4 4 2" xfId="3780"/>
    <cellStyle name="표준 46 2 4 5" xfId="3563"/>
    <cellStyle name="표준 46 2 5" xfId="3247"/>
    <cellStyle name="표준 46 2 5 2" xfId="3359"/>
    <cellStyle name="표준 46 2 5 2 2" xfId="3688"/>
    <cellStyle name="표준 46 2 5 3" xfId="3468"/>
    <cellStyle name="표준 46 2 5 3 2" xfId="3797"/>
    <cellStyle name="표준 46 2 5 4" xfId="3580"/>
    <cellStyle name="표준 46 2 6" xfId="3305"/>
    <cellStyle name="표준 46 2 6 2" xfId="3634"/>
    <cellStyle name="표준 46 2 7" xfId="3414"/>
    <cellStyle name="표준 46 2 7 2" xfId="3743"/>
    <cellStyle name="표준 46 2 8" xfId="3526"/>
    <cellStyle name="표준 46 3" xfId="3189"/>
    <cellStyle name="표준 46 3 2" xfId="3210"/>
    <cellStyle name="표준 46 3 2 2" xfId="3270"/>
    <cellStyle name="표준 46 3 2 2 2" xfId="3382"/>
    <cellStyle name="표준 46 3 2 2 2 2" xfId="3711"/>
    <cellStyle name="표준 46 3 2 2 3" xfId="3491"/>
    <cellStyle name="표준 46 3 2 2 3 2" xfId="3820"/>
    <cellStyle name="표준 46 3 2 2 4" xfId="3603"/>
    <cellStyle name="표준 46 3 2 3" xfId="3328"/>
    <cellStyle name="표준 46 3 2 3 2" xfId="3657"/>
    <cellStyle name="표준 46 3 2 4" xfId="3437"/>
    <cellStyle name="표준 46 3 2 4 2" xfId="3766"/>
    <cellStyle name="표준 46 3 2 5" xfId="3549"/>
    <cellStyle name="표준 46 3 3" xfId="3232"/>
    <cellStyle name="표준 46 3 3 2" xfId="3290"/>
    <cellStyle name="표준 46 3 3 2 2" xfId="3402"/>
    <cellStyle name="표준 46 3 3 2 2 2" xfId="3731"/>
    <cellStyle name="표준 46 3 3 2 3" xfId="3511"/>
    <cellStyle name="표준 46 3 3 2 3 2" xfId="3840"/>
    <cellStyle name="표준 46 3 3 2 4" xfId="3623"/>
    <cellStyle name="표준 46 3 3 3" xfId="3348"/>
    <cellStyle name="표준 46 3 3 3 2" xfId="3677"/>
    <cellStyle name="표준 46 3 3 4" xfId="3457"/>
    <cellStyle name="표준 46 3 3 4 2" xfId="3786"/>
    <cellStyle name="표준 46 3 3 5" xfId="3569"/>
    <cellStyle name="표준 46 3 4" xfId="3253"/>
    <cellStyle name="표준 46 3 4 2" xfId="3365"/>
    <cellStyle name="표준 46 3 4 2 2" xfId="3694"/>
    <cellStyle name="표준 46 3 4 3" xfId="3474"/>
    <cellStyle name="표준 46 3 4 3 2" xfId="3803"/>
    <cellStyle name="표준 46 3 4 4" xfId="3586"/>
    <cellStyle name="표준 46 3 5" xfId="3311"/>
    <cellStyle name="표준 46 3 5 2" xfId="3640"/>
    <cellStyle name="표준 46 3 6" xfId="3420"/>
    <cellStyle name="표준 46 3 6 2" xfId="3749"/>
    <cellStyle name="표준 46 3 7" xfId="3532"/>
    <cellStyle name="표준 46 4" xfId="3200"/>
    <cellStyle name="표준 46 4 2" xfId="3260"/>
    <cellStyle name="표준 46 4 2 2" xfId="3372"/>
    <cellStyle name="표준 46 4 2 2 2" xfId="3701"/>
    <cellStyle name="표준 46 4 2 3" xfId="3481"/>
    <cellStyle name="표준 46 4 2 3 2" xfId="3810"/>
    <cellStyle name="표준 46 4 2 4" xfId="3593"/>
    <cellStyle name="표준 46 4 3" xfId="3318"/>
    <cellStyle name="표준 46 4 3 2" xfId="3647"/>
    <cellStyle name="표준 46 4 4" xfId="3427"/>
    <cellStyle name="표준 46 4 4 2" xfId="3756"/>
    <cellStyle name="표준 46 4 5" xfId="3539"/>
    <cellStyle name="표준 46 5" xfId="3222"/>
    <cellStyle name="표준 46 5 2" xfId="3280"/>
    <cellStyle name="표준 46 5 2 2" xfId="3392"/>
    <cellStyle name="표준 46 5 2 2 2" xfId="3721"/>
    <cellStyle name="표준 46 5 2 3" xfId="3501"/>
    <cellStyle name="표준 46 5 2 3 2" xfId="3830"/>
    <cellStyle name="표준 46 5 2 4" xfId="3613"/>
    <cellStyle name="표준 46 5 3" xfId="3338"/>
    <cellStyle name="표준 46 5 3 2" xfId="3667"/>
    <cellStyle name="표준 46 5 4" xfId="3447"/>
    <cellStyle name="표준 46 5 4 2" xfId="3776"/>
    <cellStyle name="표준 46 5 5" xfId="3559"/>
    <cellStyle name="표준 46 6" xfId="3243"/>
    <cellStyle name="표준 46 6 2" xfId="3355"/>
    <cellStyle name="표준 46 6 2 2" xfId="3684"/>
    <cellStyle name="표준 46 6 3" xfId="3464"/>
    <cellStyle name="표준 46 6 3 2" xfId="3793"/>
    <cellStyle name="표준 46 6 4" xfId="3576"/>
    <cellStyle name="표준 46 7" xfId="3301"/>
    <cellStyle name="표준 46 7 2" xfId="3630"/>
    <cellStyle name="표준 46 8" xfId="3410"/>
    <cellStyle name="표준 46 8 2" xfId="3739"/>
    <cellStyle name="표준 46 9" xfId="3522"/>
    <cellStyle name="표준 47" xfId="3127"/>
    <cellStyle name="표준 48" xfId="3071"/>
    <cellStyle name="표준 49" xfId="3170"/>
    <cellStyle name="표준 5" xfId="3072"/>
    <cellStyle name="표준 5 2" xfId="3073"/>
    <cellStyle name="표준 5 3" xfId="3074"/>
    <cellStyle name="표준 5 4" xfId="3075"/>
    <cellStyle name="표준 5 5" xfId="3076"/>
    <cellStyle name="표준 5 6" xfId="3077"/>
    <cellStyle name="표준 5 7" xfId="3078"/>
    <cellStyle name="표준 5 8" xfId="3079"/>
    <cellStyle name="표준 5 9" xfId="3080"/>
    <cellStyle name="표준 50" xfId="3081"/>
    <cellStyle name="표준 51" xfId="3082"/>
    <cellStyle name="표준 52" xfId="3083"/>
    <cellStyle name="표준 52 2" xfId="3084"/>
    <cellStyle name="표준 52 3" xfId="3085"/>
    <cellStyle name="표준 52 4" xfId="3086"/>
    <cellStyle name="표준 52 5" xfId="3087"/>
    <cellStyle name="표준 52 6" xfId="3088"/>
    <cellStyle name="표준 52 7" xfId="3089"/>
    <cellStyle name="표준 53" xfId="3171"/>
    <cellStyle name="표준 54" xfId="3173"/>
    <cellStyle name="표준 55" xfId="3172"/>
    <cellStyle name="표준 55 2" xfId="3190"/>
    <cellStyle name="표준 55 2 2" xfId="3211"/>
    <cellStyle name="표준 55 2 2 2" xfId="3271"/>
    <cellStyle name="표준 55 2 2 2 2" xfId="3383"/>
    <cellStyle name="표준 55 2 2 2 2 2" xfId="3712"/>
    <cellStyle name="표준 55 2 2 2 3" xfId="3492"/>
    <cellStyle name="표준 55 2 2 2 3 2" xfId="3821"/>
    <cellStyle name="표준 55 2 2 2 4" xfId="3604"/>
    <cellStyle name="표준 55 2 2 3" xfId="3329"/>
    <cellStyle name="표준 55 2 2 3 2" xfId="3658"/>
    <cellStyle name="표준 55 2 2 4" xfId="3438"/>
    <cellStyle name="표준 55 2 2 4 2" xfId="3767"/>
    <cellStyle name="표준 55 2 2 5" xfId="3550"/>
    <cellStyle name="표준 55 2 3" xfId="3233"/>
    <cellStyle name="표준 55 2 3 2" xfId="3291"/>
    <cellStyle name="표준 55 2 3 2 2" xfId="3403"/>
    <cellStyle name="표준 55 2 3 2 2 2" xfId="3732"/>
    <cellStyle name="표준 55 2 3 2 3" xfId="3512"/>
    <cellStyle name="표준 55 2 3 2 3 2" xfId="3841"/>
    <cellStyle name="표준 55 2 3 2 4" xfId="3624"/>
    <cellStyle name="표준 55 2 3 3" xfId="3349"/>
    <cellStyle name="표준 55 2 3 3 2" xfId="3678"/>
    <cellStyle name="표준 55 2 3 4" xfId="3458"/>
    <cellStyle name="표준 55 2 3 4 2" xfId="3787"/>
    <cellStyle name="표준 55 2 3 5" xfId="3570"/>
    <cellStyle name="표준 55 2 4" xfId="3254"/>
    <cellStyle name="표준 55 2 4 2" xfId="3366"/>
    <cellStyle name="표준 55 2 4 2 2" xfId="3695"/>
    <cellStyle name="표준 55 2 4 3" xfId="3475"/>
    <cellStyle name="표준 55 2 4 3 2" xfId="3804"/>
    <cellStyle name="표준 55 2 4 4" xfId="3587"/>
    <cellStyle name="표준 55 2 5" xfId="3312"/>
    <cellStyle name="표준 55 2 5 2" xfId="3641"/>
    <cellStyle name="표준 55 2 6" xfId="3421"/>
    <cellStyle name="표준 55 2 6 2" xfId="3750"/>
    <cellStyle name="표준 55 2 7" xfId="3533"/>
    <cellStyle name="표준 55 3" xfId="3201"/>
    <cellStyle name="표준 55 3 2" xfId="3261"/>
    <cellStyle name="표준 55 3 2 2" xfId="3373"/>
    <cellStyle name="표준 55 3 2 2 2" xfId="3702"/>
    <cellStyle name="표준 55 3 2 3" xfId="3482"/>
    <cellStyle name="표준 55 3 2 3 2" xfId="3811"/>
    <cellStyle name="표준 55 3 2 4" xfId="3594"/>
    <cellStyle name="표준 55 3 3" xfId="3319"/>
    <cellStyle name="표준 55 3 3 2" xfId="3648"/>
    <cellStyle name="표준 55 3 4" xfId="3428"/>
    <cellStyle name="표준 55 3 4 2" xfId="3757"/>
    <cellStyle name="표준 55 3 5" xfId="3540"/>
    <cellStyle name="표준 55 4" xfId="3223"/>
    <cellStyle name="표준 55 4 2" xfId="3281"/>
    <cellStyle name="표준 55 4 2 2" xfId="3393"/>
    <cellStyle name="표준 55 4 2 2 2" xfId="3722"/>
    <cellStyle name="표준 55 4 2 3" xfId="3502"/>
    <cellStyle name="표준 55 4 2 3 2" xfId="3831"/>
    <cellStyle name="표준 55 4 2 4" xfId="3614"/>
    <cellStyle name="표준 55 4 3" xfId="3339"/>
    <cellStyle name="표준 55 4 3 2" xfId="3668"/>
    <cellStyle name="표준 55 4 4" xfId="3448"/>
    <cellStyle name="표준 55 4 4 2" xfId="3777"/>
    <cellStyle name="표준 55 4 5" xfId="3560"/>
    <cellStyle name="표준 55 5" xfId="3244"/>
    <cellStyle name="표준 55 5 2" xfId="3356"/>
    <cellStyle name="표준 55 5 2 2" xfId="3685"/>
    <cellStyle name="표준 55 5 3" xfId="3465"/>
    <cellStyle name="표준 55 5 3 2" xfId="3794"/>
    <cellStyle name="표준 55 5 4" xfId="3577"/>
    <cellStyle name="표준 55 6" xfId="3302"/>
    <cellStyle name="표준 55 6 2" xfId="3631"/>
    <cellStyle name="표준 55 7" xfId="3411"/>
    <cellStyle name="표준 55 7 2" xfId="3740"/>
    <cellStyle name="표준 55 8" xfId="3523"/>
    <cellStyle name="표준 56" xfId="3177"/>
    <cellStyle name="표준 56 2" xfId="3191"/>
    <cellStyle name="표준 56 2 2" xfId="3212"/>
    <cellStyle name="표준 56 2 2 2" xfId="3272"/>
    <cellStyle name="표준 56 2 2 2 2" xfId="3384"/>
    <cellStyle name="표준 56 2 2 2 2 2" xfId="3713"/>
    <cellStyle name="표준 56 2 2 2 3" xfId="3493"/>
    <cellStyle name="표준 56 2 2 2 3 2" xfId="3822"/>
    <cellStyle name="표준 56 2 2 2 4" xfId="3605"/>
    <cellStyle name="표준 56 2 2 3" xfId="3330"/>
    <cellStyle name="표준 56 2 2 3 2" xfId="3659"/>
    <cellStyle name="표준 56 2 2 4" xfId="3439"/>
    <cellStyle name="표준 56 2 2 4 2" xfId="3768"/>
    <cellStyle name="표준 56 2 2 5" xfId="3551"/>
    <cellStyle name="표준 56 2 3" xfId="3234"/>
    <cellStyle name="표준 56 2 3 2" xfId="3292"/>
    <cellStyle name="표준 56 2 3 2 2" xfId="3404"/>
    <cellStyle name="표준 56 2 3 2 2 2" xfId="3733"/>
    <cellStyle name="표준 56 2 3 2 3" xfId="3513"/>
    <cellStyle name="표준 56 2 3 2 3 2" xfId="3842"/>
    <cellStyle name="표준 56 2 3 2 4" xfId="3625"/>
    <cellStyle name="표준 56 2 3 3" xfId="3350"/>
    <cellStyle name="표준 56 2 3 3 2" xfId="3679"/>
    <cellStyle name="표준 56 2 3 4" xfId="3459"/>
    <cellStyle name="표준 56 2 3 4 2" xfId="3788"/>
    <cellStyle name="표준 56 2 3 5" xfId="3571"/>
    <cellStyle name="표준 56 2 4" xfId="3255"/>
    <cellStyle name="표준 56 2 4 2" xfId="3367"/>
    <cellStyle name="표준 56 2 4 2 2" xfId="3696"/>
    <cellStyle name="표준 56 2 4 3" xfId="3476"/>
    <cellStyle name="표준 56 2 4 3 2" xfId="3805"/>
    <cellStyle name="표준 56 2 4 4" xfId="3588"/>
    <cellStyle name="표준 56 2 5" xfId="3313"/>
    <cellStyle name="표준 56 2 5 2" xfId="3642"/>
    <cellStyle name="표준 56 2 6" xfId="3422"/>
    <cellStyle name="표준 56 2 6 2" xfId="3751"/>
    <cellStyle name="표준 56 2 7" xfId="3534"/>
    <cellStyle name="표준 56 3" xfId="3202"/>
    <cellStyle name="표준 56 3 2" xfId="3262"/>
    <cellStyle name="표준 56 3 2 2" xfId="3374"/>
    <cellStyle name="표준 56 3 2 2 2" xfId="3703"/>
    <cellStyle name="표준 56 3 2 3" xfId="3483"/>
    <cellStyle name="표준 56 3 2 3 2" xfId="3812"/>
    <cellStyle name="표준 56 3 2 4" xfId="3595"/>
    <cellStyle name="표준 56 3 3" xfId="3320"/>
    <cellStyle name="표준 56 3 3 2" xfId="3649"/>
    <cellStyle name="표준 56 3 4" xfId="3429"/>
    <cellStyle name="표준 56 3 4 2" xfId="3758"/>
    <cellStyle name="표준 56 3 5" xfId="3541"/>
    <cellStyle name="표준 56 4" xfId="3224"/>
    <cellStyle name="표준 56 4 2" xfId="3282"/>
    <cellStyle name="표준 56 4 2 2" xfId="3394"/>
    <cellStyle name="표준 56 4 2 2 2" xfId="3723"/>
    <cellStyle name="표준 56 4 2 3" xfId="3503"/>
    <cellStyle name="표준 56 4 2 3 2" xfId="3832"/>
    <cellStyle name="표준 56 4 2 4" xfId="3615"/>
    <cellStyle name="표준 56 4 3" xfId="3340"/>
    <cellStyle name="표준 56 4 3 2" xfId="3669"/>
    <cellStyle name="표준 56 4 4" xfId="3449"/>
    <cellStyle name="표준 56 4 4 2" xfId="3778"/>
    <cellStyle name="표준 56 4 5" xfId="3561"/>
    <cellStyle name="표준 56 5" xfId="3245"/>
    <cellStyle name="표준 56 5 2" xfId="3357"/>
    <cellStyle name="표준 56 5 2 2" xfId="3686"/>
    <cellStyle name="표준 56 5 3" xfId="3466"/>
    <cellStyle name="표준 56 5 3 2" xfId="3795"/>
    <cellStyle name="표준 56 5 4" xfId="3578"/>
    <cellStyle name="표준 56 6" xfId="3303"/>
    <cellStyle name="표준 56 6 2" xfId="3632"/>
    <cellStyle name="표준 56 7" xfId="3412"/>
    <cellStyle name="표준 56 7 2" xfId="3741"/>
    <cellStyle name="표준 56 8" xfId="3524"/>
    <cellStyle name="표준 57" xfId="3181"/>
    <cellStyle name="표준 58" xfId="3180"/>
    <cellStyle name="표준 58 2" xfId="3205"/>
    <cellStyle name="표준 58 2 2" xfId="3265"/>
    <cellStyle name="표준 58 2 2 2" xfId="3377"/>
    <cellStyle name="표준 58 2 2 2 2" xfId="3706"/>
    <cellStyle name="표준 58 2 2 3" xfId="3486"/>
    <cellStyle name="표준 58 2 2 3 2" xfId="3815"/>
    <cellStyle name="표준 58 2 2 4" xfId="3598"/>
    <cellStyle name="표준 58 2 3" xfId="3323"/>
    <cellStyle name="표준 58 2 3 2" xfId="3652"/>
    <cellStyle name="표준 58 2 4" xfId="3432"/>
    <cellStyle name="표준 58 2 4 2" xfId="3761"/>
    <cellStyle name="표준 58 2 5" xfId="3544"/>
    <cellStyle name="표준 58 3" xfId="3227"/>
    <cellStyle name="표준 58 3 2" xfId="3285"/>
    <cellStyle name="표준 58 3 2 2" xfId="3397"/>
    <cellStyle name="표준 58 3 2 2 2" xfId="3726"/>
    <cellStyle name="표준 58 3 2 3" xfId="3506"/>
    <cellStyle name="표준 58 3 2 3 2" xfId="3835"/>
    <cellStyle name="표준 58 3 2 4" xfId="3618"/>
    <cellStyle name="표준 58 3 3" xfId="3343"/>
    <cellStyle name="표준 58 3 3 2" xfId="3672"/>
    <cellStyle name="표준 58 3 4" xfId="3452"/>
    <cellStyle name="표준 58 3 4 2" xfId="3781"/>
    <cellStyle name="표준 58 3 5" xfId="3564"/>
    <cellStyle name="표준 58 4" xfId="3248"/>
    <cellStyle name="표준 58 4 2" xfId="3360"/>
    <cellStyle name="표준 58 4 2 2" xfId="3689"/>
    <cellStyle name="표준 58 4 3" xfId="3469"/>
    <cellStyle name="표준 58 4 3 2" xfId="3798"/>
    <cellStyle name="표준 58 4 4" xfId="3581"/>
    <cellStyle name="표준 58 5" xfId="3306"/>
    <cellStyle name="표준 58 5 2" xfId="3635"/>
    <cellStyle name="표준 58 6" xfId="3415"/>
    <cellStyle name="표준 58 6 2" xfId="3744"/>
    <cellStyle name="표준 58 7" xfId="3527"/>
    <cellStyle name="표준 59" xfId="3187"/>
    <cellStyle name="표준 59 2" xfId="3208"/>
    <cellStyle name="표준 59 2 2" xfId="3268"/>
    <cellStyle name="표준 59 2 2 2" xfId="3380"/>
    <cellStyle name="표준 59 2 2 2 2" xfId="3709"/>
    <cellStyle name="표준 59 2 2 3" xfId="3489"/>
    <cellStyle name="표준 59 2 2 3 2" xfId="3818"/>
    <cellStyle name="표준 59 2 2 4" xfId="3601"/>
    <cellStyle name="표준 59 2 3" xfId="3326"/>
    <cellStyle name="표준 59 2 3 2" xfId="3655"/>
    <cellStyle name="표준 59 2 4" xfId="3435"/>
    <cellStyle name="표준 59 2 4 2" xfId="3764"/>
    <cellStyle name="표준 59 2 5" xfId="3547"/>
    <cellStyle name="표준 59 3" xfId="3230"/>
    <cellStyle name="표준 59 3 2" xfId="3288"/>
    <cellStyle name="표준 59 3 2 2" xfId="3400"/>
    <cellStyle name="표준 59 3 2 2 2" xfId="3729"/>
    <cellStyle name="표준 59 3 2 3" xfId="3509"/>
    <cellStyle name="표준 59 3 2 3 2" xfId="3838"/>
    <cellStyle name="표준 59 3 2 4" xfId="3621"/>
    <cellStyle name="표준 59 3 3" xfId="3346"/>
    <cellStyle name="표준 59 3 3 2" xfId="3675"/>
    <cellStyle name="표준 59 3 4" xfId="3455"/>
    <cellStyle name="표준 59 3 4 2" xfId="3784"/>
    <cellStyle name="표준 59 3 5" xfId="3567"/>
    <cellStyle name="표준 59 4" xfId="3251"/>
    <cellStyle name="표준 59 4 2" xfId="3363"/>
    <cellStyle name="표준 59 4 2 2" xfId="3692"/>
    <cellStyle name="표준 59 4 3" xfId="3472"/>
    <cellStyle name="표준 59 4 3 2" xfId="3801"/>
    <cellStyle name="표준 59 4 4" xfId="3584"/>
    <cellStyle name="표준 59 5" xfId="3309"/>
    <cellStyle name="표준 59 5 2" xfId="3638"/>
    <cellStyle name="표준 59 6" xfId="3418"/>
    <cellStyle name="표준 59 6 2" xfId="3747"/>
    <cellStyle name="표준 59 7" xfId="3530"/>
    <cellStyle name="표준 6" xfId="3090"/>
    <cellStyle name="표준 6 2" xfId="3091"/>
    <cellStyle name="표준 60" xfId="3182"/>
    <cellStyle name="표준 60 2" xfId="3206"/>
    <cellStyle name="표준 60 2 2" xfId="3266"/>
    <cellStyle name="표준 60 2 2 2" xfId="3378"/>
    <cellStyle name="표준 60 2 2 2 2" xfId="3707"/>
    <cellStyle name="표준 60 2 2 3" xfId="3487"/>
    <cellStyle name="표준 60 2 2 3 2" xfId="3816"/>
    <cellStyle name="표준 60 2 2 4" xfId="3599"/>
    <cellStyle name="표준 60 2 3" xfId="3324"/>
    <cellStyle name="표준 60 2 3 2" xfId="3653"/>
    <cellStyle name="표준 60 2 4" xfId="3433"/>
    <cellStyle name="표준 60 2 4 2" xfId="3762"/>
    <cellStyle name="표준 60 2 5" xfId="3545"/>
    <cellStyle name="표준 60 3" xfId="3228"/>
    <cellStyle name="표준 60 3 2" xfId="3286"/>
    <cellStyle name="표준 60 3 2 2" xfId="3398"/>
    <cellStyle name="표준 60 3 2 2 2" xfId="3727"/>
    <cellStyle name="표준 60 3 2 3" xfId="3507"/>
    <cellStyle name="표준 60 3 2 3 2" xfId="3836"/>
    <cellStyle name="표준 60 3 2 4" xfId="3619"/>
    <cellStyle name="표준 60 3 3" xfId="3344"/>
    <cellStyle name="표준 60 3 3 2" xfId="3673"/>
    <cellStyle name="표준 60 3 4" xfId="3453"/>
    <cellStyle name="표준 60 3 4 2" xfId="3782"/>
    <cellStyle name="표준 60 3 5" xfId="3565"/>
    <cellStyle name="표준 60 4" xfId="3249"/>
    <cellStyle name="표준 60 4 2" xfId="3361"/>
    <cellStyle name="표준 60 4 2 2" xfId="3690"/>
    <cellStyle name="표준 60 4 3" xfId="3470"/>
    <cellStyle name="표준 60 4 3 2" xfId="3799"/>
    <cellStyle name="표준 60 4 4" xfId="3582"/>
    <cellStyle name="표준 60 5" xfId="3307"/>
    <cellStyle name="표준 60 5 2" xfId="3636"/>
    <cellStyle name="표준 60 6" xfId="3416"/>
    <cellStyle name="표준 60 6 2" xfId="3745"/>
    <cellStyle name="표준 60 7" xfId="3528"/>
    <cellStyle name="표준 61" xfId="3186"/>
    <cellStyle name="표준 61 2" xfId="3207"/>
    <cellStyle name="표준 61 2 2" xfId="3267"/>
    <cellStyle name="표준 61 2 2 2" xfId="3379"/>
    <cellStyle name="표준 61 2 2 2 2" xfId="3708"/>
    <cellStyle name="표준 61 2 2 3" xfId="3488"/>
    <cellStyle name="표준 61 2 2 3 2" xfId="3817"/>
    <cellStyle name="표준 61 2 2 4" xfId="3600"/>
    <cellStyle name="표준 61 2 3" xfId="3325"/>
    <cellStyle name="표준 61 2 3 2" xfId="3654"/>
    <cellStyle name="표준 61 2 4" xfId="3434"/>
    <cellStyle name="표준 61 2 4 2" xfId="3763"/>
    <cellStyle name="표준 61 2 5" xfId="3546"/>
    <cellStyle name="표준 61 3" xfId="3229"/>
    <cellStyle name="표준 61 3 2" xfId="3287"/>
    <cellStyle name="표준 61 3 2 2" xfId="3399"/>
    <cellStyle name="표준 61 3 2 2 2" xfId="3728"/>
    <cellStyle name="표준 61 3 2 3" xfId="3508"/>
    <cellStyle name="표준 61 3 2 3 2" xfId="3837"/>
    <cellStyle name="표준 61 3 2 4" xfId="3620"/>
    <cellStyle name="표준 61 3 3" xfId="3345"/>
    <cellStyle name="표준 61 3 3 2" xfId="3674"/>
    <cellStyle name="표준 61 3 4" xfId="3454"/>
    <cellStyle name="표준 61 3 4 2" xfId="3783"/>
    <cellStyle name="표준 61 3 5" xfId="3566"/>
    <cellStyle name="표준 61 4" xfId="3250"/>
    <cellStyle name="표준 61 4 2" xfId="3362"/>
    <cellStyle name="표준 61 4 2 2" xfId="3691"/>
    <cellStyle name="표준 61 4 3" xfId="3471"/>
    <cellStyle name="표준 61 4 3 2" xfId="3800"/>
    <cellStyle name="표준 61 4 4" xfId="3583"/>
    <cellStyle name="표준 61 5" xfId="3308"/>
    <cellStyle name="표준 61 5 2" xfId="3637"/>
    <cellStyle name="표준 61 6" xfId="3417"/>
    <cellStyle name="표준 61 6 2" xfId="3746"/>
    <cellStyle name="표준 61 7" xfId="3529"/>
    <cellStyle name="표준 62" xfId="3195"/>
    <cellStyle name="표준 63" xfId="3194"/>
    <cellStyle name="표준 63 2" xfId="3258"/>
    <cellStyle name="표준 63 2 2" xfId="3370"/>
    <cellStyle name="표준 63 2 2 2" xfId="3699"/>
    <cellStyle name="표준 63 2 3" xfId="3479"/>
    <cellStyle name="표준 63 2 3 2" xfId="3808"/>
    <cellStyle name="표준 63 2 4" xfId="3591"/>
    <cellStyle name="표준 63 3" xfId="3316"/>
    <cellStyle name="표준 63 3 2" xfId="3645"/>
    <cellStyle name="표준 63 4" xfId="3425"/>
    <cellStyle name="표준 63 4 2" xfId="3754"/>
    <cellStyle name="표준 63 5" xfId="3537"/>
    <cellStyle name="표준 64" xfId="3215"/>
    <cellStyle name="표준 64 2" xfId="3275"/>
    <cellStyle name="표준 64 2 2" xfId="3387"/>
    <cellStyle name="표준 64 2 2 2" xfId="3716"/>
    <cellStyle name="표준 64 2 3" xfId="3496"/>
    <cellStyle name="표준 64 2 3 2" xfId="3825"/>
    <cellStyle name="표준 64 2 4" xfId="3608"/>
    <cellStyle name="표준 64 3" xfId="3333"/>
    <cellStyle name="표준 64 3 2" xfId="3662"/>
    <cellStyle name="표준 64 4" xfId="3442"/>
    <cellStyle name="표준 64 4 2" xfId="3771"/>
    <cellStyle name="표준 64 5" xfId="3554"/>
    <cellStyle name="표준 65" xfId="3220"/>
    <cellStyle name="표준 65 2" xfId="3278"/>
    <cellStyle name="표준 65 2 2" xfId="3390"/>
    <cellStyle name="표준 65 2 2 2" xfId="3719"/>
    <cellStyle name="표준 65 2 3" xfId="3499"/>
    <cellStyle name="표준 65 2 3 2" xfId="3828"/>
    <cellStyle name="표준 65 2 4" xfId="3611"/>
    <cellStyle name="표준 65 3" xfId="3336"/>
    <cellStyle name="표준 65 3 2" xfId="3665"/>
    <cellStyle name="표준 65 4" xfId="3445"/>
    <cellStyle name="표준 65 4 2" xfId="3774"/>
    <cellStyle name="표준 65 5" xfId="3557"/>
    <cellStyle name="표준 66" xfId="3238"/>
    <cellStyle name="표준 67" xfId="3237"/>
    <cellStyle name="표준 67 2" xfId="3353"/>
    <cellStyle name="표준 67 2 2" xfId="3682"/>
    <cellStyle name="표준 67 3" xfId="3462"/>
    <cellStyle name="표준 67 3 2" xfId="3791"/>
    <cellStyle name="표준 67 4" xfId="3574"/>
    <cellStyle name="표준 68" xfId="3296"/>
    <cellStyle name="표준 69" xfId="3295"/>
    <cellStyle name="표준 69 2" xfId="3628"/>
    <cellStyle name="표준 7" xfId="3092"/>
    <cellStyle name="표준 7 2" xfId="3093"/>
    <cellStyle name="표준 7 3" xfId="3094"/>
    <cellStyle name="표준 7 4" xfId="3095"/>
    <cellStyle name="표준 7 5" xfId="3096"/>
    <cellStyle name="표준 7 6" xfId="3097"/>
    <cellStyle name="표준 7 7" xfId="3098"/>
    <cellStyle name="표준 70" xfId="3407"/>
    <cellStyle name="표준 70 2" xfId="3736"/>
    <cellStyle name="표준 71" xfId="3408"/>
    <cellStyle name="표준 71 2" xfId="3737"/>
    <cellStyle name="표준 72" xfId="3517"/>
    <cellStyle name="표준 73" xfId="3516"/>
    <cellStyle name="표준 74" xfId="9"/>
    <cellStyle name="표준 8" xfId="3099"/>
    <cellStyle name="표준 8 2" xfId="3100"/>
    <cellStyle name="표준 8 3" xfId="3101"/>
    <cellStyle name="표준 8 4" xfId="3102"/>
    <cellStyle name="표준 9" xfId="3113"/>
    <cellStyle name="표준 9 2" xfId="3103"/>
    <cellStyle name="표준 9 3" xfId="3104"/>
    <cellStyle name="표준 9 4" xfId="3105"/>
    <cellStyle name="표준 9 5" xfId="3106"/>
    <cellStyle name="표준 9 6" xfId="3107"/>
    <cellStyle name="표준 9 7" xfId="3108"/>
    <cellStyle name="표준 9 8" xfId="3109"/>
    <cellStyle name="標準_Sheet1" xfId="3110"/>
    <cellStyle name="桁区切り 15" xfId="31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4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4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9.xml"/></Relationships>
</file>

<file path=xl/charts/_rels/chart5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_rels/chart5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3.xml"/></Relationships>
</file>

<file path=xl/charts/_rels/chart6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5.xml"/></Relationships>
</file>

<file path=xl/charts/_rels/chart6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7.xml"/></Relationships>
</file>

<file path=xl/charts/_rels/chart7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9.xml"/></Relationships>
</file>

<file path=xl/charts/_rels/chart7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1.xml"/></Relationships>
</file>

<file path=xl/charts/_rels/chart8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3.xml"/></Relationships>
</file>

<file path=xl/charts/_rels/chart8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5.xml"/></Relationships>
</file>

<file path=xl/charts/_rels/chart9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7.xml"/></Relationships>
</file>

<file path=xl/charts/_rels/chart9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9.xml"/></Relationships>
</file>

<file path=xl/charts/_rels/chart10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1.xml"/></Relationships>
</file>

<file path=xl/charts/_rels/chart10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3.xml"/></Relationships>
</file>

<file path=xl/charts/_rels/chart1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5.xml"/></Relationships>
</file>

<file path=xl/charts/_rels/chart11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7.xml"/></Relationships>
</file>

<file path=xl/charts/_rels/chart12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9.xml"/></Relationships>
</file>

<file path=xl/charts/_rels/chart12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1.xml"/></Relationships>
</file>

<file path=xl/charts/_rels/chart13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3.xml"/></Relationships>
</file>

<file path=xl/charts/_rels/chart13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aseline="0">
                <a:latin typeface="굴림체" pitchFamily="49" charset="-127"/>
              </a:defRPr>
            </a:pPr>
            <a:r>
              <a:rPr lang="en-US" altLang="ko-KR" baseline="0">
                <a:latin typeface="굴림체" pitchFamily="49" charset="-127"/>
              </a:rPr>
              <a:t>03</a:t>
            </a:r>
            <a:r>
              <a:rPr lang="ko-KR" altLang="en-US" baseline="0">
                <a:latin typeface="굴림체" pitchFamily="49" charset="-127"/>
              </a:rPr>
              <a:t>월 평균</a:t>
            </a:r>
          </a:p>
        </c:rich>
      </c:tx>
      <c:layout>
        <c:manualLayout>
          <c:xMode val="edge"/>
          <c:yMode val="edge"/>
          <c:x val="0.41871441689623512"/>
          <c:y val="5.2032520325203252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txPr>
              <a:bodyPr/>
              <a:lstStyle/>
              <a:p>
                <a:pPr>
                  <a:defRPr sz="9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29792"/>
        <c:axId val="20438796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29792"/>
        <c:axId val="204387968"/>
      </c:lineChart>
      <c:catAx>
        <c:axId val="2057297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4387968"/>
        <c:crosses val="autoZero"/>
        <c:auto val="1"/>
        <c:lblAlgn val="ctr"/>
        <c:lblOffset val="100"/>
        <c:noMultiLvlLbl val="0"/>
      </c:catAx>
      <c:valAx>
        <c:axId val="20438796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5729792"/>
        <c:crosses val="autoZero"/>
        <c:crossBetween val="between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03</a:t>
            </a:r>
            <a:r>
              <a:rPr lang="ko-KR" altLang="en-US"/>
              <a:t>월 호기별 가동율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총괄!$AG$2</c:f>
              <c:strCache>
                <c:ptCount val="1"/>
                <c:pt idx="0">
                  <c:v>평균</c:v>
                </c:pt>
              </c:strCache>
            </c:strRef>
          </c:tx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총괄!$A$3:$A$17</c:f>
              <c:strCache>
                <c:ptCount val="15"/>
                <c:pt idx="0">
                  <c:v>1호기</c:v>
                </c:pt>
                <c:pt idx="1">
                  <c:v>2호기</c:v>
                </c:pt>
                <c:pt idx="2">
                  <c:v>3호기</c:v>
                </c:pt>
                <c:pt idx="3">
                  <c:v>4호기</c:v>
                </c:pt>
                <c:pt idx="4">
                  <c:v>5호기</c:v>
                </c:pt>
                <c:pt idx="5">
                  <c:v>6호기</c:v>
                </c:pt>
                <c:pt idx="6">
                  <c:v>7호기</c:v>
                </c:pt>
                <c:pt idx="7">
                  <c:v>8호기</c:v>
                </c:pt>
                <c:pt idx="8">
                  <c:v>9호기</c:v>
                </c:pt>
                <c:pt idx="9">
                  <c:v>10호기</c:v>
                </c:pt>
                <c:pt idx="10">
                  <c:v>11호기</c:v>
                </c:pt>
                <c:pt idx="11">
                  <c:v>12호기</c:v>
                </c:pt>
                <c:pt idx="12">
                  <c:v>13호기</c:v>
                </c:pt>
                <c:pt idx="13">
                  <c:v>14호기</c:v>
                </c:pt>
                <c:pt idx="14">
                  <c:v>15호기</c:v>
                </c:pt>
              </c:strCache>
            </c:strRef>
          </c:cat>
          <c:val>
            <c:numRef>
              <c:f>총괄!$AG$3:$AG$17</c:f>
              <c:numCache>
                <c:formatCode>0%</c:formatCode>
                <c:ptCount val="15"/>
                <c:pt idx="0">
                  <c:v>0.13341633203128966</c:v>
                </c:pt>
                <c:pt idx="1">
                  <c:v>0.54371959059228725</c:v>
                </c:pt>
                <c:pt idx="2">
                  <c:v>0.39478428704310253</c:v>
                </c:pt>
                <c:pt idx="3">
                  <c:v>0.44685981583982043</c:v>
                </c:pt>
                <c:pt idx="4">
                  <c:v>0.44017983773833352</c:v>
                </c:pt>
                <c:pt idx="5">
                  <c:v>0.27113004835691978</c:v>
                </c:pt>
                <c:pt idx="6">
                  <c:v>0.18379161594744681</c:v>
                </c:pt>
                <c:pt idx="7">
                  <c:v>0.6094342158305085</c:v>
                </c:pt>
                <c:pt idx="8">
                  <c:v>0.28490669964938847</c:v>
                </c:pt>
                <c:pt idx="9">
                  <c:v>0.18138768469784761</c:v>
                </c:pt>
                <c:pt idx="10">
                  <c:v>0.63392990223080492</c:v>
                </c:pt>
                <c:pt idx="11">
                  <c:v>0.3101490666885901</c:v>
                </c:pt>
                <c:pt idx="12">
                  <c:v>0.51669632273029331</c:v>
                </c:pt>
                <c:pt idx="13">
                  <c:v>0.61370063819967413</c:v>
                </c:pt>
                <c:pt idx="14">
                  <c:v>0.11401736198693227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31328"/>
        <c:axId val="205914112"/>
      </c:barChart>
      <c:catAx>
        <c:axId val="205731328"/>
        <c:scaling>
          <c:orientation val="minMax"/>
        </c:scaling>
        <c:delete val="0"/>
        <c:axPos val="b"/>
        <c:majorTickMark val="out"/>
        <c:minorTickMark val="none"/>
        <c:tickLblPos val="nextTo"/>
        <c:crossAx val="205914112"/>
        <c:crosses val="autoZero"/>
        <c:auto val="1"/>
        <c:lblAlgn val="ctr"/>
        <c:lblOffset val="100"/>
        <c:noMultiLvlLbl val="0"/>
      </c:catAx>
      <c:valAx>
        <c:axId val="205914112"/>
        <c:scaling>
          <c:orientation val="minMax"/>
          <c:max val="1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57313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2">
                  <c:v>5561</c:v>
                </c:pt>
                <c:pt idx="3">
                  <c:v>190</c:v>
                </c:pt>
                <c:pt idx="4">
                  <c:v>3598</c:v>
                </c:pt>
                <c:pt idx="5">
                  <c:v>5167</c:v>
                </c:pt>
                <c:pt idx="6">
                  <c:v>4694</c:v>
                </c:pt>
                <c:pt idx="7">
                  <c:v>3389</c:v>
                </c:pt>
                <c:pt idx="9">
                  <c:v>15894</c:v>
                </c:pt>
                <c:pt idx="10">
                  <c:v>5618</c:v>
                </c:pt>
                <c:pt idx="11">
                  <c:v>5018</c:v>
                </c:pt>
                <c:pt idx="12">
                  <c:v>4960</c:v>
                </c:pt>
                <c:pt idx="13">
                  <c:v>3878</c:v>
                </c:pt>
                <c:pt idx="14">
                  <c:v>54312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3640</c:v>
                </c:pt>
                <c:pt idx="1">
                  <c:v>2670</c:v>
                </c:pt>
                <c:pt idx="2">
                  <c:v>5570</c:v>
                </c:pt>
                <c:pt idx="3">
                  <c:v>190</c:v>
                </c:pt>
                <c:pt idx="4">
                  <c:v>3600</c:v>
                </c:pt>
                <c:pt idx="5">
                  <c:v>5170</c:v>
                </c:pt>
                <c:pt idx="6">
                  <c:v>4700</c:v>
                </c:pt>
                <c:pt idx="7">
                  <c:v>3400</c:v>
                </c:pt>
                <c:pt idx="8">
                  <c:v>410</c:v>
                </c:pt>
                <c:pt idx="9">
                  <c:v>15900</c:v>
                </c:pt>
                <c:pt idx="10">
                  <c:v>5620</c:v>
                </c:pt>
                <c:pt idx="11">
                  <c:v>5020</c:v>
                </c:pt>
                <c:pt idx="12">
                  <c:v>4960</c:v>
                </c:pt>
                <c:pt idx="13">
                  <c:v>3880</c:v>
                </c:pt>
                <c:pt idx="14">
                  <c:v>54320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86848"/>
        <c:axId val="205915840"/>
      </c:lineChart>
      <c:catAx>
        <c:axId val="20628684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5915840"/>
        <c:crosses val="autoZero"/>
        <c:auto val="1"/>
        <c:lblAlgn val="ctr"/>
        <c:lblOffset val="100"/>
        <c:noMultiLvlLbl val="0"/>
      </c:catAx>
      <c:valAx>
        <c:axId val="2059158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628684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0% 100% 8% 83% 100% 96% 83% 0% 100% 100% 100% 100%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0.99838420107719927</c:v>
                </c:pt>
                <c:pt idx="3">
                  <c:v>8.3333333333333329E-2</c:v>
                </c:pt>
                <c:pt idx="4">
                  <c:v>0.83287037037037037</c:v>
                </c:pt>
                <c:pt idx="5">
                  <c:v>0.9994197292069632</c:v>
                </c:pt>
                <c:pt idx="6">
                  <c:v>0.95710992907801418</c:v>
                </c:pt>
                <c:pt idx="7">
                  <c:v>0.83063725490196072</c:v>
                </c:pt>
                <c:pt idx="8">
                  <c:v>0</c:v>
                </c:pt>
                <c:pt idx="9">
                  <c:v>0.99962264150943392</c:v>
                </c:pt>
                <c:pt idx="10">
                  <c:v>0.99964412811387904</c:v>
                </c:pt>
                <c:pt idx="11">
                  <c:v>0.99960159362549805</c:v>
                </c:pt>
                <c:pt idx="12">
                  <c:v>1</c:v>
                </c:pt>
                <c:pt idx="13">
                  <c:v>0.83290378006872856</c:v>
                </c:pt>
                <c:pt idx="14">
                  <c:v>0.99985272459499264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0.7022253123920249</c:v>
                </c:pt>
                <c:pt idx="1">
                  <c:v>0.7022253123920249</c:v>
                </c:pt>
                <c:pt idx="2">
                  <c:v>0.7022253123920249</c:v>
                </c:pt>
                <c:pt idx="3">
                  <c:v>0.7022253123920249</c:v>
                </c:pt>
                <c:pt idx="4">
                  <c:v>0.7022253123920249</c:v>
                </c:pt>
                <c:pt idx="5">
                  <c:v>0.7022253123920249</c:v>
                </c:pt>
                <c:pt idx="6">
                  <c:v>0.7022253123920249</c:v>
                </c:pt>
                <c:pt idx="7">
                  <c:v>0.7022253123920249</c:v>
                </c:pt>
                <c:pt idx="8">
                  <c:v>0.7022253123920249</c:v>
                </c:pt>
                <c:pt idx="9">
                  <c:v>0.7022253123920249</c:v>
                </c:pt>
                <c:pt idx="10">
                  <c:v>0.7022253123920249</c:v>
                </c:pt>
                <c:pt idx="11">
                  <c:v>0.7022253123920249</c:v>
                </c:pt>
                <c:pt idx="12">
                  <c:v>0.7022253123920249</c:v>
                </c:pt>
                <c:pt idx="13">
                  <c:v>0.7022253123920249</c:v>
                </c:pt>
                <c:pt idx="14">
                  <c:v>0.7022253123920249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88384"/>
        <c:axId val="205917568"/>
      </c:lineChart>
      <c:catAx>
        <c:axId val="206288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5917568"/>
        <c:crosses val="autoZero"/>
        <c:auto val="1"/>
        <c:lblAlgn val="ctr"/>
        <c:lblOffset val="100"/>
        <c:noMultiLvlLbl val="0"/>
      </c:catAx>
      <c:valAx>
        <c:axId val="20591756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6288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'01'!$D$6:$D$20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2">
                  <c:v>5561</c:v>
                </c:pt>
                <c:pt idx="3">
                  <c:v>190</c:v>
                </c:pt>
                <c:pt idx="4">
                  <c:v>3598</c:v>
                </c:pt>
                <c:pt idx="5">
                  <c:v>5167</c:v>
                </c:pt>
                <c:pt idx="6">
                  <c:v>4694</c:v>
                </c:pt>
                <c:pt idx="7">
                  <c:v>3389</c:v>
                </c:pt>
                <c:pt idx="9">
                  <c:v>15894</c:v>
                </c:pt>
                <c:pt idx="10">
                  <c:v>5618</c:v>
                </c:pt>
                <c:pt idx="11">
                  <c:v>5018</c:v>
                </c:pt>
                <c:pt idx="12">
                  <c:v>4960</c:v>
                </c:pt>
                <c:pt idx="13">
                  <c:v>3878</c:v>
                </c:pt>
                <c:pt idx="14">
                  <c:v>54312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'01'!$D$6:$D$20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'01'!$J$6:$J$20</c:f>
              <c:numCache>
                <c:formatCode>_(* #,##0_);_(* \(#,##0\);_(* "-"_);_(@_)</c:formatCode>
                <c:ptCount val="15"/>
                <c:pt idx="0">
                  <c:v>3640</c:v>
                </c:pt>
                <c:pt idx="1">
                  <c:v>2670</c:v>
                </c:pt>
                <c:pt idx="2">
                  <c:v>5570</c:v>
                </c:pt>
                <c:pt idx="3">
                  <c:v>190</c:v>
                </c:pt>
                <c:pt idx="4">
                  <c:v>3600</c:v>
                </c:pt>
                <c:pt idx="5">
                  <c:v>5170</c:v>
                </c:pt>
                <c:pt idx="6">
                  <c:v>4700</c:v>
                </c:pt>
                <c:pt idx="7">
                  <c:v>3400</c:v>
                </c:pt>
                <c:pt idx="8">
                  <c:v>410</c:v>
                </c:pt>
                <c:pt idx="9">
                  <c:v>15900</c:v>
                </c:pt>
                <c:pt idx="10">
                  <c:v>5620</c:v>
                </c:pt>
                <c:pt idx="11">
                  <c:v>5020</c:v>
                </c:pt>
                <c:pt idx="12">
                  <c:v>4960</c:v>
                </c:pt>
                <c:pt idx="13">
                  <c:v>3880</c:v>
                </c:pt>
                <c:pt idx="14">
                  <c:v>54320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88896"/>
        <c:axId val="205919872"/>
      </c:lineChart>
      <c:catAx>
        <c:axId val="2062888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5919872"/>
        <c:crosses val="autoZero"/>
        <c:auto val="1"/>
        <c:lblAlgn val="ctr"/>
        <c:lblOffset val="100"/>
        <c:noMultiLvlLbl val="0"/>
      </c:catAx>
      <c:valAx>
        <c:axId val="2059198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6288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'01'!$AD$6:$AD$20</c:f>
              <c:strCache>
                <c:ptCount val="1"/>
                <c:pt idx="0">
                  <c:v>0% 0% 100% 8% 83% 100% 96% 83% 0% 100% 100% 100% 100% 83%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'01'!$D$6:$D$20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0.99838420107719927</c:v>
                </c:pt>
                <c:pt idx="3">
                  <c:v>8.3333333333333329E-2</c:v>
                </c:pt>
                <c:pt idx="4">
                  <c:v>0.83287037037037037</c:v>
                </c:pt>
                <c:pt idx="5">
                  <c:v>0.9994197292069632</c:v>
                </c:pt>
                <c:pt idx="6">
                  <c:v>0.95710992907801418</c:v>
                </c:pt>
                <c:pt idx="7">
                  <c:v>0.83063725490196072</c:v>
                </c:pt>
                <c:pt idx="8">
                  <c:v>0</c:v>
                </c:pt>
                <c:pt idx="9">
                  <c:v>0.99962264150943392</c:v>
                </c:pt>
                <c:pt idx="10">
                  <c:v>0.99964412811387904</c:v>
                </c:pt>
                <c:pt idx="11">
                  <c:v>0.99960159362549805</c:v>
                </c:pt>
                <c:pt idx="12">
                  <c:v>1</c:v>
                </c:pt>
                <c:pt idx="13">
                  <c:v>0.83290378006872856</c:v>
                </c:pt>
                <c:pt idx="14">
                  <c:v>0.99985272459499264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'01'!$D$6:$D$20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F/ADAPTER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'01'!$AE$6:$AE$20</c:f>
              <c:numCache>
                <c:formatCode>0%</c:formatCode>
                <c:ptCount val="15"/>
                <c:pt idx="0">
                  <c:v>0.7022253123920249</c:v>
                </c:pt>
                <c:pt idx="1">
                  <c:v>0.7022253123920249</c:v>
                </c:pt>
                <c:pt idx="2">
                  <c:v>0.7022253123920249</c:v>
                </c:pt>
                <c:pt idx="3">
                  <c:v>0.7022253123920249</c:v>
                </c:pt>
                <c:pt idx="4">
                  <c:v>0.7022253123920249</c:v>
                </c:pt>
                <c:pt idx="5">
                  <c:v>0.7022253123920249</c:v>
                </c:pt>
                <c:pt idx="6">
                  <c:v>0.7022253123920249</c:v>
                </c:pt>
                <c:pt idx="7">
                  <c:v>0.7022253123920249</c:v>
                </c:pt>
                <c:pt idx="8">
                  <c:v>0.7022253123920249</c:v>
                </c:pt>
                <c:pt idx="9">
                  <c:v>0.7022253123920249</c:v>
                </c:pt>
                <c:pt idx="10">
                  <c:v>0.7022253123920249</c:v>
                </c:pt>
                <c:pt idx="11">
                  <c:v>0.7022253123920249</c:v>
                </c:pt>
                <c:pt idx="12">
                  <c:v>0.7022253123920249</c:v>
                </c:pt>
                <c:pt idx="13">
                  <c:v>0.7022253123920249</c:v>
                </c:pt>
                <c:pt idx="14">
                  <c:v>0.7022253123920249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289920"/>
        <c:axId val="205921600"/>
      </c:lineChart>
      <c:catAx>
        <c:axId val="206289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5921600"/>
        <c:crosses val="autoZero"/>
        <c:auto val="1"/>
        <c:lblAlgn val="ctr"/>
        <c:lblOffset val="100"/>
        <c:noMultiLvlLbl val="0"/>
      </c:catAx>
      <c:valAx>
        <c:axId val="2059216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6289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731840"/>
        <c:axId val="2061616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31840"/>
        <c:axId val="206161600"/>
      </c:lineChart>
      <c:catAx>
        <c:axId val="2057318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161600"/>
        <c:crosses val="autoZero"/>
        <c:auto val="1"/>
        <c:lblAlgn val="ctr"/>
        <c:lblOffset val="100"/>
        <c:noMultiLvlLbl val="0"/>
      </c:catAx>
      <c:valAx>
        <c:axId val="2061616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573184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BASE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2">
                  <c:v>4409</c:v>
                </c:pt>
                <c:pt idx="4">
                  <c:v>3801</c:v>
                </c:pt>
                <c:pt idx="5">
                  <c:v>1928</c:v>
                </c:pt>
                <c:pt idx="6">
                  <c:v>1682</c:v>
                </c:pt>
                <c:pt idx="7">
                  <c:v>1897</c:v>
                </c:pt>
                <c:pt idx="8">
                  <c:v>4558</c:v>
                </c:pt>
                <c:pt idx="9">
                  <c:v>3410</c:v>
                </c:pt>
                <c:pt idx="10">
                  <c:v>15894</c:v>
                </c:pt>
                <c:pt idx="11">
                  <c:v>5403</c:v>
                </c:pt>
                <c:pt idx="12">
                  <c:v>3638</c:v>
                </c:pt>
                <c:pt idx="13">
                  <c:v>2945</c:v>
                </c:pt>
                <c:pt idx="14">
                  <c:v>4561</c:v>
                </c:pt>
                <c:pt idx="15">
                  <c:v>54884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BASE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3640</c:v>
                </c:pt>
                <c:pt idx="1">
                  <c:v>2670</c:v>
                </c:pt>
                <c:pt idx="2">
                  <c:v>4410</c:v>
                </c:pt>
                <c:pt idx="3">
                  <c:v>190</c:v>
                </c:pt>
                <c:pt idx="4">
                  <c:v>3810</c:v>
                </c:pt>
                <c:pt idx="5">
                  <c:v>1930</c:v>
                </c:pt>
                <c:pt idx="6">
                  <c:v>1690</c:v>
                </c:pt>
                <c:pt idx="7">
                  <c:v>1900</c:v>
                </c:pt>
                <c:pt idx="8">
                  <c:v>4560</c:v>
                </c:pt>
                <c:pt idx="9">
                  <c:v>3410</c:v>
                </c:pt>
                <c:pt idx="10">
                  <c:v>15900</c:v>
                </c:pt>
                <c:pt idx="11">
                  <c:v>5410</c:v>
                </c:pt>
                <c:pt idx="12">
                  <c:v>3640</c:v>
                </c:pt>
                <c:pt idx="13">
                  <c:v>2950</c:v>
                </c:pt>
                <c:pt idx="14">
                  <c:v>4570</c:v>
                </c:pt>
                <c:pt idx="15">
                  <c:v>54900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896640"/>
        <c:axId val="206164480"/>
      </c:lineChart>
      <c:catAx>
        <c:axId val="2068966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6164480"/>
        <c:crosses val="autoZero"/>
        <c:auto val="1"/>
        <c:lblAlgn val="ctr"/>
        <c:lblOffset val="100"/>
        <c:noMultiLvlLbl val="0"/>
      </c:catAx>
      <c:valAx>
        <c:axId val="2061644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68966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"/>
                <c:pt idx="0">
                  <c:v>0% 0% 92% 0% 83% 42% 29% 54% 100% 79% 100% 100% 67% 58%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BASE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0.91645880574451999</c:v>
                </c:pt>
                <c:pt idx="3">
                  <c:v>0</c:v>
                </c:pt>
                <c:pt idx="4">
                  <c:v>0.8313648293963255</c:v>
                </c:pt>
                <c:pt idx="5">
                  <c:v>0.41623488773747841</c:v>
                </c:pt>
                <c:pt idx="6">
                  <c:v>0.29028599605522687</c:v>
                </c:pt>
                <c:pt idx="7">
                  <c:v>0.54081140350877188</c:v>
                </c:pt>
                <c:pt idx="8">
                  <c:v>0.99956140350877198</c:v>
                </c:pt>
                <c:pt idx="9">
                  <c:v>0.79166666666666663</c:v>
                </c:pt>
                <c:pt idx="10">
                  <c:v>0.99962264150943392</c:v>
                </c:pt>
                <c:pt idx="11">
                  <c:v>0.99870609981515712</c:v>
                </c:pt>
                <c:pt idx="12">
                  <c:v>0.66630036630036626</c:v>
                </c:pt>
                <c:pt idx="13">
                  <c:v>0.58234463276836168</c:v>
                </c:pt>
                <c:pt idx="14">
                  <c:v>0.99803063457330421</c:v>
                </c:pt>
                <c:pt idx="15">
                  <c:v>0.99970856102003647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BASE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0.66873979524029481</c:v>
                </c:pt>
                <c:pt idx="1">
                  <c:v>0.66873979524029481</c:v>
                </c:pt>
                <c:pt idx="2">
                  <c:v>0.66873979524029481</c:v>
                </c:pt>
                <c:pt idx="3">
                  <c:v>0.66873979524029481</c:v>
                </c:pt>
                <c:pt idx="4">
                  <c:v>0.66873979524029481</c:v>
                </c:pt>
                <c:pt idx="5">
                  <c:v>0.66873979524029481</c:v>
                </c:pt>
                <c:pt idx="6">
                  <c:v>0.66873979524029481</c:v>
                </c:pt>
                <c:pt idx="7">
                  <c:v>0.66873979524029481</c:v>
                </c:pt>
                <c:pt idx="8">
                  <c:v>0.66873979524029481</c:v>
                </c:pt>
                <c:pt idx="9">
                  <c:v>0.66873979524029481</c:v>
                </c:pt>
                <c:pt idx="10">
                  <c:v>0.66873979524029481</c:v>
                </c:pt>
                <c:pt idx="11">
                  <c:v>0.66873979524029481</c:v>
                </c:pt>
                <c:pt idx="12">
                  <c:v>0.66873979524029481</c:v>
                </c:pt>
                <c:pt idx="13">
                  <c:v>0.66873979524029481</c:v>
                </c:pt>
                <c:pt idx="14">
                  <c:v>0.66873979524029481</c:v>
                </c:pt>
                <c:pt idx="15">
                  <c:v>0.66873979524029481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8144"/>
        <c:axId val="206166208"/>
      </c:lineChart>
      <c:catAx>
        <c:axId val="20691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6166208"/>
        <c:crosses val="autoZero"/>
        <c:auto val="1"/>
        <c:lblAlgn val="ctr"/>
        <c:lblOffset val="100"/>
        <c:noMultiLvlLbl val="0"/>
      </c:catAx>
      <c:valAx>
        <c:axId val="2061662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6918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'02'!$D$6:$D$21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BASE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'02'!$L$6:$L$21</c:f>
              <c:numCache>
                <c:formatCode>_(* #,##0_);_(* \(#,##0\);_(* "-"_);_(@_)</c:formatCode>
                <c:ptCount val="16"/>
                <c:pt idx="2">
                  <c:v>4409</c:v>
                </c:pt>
                <c:pt idx="4">
                  <c:v>3801</c:v>
                </c:pt>
                <c:pt idx="5">
                  <c:v>1928</c:v>
                </c:pt>
                <c:pt idx="6">
                  <c:v>1682</c:v>
                </c:pt>
                <c:pt idx="7">
                  <c:v>1897</c:v>
                </c:pt>
                <c:pt idx="8">
                  <c:v>4558</c:v>
                </c:pt>
                <c:pt idx="9">
                  <c:v>3410</c:v>
                </c:pt>
                <c:pt idx="10">
                  <c:v>15894</c:v>
                </c:pt>
                <c:pt idx="11">
                  <c:v>5403</c:v>
                </c:pt>
                <c:pt idx="12">
                  <c:v>3638</c:v>
                </c:pt>
                <c:pt idx="13">
                  <c:v>2945</c:v>
                </c:pt>
                <c:pt idx="14">
                  <c:v>4561</c:v>
                </c:pt>
                <c:pt idx="15">
                  <c:v>54884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'02'!$D$6:$D$21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BASE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'02'!$J$6:$J$21</c:f>
              <c:numCache>
                <c:formatCode>_(* #,##0_);_(* \(#,##0\);_(* "-"_);_(@_)</c:formatCode>
                <c:ptCount val="16"/>
                <c:pt idx="0">
                  <c:v>3640</c:v>
                </c:pt>
                <c:pt idx="1">
                  <c:v>2670</c:v>
                </c:pt>
                <c:pt idx="2">
                  <c:v>4410</c:v>
                </c:pt>
                <c:pt idx="3">
                  <c:v>190</c:v>
                </c:pt>
                <c:pt idx="4">
                  <c:v>3810</c:v>
                </c:pt>
                <c:pt idx="5">
                  <c:v>1930</c:v>
                </c:pt>
                <c:pt idx="6">
                  <c:v>1690</c:v>
                </c:pt>
                <c:pt idx="7">
                  <c:v>1900</c:v>
                </c:pt>
                <c:pt idx="8">
                  <c:v>4560</c:v>
                </c:pt>
                <c:pt idx="9">
                  <c:v>3410</c:v>
                </c:pt>
                <c:pt idx="10">
                  <c:v>15900</c:v>
                </c:pt>
                <c:pt idx="11">
                  <c:v>5410</c:v>
                </c:pt>
                <c:pt idx="12">
                  <c:v>3640</c:v>
                </c:pt>
                <c:pt idx="13">
                  <c:v>2950</c:v>
                </c:pt>
                <c:pt idx="14">
                  <c:v>4570</c:v>
                </c:pt>
                <c:pt idx="15">
                  <c:v>54900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9168"/>
        <c:axId val="206824000"/>
      </c:lineChart>
      <c:catAx>
        <c:axId val="2069191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6824000"/>
        <c:crosses val="autoZero"/>
        <c:auto val="1"/>
        <c:lblAlgn val="ctr"/>
        <c:lblOffset val="100"/>
        <c:noMultiLvlLbl val="0"/>
      </c:catAx>
      <c:valAx>
        <c:axId val="2068240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69191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'02'!$AD$6:$AD$21</c:f>
              <c:strCache>
                <c:ptCount val="1"/>
                <c:pt idx="0">
                  <c:v>0% 0% 92% 0% 83% 42% 29% 54% 100% 79% 100% 100% 67% 58% 100% 100%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'02'!$D$6:$D$21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BASE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'02'!$AD$6:$AD$21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0.91645880574451999</c:v>
                </c:pt>
                <c:pt idx="3">
                  <c:v>0</c:v>
                </c:pt>
                <c:pt idx="4">
                  <c:v>0.8313648293963255</c:v>
                </c:pt>
                <c:pt idx="5">
                  <c:v>0.41623488773747841</c:v>
                </c:pt>
                <c:pt idx="6">
                  <c:v>0.29028599605522687</c:v>
                </c:pt>
                <c:pt idx="7">
                  <c:v>0.54081140350877188</c:v>
                </c:pt>
                <c:pt idx="8">
                  <c:v>0.99956140350877198</c:v>
                </c:pt>
                <c:pt idx="9">
                  <c:v>0.79166666666666663</c:v>
                </c:pt>
                <c:pt idx="10">
                  <c:v>0.99962264150943392</c:v>
                </c:pt>
                <c:pt idx="11">
                  <c:v>0.99870609981515712</c:v>
                </c:pt>
                <c:pt idx="12">
                  <c:v>0.66630036630036626</c:v>
                </c:pt>
                <c:pt idx="13">
                  <c:v>0.58234463276836168</c:v>
                </c:pt>
                <c:pt idx="14">
                  <c:v>0.99803063457330421</c:v>
                </c:pt>
                <c:pt idx="15">
                  <c:v>0.99970856102003647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'02'!$D$6:$D$21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BASE</c:v>
                </c:pt>
                <c:pt idx="5">
                  <c:v>LEAD IN</c:v>
                </c:pt>
                <c:pt idx="6">
                  <c:v>HOLDER</c:v>
                </c:pt>
                <c:pt idx="7">
                  <c:v>BASE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F/ADAPTER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'02'!$AE$6:$AE$21</c:f>
              <c:numCache>
                <c:formatCode>0%</c:formatCode>
                <c:ptCount val="16"/>
                <c:pt idx="0">
                  <c:v>0.66873979524029481</c:v>
                </c:pt>
                <c:pt idx="1">
                  <c:v>0.66873979524029481</c:v>
                </c:pt>
                <c:pt idx="2">
                  <c:v>0.66873979524029481</c:v>
                </c:pt>
                <c:pt idx="3">
                  <c:v>0.66873979524029481</c:v>
                </c:pt>
                <c:pt idx="4">
                  <c:v>0.66873979524029481</c:v>
                </c:pt>
                <c:pt idx="5">
                  <c:v>0.66873979524029481</c:v>
                </c:pt>
                <c:pt idx="6">
                  <c:v>0.66873979524029481</c:v>
                </c:pt>
                <c:pt idx="7">
                  <c:v>0.66873979524029481</c:v>
                </c:pt>
                <c:pt idx="8">
                  <c:v>0.66873979524029481</c:v>
                </c:pt>
                <c:pt idx="9">
                  <c:v>0.66873979524029481</c:v>
                </c:pt>
                <c:pt idx="10">
                  <c:v>0.66873979524029481</c:v>
                </c:pt>
                <c:pt idx="11">
                  <c:v>0.66873979524029481</c:v>
                </c:pt>
                <c:pt idx="12">
                  <c:v>0.66873979524029481</c:v>
                </c:pt>
                <c:pt idx="13">
                  <c:v>0.66873979524029481</c:v>
                </c:pt>
                <c:pt idx="14">
                  <c:v>0.66873979524029481</c:v>
                </c:pt>
                <c:pt idx="15">
                  <c:v>0.66873979524029481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19680"/>
        <c:axId val="206825728"/>
      </c:lineChart>
      <c:catAx>
        <c:axId val="20691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6825728"/>
        <c:crosses val="autoZero"/>
        <c:auto val="1"/>
        <c:lblAlgn val="ctr"/>
        <c:lblOffset val="100"/>
        <c:noMultiLvlLbl val="0"/>
      </c:catAx>
      <c:valAx>
        <c:axId val="2068257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6919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6920192"/>
        <c:axId val="20682803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20192"/>
        <c:axId val="206828032"/>
      </c:lineChart>
      <c:catAx>
        <c:axId val="2069201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6828032"/>
        <c:crosses val="autoZero"/>
        <c:auto val="1"/>
        <c:lblAlgn val="ctr"/>
        <c:lblOffset val="100"/>
        <c:noMultiLvlLbl val="0"/>
      </c:catAx>
      <c:valAx>
        <c:axId val="20682803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692019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LEAD IN</c:v>
                </c:pt>
                <c:pt idx="6">
                  <c:v>BASE</c:v>
                </c:pt>
                <c:pt idx="7">
                  <c:v>BODY</c:v>
                </c:pt>
                <c:pt idx="8">
                  <c:v>COVER</c:v>
                </c:pt>
                <c:pt idx="9">
                  <c:v>24V</c:v>
                </c:pt>
                <c:pt idx="10">
                  <c:v>BRACKET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3630</c:v>
                </c:pt>
                <c:pt idx="3">
                  <c:v>4043</c:v>
                </c:pt>
                <c:pt idx="4">
                  <c:v>3795</c:v>
                </c:pt>
                <c:pt idx="6">
                  <c:v>1559</c:v>
                </c:pt>
                <c:pt idx="7">
                  <c:v>2185</c:v>
                </c:pt>
                <c:pt idx="8">
                  <c:v>4096</c:v>
                </c:pt>
                <c:pt idx="9">
                  <c:v>10920</c:v>
                </c:pt>
                <c:pt idx="10">
                  <c:v>1070</c:v>
                </c:pt>
                <c:pt idx="11">
                  <c:v>700</c:v>
                </c:pt>
                <c:pt idx="12">
                  <c:v>3734</c:v>
                </c:pt>
                <c:pt idx="13">
                  <c:v>965</c:v>
                </c:pt>
                <c:pt idx="14">
                  <c:v>35764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LEAD IN</c:v>
                </c:pt>
                <c:pt idx="6">
                  <c:v>BASE</c:v>
                </c:pt>
                <c:pt idx="7">
                  <c:v>BODY</c:v>
                </c:pt>
                <c:pt idx="8">
                  <c:v>COVER</c:v>
                </c:pt>
                <c:pt idx="9">
                  <c:v>24V</c:v>
                </c:pt>
                <c:pt idx="10">
                  <c:v>BRACKET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3640</c:v>
                </c:pt>
                <c:pt idx="1">
                  <c:v>2670</c:v>
                </c:pt>
                <c:pt idx="2">
                  <c:v>3630</c:v>
                </c:pt>
                <c:pt idx="3">
                  <c:v>4050</c:v>
                </c:pt>
                <c:pt idx="4">
                  <c:v>3800</c:v>
                </c:pt>
                <c:pt idx="5">
                  <c:v>1930</c:v>
                </c:pt>
                <c:pt idx="6">
                  <c:v>1560</c:v>
                </c:pt>
                <c:pt idx="7">
                  <c:v>2190</c:v>
                </c:pt>
                <c:pt idx="8">
                  <c:v>4100</c:v>
                </c:pt>
                <c:pt idx="9">
                  <c:v>10920</c:v>
                </c:pt>
                <c:pt idx="10">
                  <c:v>1070</c:v>
                </c:pt>
                <c:pt idx="11">
                  <c:v>700</c:v>
                </c:pt>
                <c:pt idx="12">
                  <c:v>3740</c:v>
                </c:pt>
                <c:pt idx="13">
                  <c:v>4570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05888"/>
        <c:axId val="206830912"/>
      </c:lineChart>
      <c:catAx>
        <c:axId val="2072058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6830912"/>
        <c:crosses val="autoZero"/>
        <c:auto val="1"/>
        <c:lblAlgn val="ctr"/>
        <c:lblOffset val="100"/>
        <c:noMultiLvlLbl val="0"/>
      </c:catAx>
      <c:valAx>
        <c:axId val="2068309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7205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"/>
                <c:pt idx="0">
                  <c:v>0% 0% 71% 87% 87% 0% 62% 50% 100% 79% 29% 21% 75% 4% 75%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LEAD IN</c:v>
                </c:pt>
                <c:pt idx="6">
                  <c:v>BASE</c:v>
                </c:pt>
                <c:pt idx="7">
                  <c:v>BODY</c:v>
                </c:pt>
                <c:pt idx="8">
                  <c:v>COVER</c:v>
                </c:pt>
                <c:pt idx="9">
                  <c:v>24V</c:v>
                </c:pt>
                <c:pt idx="10">
                  <c:v>BRACKET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0.70833333333333337</c:v>
                </c:pt>
                <c:pt idx="3">
                  <c:v>0.87348765432098763</c:v>
                </c:pt>
                <c:pt idx="4">
                  <c:v>0.87384868421052642</c:v>
                </c:pt>
                <c:pt idx="5">
                  <c:v>0</c:v>
                </c:pt>
                <c:pt idx="6">
                  <c:v>0.62459935897435903</c:v>
                </c:pt>
                <c:pt idx="7">
                  <c:v>0.49885844748858449</c:v>
                </c:pt>
                <c:pt idx="8">
                  <c:v>0.99902439024390244</c:v>
                </c:pt>
                <c:pt idx="9">
                  <c:v>0.79166666666666663</c:v>
                </c:pt>
                <c:pt idx="10">
                  <c:v>0.29166666666666669</c:v>
                </c:pt>
                <c:pt idx="11">
                  <c:v>0.20833333333333334</c:v>
                </c:pt>
                <c:pt idx="12">
                  <c:v>0.74879679144385025</c:v>
                </c:pt>
                <c:pt idx="13">
                  <c:v>3.5193289569657185E-2</c:v>
                </c:pt>
                <c:pt idx="14">
                  <c:v>0.74987419625384399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LEAD IN</c:v>
                </c:pt>
                <c:pt idx="6">
                  <c:v>BASE</c:v>
                </c:pt>
                <c:pt idx="7">
                  <c:v>BODY</c:v>
                </c:pt>
                <c:pt idx="8">
                  <c:v>COVER</c:v>
                </c:pt>
                <c:pt idx="9">
                  <c:v>24V</c:v>
                </c:pt>
                <c:pt idx="10">
                  <c:v>BRACKET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0.4935788541670475</c:v>
                </c:pt>
                <c:pt idx="1">
                  <c:v>0.4935788541670475</c:v>
                </c:pt>
                <c:pt idx="2">
                  <c:v>0.4935788541670475</c:v>
                </c:pt>
                <c:pt idx="3">
                  <c:v>0.4935788541670475</c:v>
                </c:pt>
                <c:pt idx="4">
                  <c:v>0.4935788541670475</c:v>
                </c:pt>
                <c:pt idx="5">
                  <c:v>0.4935788541670475</c:v>
                </c:pt>
                <c:pt idx="6">
                  <c:v>0.4935788541670475</c:v>
                </c:pt>
                <c:pt idx="7">
                  <c:v>0.4935788541670475</c:v>
                </c:pt>
                <c:pt idx="8">
                  <c:v>0.4935788541670475</c:v>
                </c:pt>
                <c:pt idx="9">
                  <c:v>0.4935788541670475</c:v>
                </c:pt>
                <c:pt idx="10">
                  <c:v>0.4935788541670475</c:v>
                </c:pt>
                <c:pt idx="11">
                  <c:v>0.4935788541670475</c:v>
                </c:pt>
                <c:pt idx="12">
                  <c:v>0.4935788541670475</c:v>
                </c:pt>
                <c:pt idx="13">
                  <c:v>0.4935788541670475</c:v>
                </c:pt>
                <c:pt idx="14">
                  <c:v>0.4935788541670475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207936"/>
        <c:axId val="207545472"/>
      </c:lineChart>
      <c:catAx>
        <c:axId val="207207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7545472"/>
        <c:crosses val="autoZero"/>
        <c:auto val="1"/>
        <c:lblAlgn val="ctr"/>
        <c:lblOffset val="100"/>
        <c:noMultiLvlLbl val="0"/>
      </c:catAx>
      <c:valAx>
        <c:axId val="207545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20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LEAD IN</c:v>
                </c:pt>
                <c:pt idx="6">
                  <c:v>BASE</c:v>
                </c:pt>
                <c:pt idx="7">
                  <c:v>BODY</c:v>
                </c:pt>
                <c:pt idx="8">
                  <c:v>COVER</c:v>
                </c:pt>
                <c:pt idx="9">
                  <c:v>24V</c:v>
                </c:pt>
                <c:pt idx="10">
                  <c:v>BRACKET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'03'!$L$6:$L$20</c:f>
              <c:numCache>
                <c:formatCode>_(* #,##0_);_(* \(#,##0\);_(* "-"_);_(@_)</c:formatCode>
                <c:ptCount val="15"/>
                <c:pt idx="2">
                  <c:v>3630</c:v>
                </c:pt>
                <c:pt idx="3">
                  <c:v>4043</c:v>
                </c:pt>
                <c:pt idx="4">
                  <c:v>3795</c:v>
                </c:pt>
                <c:pt idx="6">
                  <c:v>1559</c:v>
                </c:pt>
                <c:pt idx="7">
                  <c:v>2185</c:v>
                </c:pt>
                <c:pt idx="8">
                  <c:v>4096</c:v>
                </c:pt>
                <c:pt idx="9">
                  <c:v>10920</c:v>
                </c:pt>
                <c:pt idx="10">
                  <c:v>1070</c:v>
                </c:pt>
                <c:pt idx="11">
                  <c:v>700</c:v>
                </c:pt>
                <c:pt idx="12">
                  <c:v>3734</c:v>
                </c:pt>
                <c:pt idx="13">
                  <c:v>965</c:v>
                </c:pt>
                <c:pt idx="14">
                  <c:v>35764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LEAD IN</c:v>
                </c:pt>
                <c:pt idx="6">
                  <c:v>BASE</c:v>
                </c:pt>
                <c:pt idx="7">
                  <c:v>BODY</c:v>
                </c:pt>
                <c:pt idx="8">
                  <c:v>COVER</c:v>
                </c:pt>
                <c:pt idx="9">
                  <c:v>24V</c:v>
                </c:pt>
                <c:pt idx="10">
                  <c:v>BRACKET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'03'!$J$6:$J$20</c:f>
              <c:numCache>
                <c:formatCode>_(* #,##0_);_(* \(#,##0\);_(* "-"_);_(@_)</c:formatCode>
                <c:ptCount val="15"/>
                <c:pt idx="0">
                  <c:v>3640</c:v>
                </c:pt>
                <c:pt idx="1">
                  <c:v>2670</c:v>
                </c:pt>
                <c:pt idx="2">
                  <c:v>3630</c:v>
                </c:pt>
                <c:pt idx="3">
                  <c:v>4050</c:v>
                </c:pt>
                <c:pt idx="4">
                  <c:v>3800</c:v>
                </c:pt>
                <c:pt idx="5">
                  <c:v>1930</c:v>
                </c:pt>
                <c:pt idx="6">
                  <c:v>1560</c:v>
                </c:pt>
                <c:pt idx="7">
                  <c:v>2190</c:v>
                </c:pt>
                <c:pt idx="8">
                  <c:v>4100</c:v>
                </c:pt>
                <c:pt idx="9">
                  <c:v>10920</c:v>
                </c:pt>
                <c:pt idx="10">
                  <c:v>1070</c:v>
                </c:pt>
                <c:pt idx="11">
                  <c:v>700</c:v>
                </c:pt>
                <c:pt idx="12">
                  <c:v>3740</c:v>
                </c:pt>
                <c:pt idx="13">
                  <c:v>4570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69440"/>
        <c:axId val="207547776"/>
      </c:lineChart>
      <c:catAx>
        <c:axId val="2078694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7547776"/>
        <c:crosses val="autoZero"/>
        <c:auto val="1"/>
        <c:lblAlgn val="ctr"/>
        <c:lblOffset val="100"/>
        <c:noMultiLvlLbl val="0"/>
      </c:catAx>
      <c:valAx>
        <c:axId val="2075477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78694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'03'!$AD$6:$AD$20</c:f>
              <c:strCache>
                <c:ptCount val="1"/>
                <c:pt idx="0">
                  <c:v>0% 0% 71% 87% 87% 0% 62% 50% 100% 79% 29% 21% 75% 4% 75%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LEAD IN</c:v>
                </c:pt>
                <c:pt idx="6">
                  <c:v>BASE</c:v>
                </c:pt>
                <c:pt idx="7">
                  <c:v>BODY</c:v>
                </c:pt>
                <c:pt idx="8">
                  <c:v>COVER</c:v>
                </c:pt>
                <c:pt idx="9">
                  <c:v>24V</c:v>
                </c:pt>
                <c:pt idx="10">
                  <c:v>BRACKET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'03'!$AD$6:$AD$20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0.70833333333333337</c:v>
                </c:pt>
                <c:pt idx="3">
                  <c:v>0.87348765432098763</c:v>
                </c:pt>
                <c:pt idx="4">
                  <c:v>0.87384868421052642</c:v>
                </c:pt>
                <c:pt idx="5">
                  <c:v>0</c:v>
                </c:pt>
                <c:pt idx="6">
                  <c:v>0.62459935897435903</c:v>
                </c:pt>
                <c:pt idx="7">
                  <c:v>0.49885844748858449</c:v>
                </c:pt>
                <c:pt idx="8">
                  <c:v>0.99902439024390244</c:v>
                </c:pt>
                <c:pt idx="9">
                  <c:v>0.79166666666666663</c:v>
                </c:pt>
                <c:pt idx="10">
                  <c:v>0.29166666666666669</c:v>
                </c:pt>
                <c:pt idx="11">
                  <c:v>0.20833333333333334</c:v>
                </c:pt>
                <c:pt idx="12">
                  <c:v>0.74879679144385025</c:v>
                </c:pt>
                <c:pt idx="13">
                  <c:v>3.5193289569657185E-2</c:v>
                </c:pt>
                <c:pt idx="14">
                  <c:v>0.74987419625384399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'03'!$D$6:$D$20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STOPPER</c:v>
                </c:pt>
                <c:pt idx="5">
                  <c:v>LEAD IN</c:v>
                </c:pt>
                <c:pt idx="6">
                  <c:v>BASE</c:v>
                </c:pt>
                <c:pt idx="7">
                  <c:v>BODY</c:v>
                </c:pt>
                <c:pt idx="8">
                  <c:v>COVER</c:v>
                </c:pt>
                <c:pt idx="9">
                  <c:v>24V</c:v>
                </c:pt>
                <c:pt idx="10">
                  <c:v>BRACKET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'03'!$AE$6:$AE$20</c:f>
              <c:numCache>
                <c:formatCode>0%</c:formatCode>
                <c:ptCount val="15"/>
                <c:pt idx="0">
                  <c:v>0.4935788541670475</c:v>
                </c:pt>
                <c:pt idx="1">
                  <c:v>0.4935788541670475</c:v>
                </c:pt>
                <c:pt idx="2">
                  <c:v>0.4935788541670475</c:v>
                </c:pt>
                <c:pt idx="3">
                  <c:v>0.4935788541670475</c:v>
                </c:pt>
                <c:pt idx="4">
                  <c:v>0.4935788541670475</c:v>
                </c:pt>
                <c:pt idx="5">
                  <c:v>0.4935788541670475</c:v>
                </c:pt>
                <c:pt idx="6">
                  <c:v>0.4935788541670475</c:v>
                </c:pt>
                <c:pt idx="7">
                  <c:v>0.4935788541670475</c:v>
                </c:pt>
                <c:pt idx="8">
                  <c:v>0.4935788541670475</c:v>
                </c:pt>
                <c:pt idx="9">
                  <c:v>0.4935788541670475</c:v>
                </c:pt>
                <c:pt idx="10">
                  <c:v>0.4935788541670475</c:v>
                </c:pt>
                <c:pt idx="11">
                  <c:v>0.4935788541670475</c:v>
                </c:pt>
                <c:pt idx="12">
                  <c:v>0.4935788541670475</c:v>
                </c:pt>
                <c:pt idx="13">
                  <c:v>0.4935788541670475</c:v>
                </c:pt>
                <c:pt idx="14">
                  <c:v>0.4935788541670475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871488"/>
        <c:axId val="207549504"/>
      </c:lineChart>
      <c:catAx>
        <c:axId val="20787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7549504"/>
        <c:crosses val="autoZero"/>
        <c:auto val="1"/>
        <c:lblAlgn val="ctr"/>
        <c:lblOffset val="100"/>
        <c:noMultiLvlLbl val="0"/>
      </c:catAx>
      <c:valAx>
        <c:axId val="2075495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871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966208"/>
        <c:axId val="20755180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66208"/>
        <c:axId val="207551808"/>
      </c:lineChart>
      <c:catAx>
        <c:axId val="207966208"/>
        <c:scaling>
          <c:orientation val="minMax"/>
        </c:scaling>
        <c:delete val="0"/>
        <c:axPos val="b"/>
        <c:majorTickMark val="out"/>
        <c:minorTickMark val="none"/>
        <c:tickLblPos val="nextTo"/>
        <c:crossAx val="207551808"/>
        <c:crosses val="autoZero"/>
        <c:auto val="1"/>
        <c:lblAlgn val="ctr"/>
        <c:lblOffset val="100"/>
        <c:noMultiLvlLbl val="0"/>
      </c:catAx>
      <c:valAx>
        <c:axId val="20755180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96620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FLOAT</c:v>
                </c:pt>
                <c:pt idx="5">
                  <c:v>STOPPER</c:v>
                </c:pt>
                <c:pt idx="6">
                  <c:v>LEAD IN</c:v>
                </c:pt>
                <c:pt idx="7">
                  <c:v>LEAD GUIDE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LEVER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0">
                  <c:v>2454</c:v>
                </c:pt>
                <c:pt idx="2">
                  <c:v>4007</c:v>
                </c:pt>
                <c:pt idx="3">
                  <c:v>677</c:v>
                </c:pt>
                <c:pt idx="4">
                  <c:v>2831</c:v>
                </c:pt>
                <c:pt idx="5">
                  <c:v>4860</c:v>
                </c:pt>
                <c:pt idx="7">
                  <c:v>4758</c:v>
                </c:pt>
                <c:pt idx="8">
                  <c:v>3734</c:v>
                </c:pt>
                <c:pt idx="11">
                  <c:v>5278</c:v>
                </c:pt>
                <c:pt idx="13">
                  <c:v>5158</c:v>
                </c:pt>
                <c:pt idx="14">
                  <c:v>3360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FLOAT</c:v>
                </c:pt>
                <c:pt idx="5">
                  <c:v>STOPPER</c:v>
                </c:pt>
                <c:pt idx="6">
                  <c:v>LEAD IN</c:v>
                </c:pt>
                <c:pt idx="7">
                  <c:v>LEAD GUIDE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LEVER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3640</c:v>
                </c:pt>
                <c:pt idx="1">
                  <c:v>2670</c:v>
                </c:pt>
                <c:pt idx="2">
                  <c:v>4007</c:v>
                </c:pt>
                <c:pt idx="3">
                  <c:v>680</c:v>
                </c:pt>
                <c:pt idx="4">
                  <c:v>2840</c:v>
                </c:pt>
                <c:pt idx="5">
                  <c:v>4860</c:v>
                </c:pt>
                <c:pt idx="6">
                  <c:v>1930</c:v>
                </c:pt>
                <c:pt idx="7">
                  <c:v>4760</c:v>
                </c:pt>
                <c:pt idx="8">
                  <c:v>3740</c:v>
                </c:pt>
                <c:pt idx="9">
                  <c:v>4100</c:v>
                </c:pt>
                <c:pt idx="10">
                  <c:v>10920</c:v>
                </c:pt>
                <c:pt idx="11">
                  <c:v>5280</c:v>
                </c:pt>
                <c:pt idx="12">
                  <c:v>700</c:v>
                </c:pt>
                <c:pt idx="13">
                  <c:v>5160</c:v>
                </c:pt>
                <c:pt idx="14">
                  <c:v>3360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53216"/>
        <c:axId val="208046336"/>
      </c:lineChart>
      <c:catAx>
        <c:axId val="2077532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8046336"/>
        <c:crosses val="autoZero"/>
        <c:auto val="1"/>
        <c:lblAlgn val="ctr"/>
        <c:lblOffset val="100"/>
        <c:noMultiLvlLbl val="0"/>
      </c:catAx>
      <c:valAx>
        <c:axId val="2080463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77532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"/>
                <c:pt idx="0">
                  <c:v>39% 0% 88% 17% 75% 100% 0% 96% 75% 0% 0% 100% 0% 100% 71%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FLOAT</c:v>
                </c:pt>
                <c:pt idx="5">
                  <c:v>STOPPER</c:v>
                </c:pt>
                <c:pt idx="6">
                  <c:v>LEAD IN</c:v>
                </c:pt>
                <c:pt idx="7">
                  <c:v>LEAD GUIDE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LEVER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0.39326923076923082</c:v>
                </c:pt>
                <c:pt idx="1">
                  <c:v>0</c:v>
                </c:pt>
                <c:pt idx="2">
                  <c:v>0.875</c:v>
                </c:pt>
                <c:pt idx="3">
                  <c:v>0.1659313725490196</c:v>
                </c:pt>
                <c:pt idx="4">
                  <c:v>0.74762323943661968</c:v>
                </c:pt>
                <c:pt idx="5">
                  <c:v>1</c:v>
                </c:pt>
                <c:pt idx="6">
                  <c:v>0</c:v>
                </c:pt>
                <c:pt idx="7">
                  <c:v>0.9579306722689076</c:v>
                </c:pt>
                <c:pt idx="8">
                  <c:v>0.74879679144385025</c:v>
                </c:pt>
                <c:pt idx="9">
                  <c:v>0</c:v>
                </c:pt>
                <c:pt idx="10">
                  <c:v>0</c:v>
                </c:pt>
                <c:pt idx="11">
                  <c:v>0.99962121212121213</c:v>
                </c:pt>
                <c:pt idx="12">
                  <c:v>0</c:v>
                </c:pt>
                <c:pt idx="13">
                  <c:v>0.99961240310077515</c:v>
                </c:pt>
                <c:pt idx="14">
                  <c:v>0.70833333333333337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FLOAT</c:v>
                </c:pt>
                <c:pt idx="5">
                  <c:v>STOPPER</c:v>
                </c:pt>
                <c:pt idx="6">
                  <c:v>LEAD IN</c:v>
                </c:pt>
                <c:pt idx="7">
                  <c:v>LEAD GUIDE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LEVER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0.50640788366819656</c:v>
                </c:pt>
                <c:pt idx="1">
                  <c:v>0.50640788366819656</c:v>
                </c:pt>
                <c:pt idx="2">
                  <c:v>0.50640788366819656</c:v>
                </c:pt>
                <c:pt idx="3">
                  <c:v>0.50640788366819656</c:v>
                </c:pt>
                <c:pt idx="4">
                  <c:v>0.50640788366819656</c:v>
                </c:pt>
                <c:pt idx="5">
                  <c:v>0.50640788366819656</c:v>
                </c:pt>
                <c:pt idx="6">
                  <c:v>0.50640788366819656</c:v>
                </c:pt>
                <c:pt idx="7">
                  <c:v>0.50640788366819656</c:v>
                </c:pt>
                <c:pt idx="8">
                  <c:v>0.50640788366819656</c:v>
                </c:pt>
                <c:pt idx="9">
                  <c:v>0.50640788366819656</c:v>
                </c:pt>
                <c:pt idx="10">
                  <c:v>0.50640788366819656</c:v>
                </c:pt>
                <c:pt idx="11">
                  <c:v>0.50640788366819656</c:v>
                </c:pt>
                <c:pt idx="12">
                  <c:v>0.50640788366819656</c:v>
                </c:pt>
                <c:pt idx="13">
                  <c:v>0.50640788366819656</c:v>
                </c:pt>
                <c:pt idx="14">
                  <c:v>0.50640788366819656</c:v>
                </c:pt>
                <c:pt idx="15">
                  <c:v>0.50640788366819656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54752"/>
        <c:axId val="208048064"/>
      </c:lineChart>
      <c:catAx>
        <c:axId val="207754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8048064"/>
        <c:crosses val="autoZero"/>
        <c:auto val="1"/>
        <c:lblAlgn val="ctr"/>
        <c:lblOffset val="100"/>
        <c:noMultiLvlLbl val="0"/>
      </c:catAx>
      <c:valAx>
        <c:axId val="2080480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7547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'04'!$D$6:$D$21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FLOAT</c:v>
                </c:pt>
                <c:pt idx="5">
                  <c:v>STOPPER</c:v>
                </c:pt>
                <c:pt idx="6">
                  <c:v>LEAD IN</c:v>
                </c:pt>
                <c:pt idx="7">
                  <c:v>LEAD GUIDE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LEVER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'04'!$L$6:$L$21</c:f>
              <c:numCache>
                <c:formatCode>_(* #,##0_);_(* \(#,##0\);_(* "-"_);_(@_)</c:formatCode>
                <c:ptCount val="16"/>
                <c:pt idx="0">
                  <c:v>2454</c:v>
                </c:pt>
                <c:pt idx="2">
                  <c:v>4007</c:v>
                </c:pt>
                <c:pt idx="3">
                  <c:v>677</c:v>
                </c:pt>
                <c:pt idx="4">
                  <c:v>2831</c:v>
                </c:pt>
                <c:pt idx="5">
                  <c:v>4860</c:v>
                </c:pt>
                <c:pt idx="7">
                  <c:v>4758</c:v>
                </c:pt>
                <c:pt idx="8">
                  <c:v>3734</c:v>
                </c:pt>
                <c:pt idx="11">
                  <c:v>5278</c:v>
                </c:pt>
                <c:pt idx="13">
                  <c:v>5158</c:v>
                </c:pt>
                <c:pt idx="14">
                  <c:v>3360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'04'!$D$6:$D$21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FLOAT</c:v>
                </c:pt>
                <c:pt idx="5">
                  <c:v>STOPPER</c:v>
                </c:pt>
                <c:pt idx="6">
                  <c:v>LEAD IN</c:v>
                </c:pt>
                <c:pt idx="7">
                  <c:v>LEAD GUIDE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LEVER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'04'!$J$6:$J$21</c:f>
              <c:numCache>
                <c:formatCode>_(* #,##0_);_(* \(#,##0\);_(* "-"_);_(@_)</c:formatCode>
                <c:ptCount val="16"/>
                <c:pt idx="0">
                  <c:v>3640</c:v>
                </c:pt>
                <c:pt idx="1">
                  <c:v>2670</c:v>
                </c:pt>
                <c:pt idx="2">
                  <c:v>4007</c:v>
                </c:pt>
                <c:pt idx="3">
                  <c:v>680</c:v>
                </c:pt>
                <c:pt idx="4">
                  <c:v>2840</c:v>
                </c:pt>
                <c:pt idx="5">
                  <c:v>4860</c:v>
                </c:pt>
                <c:pt idx="6">
                  <c:v>1930</c:v>
                </c:pt>
                <c:pt idx="7">
                  <c:v>4760</c:v>
                </c:pt>
                <c:pt idx="8">
                  <c:v>3740</c:v>
                </c:pt>
                <c:pt idx="9">
                  <c:v>4100</c:v>
                </c:pt>
                <c:pt idx="10">
                  <c:v>10920</c:v>
                </c:pt>
                <c:pt idx="11">
                  <c:v>5280</c:v>
                </c:pt>
                <c:pt idx="12">
                  <c:v>700</c:v>
                </c:pt>
                <c:pt idx="13">
                  <c:v>5160</c:v>
                </c:pt>
                <c:pt idx="14">
                  <c:v>3360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55264"/>
        <c:axId val="208050368"/>
      </c:lineChart>
      <c:catAx>
        <c:axId val="2077552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8050368"/>
        <c:crosses val="autoZero"/>
        <c:auto val="1"/>
        <c:lblAlgn val="ctr"/>
        <c:lblOffset val="100"/>
        <c:noMultiLvlLbl val="0"/>
      </c:catAx>
      <c:valAx>
        <c:axId val="2080503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77552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'04'!$AD$6:$AD$21</c:f>
              <c:strCache>
                <c:ptCount val="1"/>
                <c:pt idx="0">
                  <c:v>39% 0% 88% 17% 75% 100% 0% 96% 75% 0% 0% 100% 0% 100% 71%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'04'!$D$6:$D$21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FLOAT</c:v>
                </c:pt>
                <c:pt idx="5">
                  <c:v>STOPPER</c:v>
                </c:pt>
                <c:pt idx="6">
                  <c:v>LEAD IN</c:v>
                </c:pt>
                <c:pt idx="7">
                  <c:v>LEAD GUIDE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LEVER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'04'!$AD$6:$AD$21</c:f>
              <c:numCache>
                <c:formatCode>0%</c:formatCode>
                <c:ptCount val="16"/>
                <c:pt idx="0">
                  <c:v>0.39326923076923082</c:v>
                </c:pt>
                <c:pt idx="1">
                  <c:v>0</c:v>
                </c:pt>
                <c:pt idx="2">
                  <c:v>0.875</c:v>
                </c:pt>
                <c:pt idx="3">
                  <c:v>0.1659313725490196</c:v>
                </c:pt>
                <c:pt idx="4">
                  <c:v>0.74762323943661968</c:v>
                </c:pt>
                <c:pt idx="5">
                  <c:v>1</c:v>
                </c:pt>
                <c:pt idx="6">
                  <c:v>0</c:v>
                </c:pt>
                <c:pt idx="7">
                  <c:v>0.9579306722689076</c:v>
                </c:pt>
                <c:pt idx="8">
                  <c:v>0.74879679144385025</c:v>
                </c:pt>
                <c:pt idx="9">
                  <c:v>0</c:v>
                </c:pt>
                <c:pt idx="10">
                  <c:v>0</c:v>
                </c:pt>
                <c:pt idx="11">
                  <c:v>0.99962121212121213</c:v>
                </c:pt>
                <c:pt idx="12">
                  <c:v>0</c:v>
                </c:pt>
                <c:pt idx="13">
                  <c:v>0.99961240310077515</c:v>
                </c:pt>
                <c:pt idx="14">
                  <c:v>0.70833333333333337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'04'!$D$6:$D$21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FLOAT</c:v>
                </c:pt>
                <c:pt idx="5">
                  <c:v>STOPPER</c:v>
                </c:pt>
                <c:pt idx="6">
                  <c:v>LEAD IN</c:v>
                </c:pt>
                <c:pt idx="7">
                  <c:v>LEAD GUIDE</c:v>
                </c:pt>
                <c:pt idx="8">
                  <c:v>BODY</c:v>
                </c:pt>
                <c:pt idx="9">
                  <c:v>COVER</c:v>
                </c:pt>
                <c:pt idx="10">
                  <c:v>24V</c:v>
                </c:pt>
                <c:pt idx="11">
                  <c:v>LEAD GUIDE</c:v>
                </c:pt>
                <c:pt idx="12">
                  <c:v>LEVER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'04'!$AE$6:$AE$21</c:f>
              <c:numCache>
                <c:formatCode>0%</c:formatCode>
                <c:ptCount val="16"/>
                <c:pt idx="0">
                  <c:v>0.50640788366819656</c:v>
                </c:pt>
                <c:pt idx="1">
                  <c:v>0.50640788366819656</c:v>
                </c:pt>
                <c:pt idx="2">
                  <c:v>0.50640788366819656</c:v>
                </c:pt>
                <c:pt idx="3">
                  <c:v>0.50640788366819656</c:v>
                </c:pt>
                <c:pt idx="4">
                  <c:v>0.50640788366819656</c:v>
                </c:pt>
                <c:pt idx="5">
                  <c:v>0.50640788366819656</c:v>
                </c:pt>
                <c:pt idx="6">
                  <c:v>0.50640788366819656</c:v>
                </c:pt>
                <c:pt idx="7">
                  <c:v>0.50640788366819656</c:v>
                </c:pt>
                <c:pt idx="8">
                  <c:v>0.50640788366819656</c:v>
                </c:pt>
                <c:pt idx="9">
                  <c:v>0.50640788366819656</c:v>
                </c:pt>
                <c:pt idx="10">
                  <c:v>0.50640788366819656</c:v>
                </c:pt>
                <c:pt idx="11">
                  <c:v>0.50640788366819656</c:v>
                </c:pt>
                <c:pt idx="12">
                  <c:v>0.50640788366819656</c:v>
                </c:pt>
                <c:pt idx="13">
                  <c:v>0.50640788366819656</c:v>
                </c:pt>
                <c:pt idx="14">
                  <c:v>0.50640788366819656</c:v>
                </c:pt>
                <c:pt idx="15">
                  <c:v>0.50640788366819656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756288"/>
        <c:axId val="206348288"/>
      </c:lineChart>
      <c:catAx>
        <c:axId val="207756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6348288"/>
        <c:crosses val="autoZero"/>
        <c:auto val="1"/>
        <c:lblAlgn val="ctr"/>
        <c:lblOffset val="100"/>
        <c:noMultiLvlLbl val="0"/>
      </c:catAx>
      <c:valAx>
        <c:axId val="2063482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7756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966720"/>
        <c:axId val="20635059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7966720"/>
        <c:axId val="206350592"/>
      </c:lineChart>
      <c:catAx>
        <c:axId val="207966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350592"/>
        <c:crosses val="autoZero"/>
        <c:auto val="1"/>
        <c:lblAlgn val="ctr"/>
        <c:lblOffset val="100"/>
        <c:noMultiLvlLbl val="0"/>
      </c:catAx>
      <c:valAx>
        <c:axId val="2063505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79667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LEAD IN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0">
                  <c:v>5092</c:v>
                </c:pt>
                <c:pt idx="2">
                  <c:v>4889</c:v>
                </c:pt>
                <c:pt idx="3">
                  <c:v>3626</c:v>
                </c:pt>
                <c:pt idx="6">
                  <c:v>2860</c:v>
                </c:pt>
                <c:pt idx="10">
                  <c:v>5817</c:v>
                </c:pt>
                <c:pt idx="12">
                  <c:v>5100</c:v>
                </c:pt>
                <c:pt idx="13">
                  <c:v>3759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LEAD IN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5100</c:v>
                </c:pt>
                <c:pt idx="1">
                  <c:v>2670</c:v>
                </c:pt>
                <c:pt idx="2">
                  <c:v>4890</c:v>
                </c:pt>
                <c:pt idx="3">
                  <c:v>3630</c:v>
                </c:pt>
                <c:pt idx="4">
                  <c:v>4860</c:v>
                </c:pt>
                <c:pt idx="5">
                  <c:v>1930</c:v>
                </c:pt>
                <c:pt idx="6">
                  <c:v>2860</c:v>
                </c:pt>
                <c:pt idx="7">
                  <c:v>3740</c:v>
                </c:pt>
                <c:pt idx="8">
                  <c:v>4100</c:v>
                </c:pt>
                <c:pt idx="9">
                  <c:v>10920</c:v>
                </c:pt>
                <c:pt idx="10">
                  <c:v>5820</c:v>
                </c:pt>
                <c:pt idx="11">
                  <c:v>700</c:v>
                </c:pt>
                <c:pt idx="12">
                  <c:v>5100</c:v>
                </c:pt>
                <c:pt idx="13">
                  <c:v>3760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67488"/>
        <c:axId val="206353472"/>
      </c:lineChart>
      <c:catAx>
        <c:axId val="2087674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6353472"/>
        <c:crosses val="autoZero"/>
        <c:auto val="1"/>
        <c:lblAlgn val="ctr"/>
        <c:lblOffset val="100"/>
        <c:noMultiLvlLbl val="0"/>
      </c:catAx>
      <c:valAx>
        <c:axId val="20635347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8767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100% 0% 100% 79% 0% 0% 58% 0% 0% 0% 100% 0% 100%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LEAD IN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0.99843137254901959</c:v>
                </c:pt>
                <c:pt idx="1">
                  <c:v>0</c:v>
                </c:pt>
                <c:pt idx="2">
                  <c:v>0.99979550102249493</c:v>
                </c:pt>
                <c:pt idx="3">
                  <c:v>0.79079430670339756</c:v>
                </c:pt>
                <c:pt idx="4">
                  <c:v>0</c:v>
                </c:pt>
                <c:pt idx="5">
                  <c:v>0</c:v>
                </c:pt>
                <c:pt idx="6">
                  <c:v>0.58333333333333337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0.99948453608247423</c:v>
                </c:pt>
                <c:pt idx="11">
                  <c:v>0</c:v>
                </c:pt>
                <c:pt idx="12">
                  <c:v>1</c:v>
                </c:pt>
                <c:pt idx="13">
                  <c:v>0.87476728723404262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LEAD IN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0.41644042246165092</c:v>
                </c:pt>
                <c:pt idx="1">
                  <c:v>0.41644042246165092</c:v>
                </c:pt>
                <c:pt idx="2">
                  <c:v>0.41644042246165092</c:v>
                </c:pt>
                <c:pt idx="3">
                  <c:v>0.41644042246165092</c:v>
                </c:pt>
                <c:pt idx="4">
                  <c:v>0.41644042246165092</c:v>
                </c:pt>
                <c:pt idx="5">
                  <c:v>0.41644042246165092</c:v>
                </c:pt>
                <c:pt idx="6">
                  <c:v>0.41644042246165092</c:v>
                </c:pt>
                <c:pt idx="7">
                  <c:v>0.41644042246165092</c:v>
                </c:pt>
                <c:pt idx="8">
                  <c:v>0.41644042246165092</c:v>
                </c:pt>
                <c:pt idx="9">
                  <c:v>0.41644042246165092</c:v>
                </c:pt>
                <c:pt idx="10">
                  <c:v>0.41644042246165092</c:v>
                </c:pt>
                <c:pt idx="11">
                  <c:v>0.41644042246165092</c:v>
                </c:pt>
                <c:pt idx="12">
                  <c:v>0.41644042246165092</c:v>
                </c:pt>
                <c:pt idx="13">
                  <c:v>0.41644042246165092</c:v>
                </c:pt>
                <c:pt idx="14">
                  <c:v>0.41644042246165092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7728"/>
        <c:axId val="206355200"/>
      </c:lineChart>
      <c:catAx>
        <c:axId val="20877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6355200"/>
        <c:crosses val="autoZero"/>
        <c:auto val="1"/>
        <c:lblAlgn val="ctr"/>
        <c:lblOffset val="100"/>
        <c:noMultiLvlLbl val="0"/>
      </c:catAx>
      <c:valAx>
        <c:axId val="2063552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777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LEAD IN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'05'!$L$6:$L$20</c:f>
              <c:numCache>
                <c:formatCode>_(* #,##0_);_(* \(#,##0\);_(* "-"_);_(@_)</c:formatCode>
                <c:ptCount val="15"/>
                <c:pt idx="0">
                  <c:v>5092</c:v>
                </c:pt>
                <c:pt idx="2">
                  <c:v>4889</c:v>
                </c:pt>
                <c:pt idx="3">
                  <c:v>3626</c:v>
                </c:pt>
                <c:pt idx="6">
                  <c:v>2860</c:v>
                </c:pt>
                <c:pt idx="10">
                  <c:v>5817</c:v>
                </c:pt>
                <c:pt idx="12">
                  <c:v>5100</c:v>
                </c:pt>
                <c:pt idx="13">
                  <c:v>3759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LEAD IN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'05'!$J$6:$J$20</c:f>
              <c:numCache>
                <c:formatCode>_(* #,##0_);_(* \(#,##0\);_(* "-"_);_(@_)</c:formatCode>
                <c:ptCount val="15"/>
                <c:pt idx="0">
                  <c:v>5100</c:v>
                </c:pt>
                <c:pt idx="1">
                  <c:v>2670</c:v>
                </c:pt>
                <c:pt idx="2">
                  <c:v>4890</c:v>
                </c:pt>
                <c:pt idx="3">
                  <c:v>3630</c:v>
                </c:pt>
                <c:pt idx="4">
                  <c:v>4860</c:v>
                </c:pt>
                <c:pt idx="5">
                  <c:v>1930</c:v>
                </c:pt>
                <c:pt idx="6">
                  <c:v>2860</c:v>
                </c:pt>
                <c:pt idx="7">
                  <c:v>3740</c:v>
                </c:pt>
                <c:pt idx="8">
                  <c:v>4100</c:v>
                </c:pt>
                <c:pt idx="9">
                  <c:v>10920</c:v>
                </c:pt>
                <c:pt idx="10">
                  <c:v>5820</c:v>
                </c:pt>
                <c:pt idx="11">
                  <c:v>700</c:v>
                </c:pt>
                <c:pt idx="12">
                  <c:v>5100</c:v>
                </c:pt>
                <c:pt idx="13">
                  <c:v>3760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8240"/>
        <c:axId val="209020032"/>
      </c:lineChart>
      <c:catAx>
        <c:axId val="2087782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9020032"/>
        <c:crosses val="autoZero"/>
        <c:auto val="1"/>
        <c:lblAlgn val="ctr"/>
        <c:lblOffset val="100"/>
        <c:noMultiLvlLbl val="0"/>
      </c:catAx>
      <c:valAx>
        <c:axId val="2090200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8778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'05'!$AD$6:$AD$20</c:f>
              <c:strCache>
                <c:ptCount val="1"/>
                <c:pt idx="0">
                  <c:v>100% 0% 100% 79% 0% 0% 58% 0% 0% 0% 100% 0% 100%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LEAD IN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'05'!$AD$6:$AD$20</c:f>
              <c:numCache>
                <c:formatCode>0%</c:formatCode>
                <c:ptCount val="15"/>
                <c:pt idx="0">
                  <c:v>0.99843137254901959</c:v>
                </c:pt>
                <c:pt idx="1">
                  <c:v>0</c:v>
                </c:pt>
                <c:pt idx="2">
                  <c:v>0.99979550102249493</c:v>
                </c:pt>
                <c:pt idx="3">
                  <c:v>0.79079430670339756</c:v>
                </c:pt>
                <c:pt idx="4">
                  <c:v>0</c:v>
                </c:pt>
                <c:pt idx="5">
                  <c:v>0</c:v>
                </c:pt>
                <c:pt idx="6">
                  <c:v>0.58333333333333337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0.99948453608247423</c:v>
                </c:pt>
                <c:pt idx="11">
                  <c:v>0</c:v>
                </c:pt>
                <c:pt idx="12">
                  <c:v>1</c:v>
                </c:pt>
                <c:pt idx="13">
                  <c:v>0.87476728723404262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'05'!$D$6:$D$20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FLOAT</c:v>
                </c:pt>
                <c:pt idx="4">
                  <c:v>STOPPER</c:v>
                </c:pt>
                <c:pt idx="5">
                  <c:v>LEAD IN</c:v>
                </c:pt>
                <c:pt idx="6">
                  <c:v>LEAD GUIDE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'05'!$AE$6:$AE$20</c:f>
              <c:numCache>
                <c:formatCode>0%</c:formatCode>
                <c:ptCount val="15"/>
                <c:pt idx="0">
                  <c:v>0.41644042246165092</c:v>
                </c:pt>
                <c:pt idx="1">
                  <c:v>0.41644042246165092</c:v>
                </c:pt>
                <c:pt idx="2">
                  <c:v>0.41644042246165092</c:v>
                </c:pt>
                <c:pt idx="3">
                  <c:v>0.41644042246165092</c:v>
                </c:pt>
                <c:pt idx="4">
                  <c:v>0.41644042246165092</c:v>
                </c:pt>
                <c:pt idx="5">
                  <c:v>0.41644042246165092</c:v>
                </c:pt>
                <c:pt idx="6">
                  <c:v>0.41644042246165092</c:v>
                </c:pt>
                <c:pt idx="7">
                  <c:v>0.41644042246165092</c:v>
                </c:pt>
                <c:pt idx="8">
                  <c:v>0.41644042246165092</c:v>
                </c:pt>
                <c:pt idx="9">
                  <c:v>0.41644042246165092</c:v>
                </c:pt>
                <c:pt idx="10">
                  <c:v>0.41644042246165092</c:v>
                </c:pt>
                <c:pt idx="11">
                  <c:v>0.41644042246165092</c:v>
                </c:pt>
                <c:pt idx="12">
                  <c:v>0.41644042246165092</c:v>
                </c:pt>
                <c:pt idx="13">
                  <c:v>0.41644042246165092</c:v>
                </c:pt>
                <c:pt idx="14">
                  <c:v>0.41644042246165092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9264"/>
        <c:axId val="209021760"/>
      </c:lineChart>
      <c:catAx>
        <c:axId val="20877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9021760"/>
        <c:crosses val="autoZero"/>
        <c:auto val="1"/>
        <c:lblAlgn val="ctr"/>
        <c:lblOffset val="100"/>
        <c:noMultiLvlLbl val="0"/>
      </c:catAx>
      <c:valAx>
        <c:axId val="20902176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779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779776"/>
        <c:axId val="20902406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779776"/>
        <c:axId val="209024064"/>
      </c:lineChart>
      <c:catAx>
        <c:axId val="2087797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9024064"/>
        <c:crosses val="autoZero"/>
        <c:auto val="1"/>
        <c:lblAlgn val="ctr"/>
        <c:lblOffset val="100"/>
        <c:noMultiLvlLbl val="0"/>
      </c:catAx>
      <c:valAx>
        <c:axId val="20902406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77977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STOPPER</c:v>
                </c:pt>
                <c:pt idx="5">
                  <c:v>LEAD IN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0">
                  <c:v>5124</c:v>
                </c:pt>
                <c:pt idx="1">
                  <c:v>0</c:v>
                </c:pt>
                <c:pt idx="2">
                  <c:v>4777</c:v>
                </c:pt>
                <c:pt idx="3">
                  <c:v>87360</c:v>
                </c:pt>
                <c:pt idx="6">
                  <c:v>1122</c:v>
                </c:pt>
                <c:pt idx="7">
                  <c:v>1821</c:v>
                </c:pt>
                <c:pt idx="10">
                  <c:v>5149</c:v>
                </c:pt>
                <c:pt idx="12">
                  <c:v>959</c:v>
                </c:pt>
                <c:pt idx="13">
                  <c:v>4940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STOPPER</c:v>
                </c:pt>
                <c:pt idx="5">
                  <c:v>LEAD IN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5130</c:v>
                </c:pt>
                <c:pt idx="1">
                  <c:v>2670</c:v>
                </c:pt>
                <c:pt idx="2">
                  <c:v>4780</c:v>
                </c:pt>
                <c:pt idx="3">
                  <c:v>87360</c:v>
                </c:pt>
                <c:pt idx="4">
                  <c:v>4860</c:v>
                </c:pt>
                <c:pt idx="5">
                  <c:v>1930</c:v>
                </c:pt>
                <c:pt idx="6">
                  <c:v>1130</c:v>
                </c:pt>
                <c:pt idx="7">
                  <c:v>1830</c:v>
                </c:pt>
                <c:pt idx="8">
                  <c:v>4100</c:v>
                </c:pt>
                <c:pt idx="9">
                  <c:v>10920</c:v>
                </c:pt>
                <c:pt idx="10">
                  <c:v>5150</c:v>
                </c:pt>
                <c:pt idx="11">
                  <c:v>700</c:v>
                </c:pt>
                <c:pt idx="12">
                  <c:v>960</c:v>
                </c:pt>
                <c:pt idx="13">
                  <c:v>4940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76800"/>
        <c:axId val="209223680"/>
      </c:lineChart>
      <c:catAx>
        <c:axId val="2080768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9223680"/>
        <c:crosses val="autoZero"/>
        <c:auto val="1"/>
        <c:lblAlgn val="ctr"/>
        <c:lblOffset val="100"/>
        <c:noMultiLvlLbl val="0"/>
      </c:catAx>
      <c:valAx>
        <c:axId val="2092236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80768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100% 0% 100% 92% 0% 0% 37% 46% 0% 0% 100% 0% 25%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STOPPER</c:v>
                </c:pt>
                <c:pt idx="5">
                  <c:v>LEAD IN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0.99883040935672518</c:v>
                </c:pt>
                <c:pt idx="1">
                  <c:v>0</c:v>
                </c:pt>
                <c:pt idx="2">
                  <c:v>0.99937238493723846</c:v>
                </c:pt>
                <c:pt idx="3">
                  <c:v>0.91666666666666663</c:v>
                </c:pt>
                <c:pt idx="4">
                  <c:v>0</c:v>
                </c:pt>
                <c:pt idx="5">
                  <c:v>0</c:v>
                </c:pt>
                <c:pt idx="6">
                  <c:v>0.37234513274336278</c:v>
                </c:pt>
                <c:pt idx="7">
                  <c:v>0.45607923497267755</c:v>
                </c:pt>
                <c:pt idx="8">
                  <c:v>0</c:v>
                </c:pt>
                <c:pt idx="9">
                  <c:v>0</c:v>
                </c:pt>
                <c:pt idx="10">
                  <c:v>0.99980582524271844</c:v>
                </c:pt>
                <c:pt idx="11">
                  <c:v>0</c:v>
                </c:pt>
                <c:pt idx="12">
                  <c:v>0.24973958333333332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STOPPER</c:v>
                </c:pt>
                <c:pt idx="5">
                  <c:v>LEAD IN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0.39396706026129263</c:v>
                </c:pt>
                <c:pt idx="1">
                  <c:v>0.39396706026129263</c:v>
                </c:pt>
                <c:pt idx="2">
                  <c:v>0.39396706026129263</c:v>
                </c:pt>
                <c:pt idx="3">
                  <c:v>0.39396706026129263</c:v>
                </c:pt>
                <c:pt idx="4">
                  <c:v>0.39396706026129263</c:v>
                </c:pt>
                <c:pt idx="5">
                  <c:v>0.39396706026129263</c:v>
                </c:pt>
                <c:pt idx="6">
                  <c:v>0.39396706026129263</c:v>
                </c:pt>
                <c:pt idx="7">
                  <c:v>0.39396706026129263</c:v>
                </c:pt>
                <c:pt idx="8">
                  <c:v>0.39396706026129263</c:v>
                </c:pt>
                <c:pt idx="9">
                  <c:v>0.39396706026129263</c:v>
                </c:pt>
                <c:pt idx="10">
                  <c:v>0.39396706026129263</c:v>
                </c:pt>
                <c:pt idx="11">
                  <c:v>0.39396706026129263</c:v>
                </c:pt>
                <c:pt idx="12">
                  <c:v>0.39396706026129263</c:v>
                </c:pt>
                <c:pt idx="13">
                  <c:v>0.39396706026129263</c:v>
                </c:pt>
                <c:pt idx="14">
                  <c:v>0.39396706026129263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77824"/>
        <c:axId val="209225408"/>
      </c:lineChart>
      <c:catAx>
        <c:axId val="208077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9225408"/>
        <c:crosses val="autoZero"/>
        <c:auto val="1"/>
        <c:lblAlgn val="ctr"/>
        <c:lblOffset val="100"/>
        <c:noMultiLvlLbl val="0"/>
      </c:catAx>
      <c:valAx>
        <c:axId val="2092254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0778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STOPPER</c:v>
                </c:pt>
                <c:pt idx="5">
                  <c:v>LEAD IN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'06'!$L$6:$L$20</c:f>
              <c:numCache>
                <c:formatCode>_(* #,##0_);_(* \(#,##0\);_(* "-"_);_(@_)</c:formatCode>
                <c:ptCount val="15"/>
                <c:pt idx="0">
                  <c:v>5124</c:v>
                </c:pt>
                <c:pt idx="1">
                  <c:v>0</c:v>
                </c:pt>
                <c:pt idx="2">
                  <c:v>4777</c:v>
                </c:pt>
                <c:pt idx="3">
                  <c:v>87360</c:v>
                </c:pt>
                <c:pt idx="6">
                  <c:v>1122</c:v>
                </c:pt>
                <c:pt idx="7">
                  <c:v>1821</c:v>
                </c:pt>
                <c:pt idx="10">
                  <c:v>5149</c:v>
                </c:pt>
                <c:pt idx="12">
                  <c:v>959</c:v>
                </c:pt>
                <c:pt idx="13">
                  <c:v>4940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STOPPER</c:v>
                </c:pt>
                <c:pt idx="5">
                  <c:v>LEAD IN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'06'!$J$6:$J$20</c:f>
              <c:numCache>
                <c:formatCode>_(* #,##0_);_(* \(#,##0\);_(* "-"_);_(@_)</c:formatCode>
                <c:ptCount val="15"/>
                <c:pt idx="0">
                  <c:v>5130</c:v>
                </c:pt>
                <c:pt idx="1">
                  <c:v>2670</c:v>
                </c:pt>
                <c:pt idx="2">
                  <c:v>4780</c:v>
                </c:pt>
                <c:pt idx="3">
                  <c:v>87360</c:v>
                </c:pt>
                <c:pt idx="4">
                  <c:v>4860</c:v>
                </c:pt>
                <c:pt idx="5">
                  <c:v>1930</c:v>
                </c:pt>
                <c:pt idx="6">
                  <c:v>1130</c:v>
                </c:pt>
                <c:pt idx="7">
                  <c:v>1830</c:v>
                </c:pt>
                <c:pt idx="8">
                  <c:v>4100</c:v>
                </c:pt>
                <c:pt idx="9">
                  <c:v>10920</c:v>
                </c:pt>
                <c:pt idx="10">
                  <c:v>5150</c:v>
                </c:pt>
                <c:pt idx="11">
                  <c:v>700</c:v>
                </c:pt>
                <c:pt idx="12">
                  <c:v>960</c:v>
                </c:pt>
                <c:pt idx="13">
                  <c:v>4940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78336"/>
        <c:axId val="209227712"/>
      </c:lineChart>
      <c:catAx>
        <c:axId val="2080783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9227712"/>
        <c:crosses val="autoZero"/>
        <c:auto val="1"/>
        <c:lblAlgn val="ctr"/>
        <c:lblOffset val="100"/>
        <c:noMultiLvlLbl val="0"/>
      </c:catAx>
      <c:valAx>
        <c:axId val="20922771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8078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'06'!$AD$6:$AD$20</c:f>
              <c:strCache>
                <c:ptCount val="1"/>
                <c:pt idx="0">
                  <c:v>100% 0% 100% 92% 0% 0% 37% 46% 0% 0% 100% 0% 25%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STOPPER</c:v>
                </c:pt>
                <c:pt idx="5">
                  <c:v>LEAD IN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'06'!$AD$6:$AD$20</c:f>
              <c:numCache>
                <c:formatCode>0%</c:formatCode>
                <c:ptCount val="15"/>
                <c:pt idx="0">
                  <c:v>0.99883040935672518</c:v>
                </c:pt>
                <c:pt idx="1">
                  <c:v>0</c:v>
                </c:pt>
                <c:pt idx="2">
                  <c:v>0.99937238493723846</c:v>
                </c:pt>
                <c:pt idx="3">
                  <c:v>0.91666666666666663</c:v>
                </c:pt>
                <c:pt idx="4">
                  <c:v>0</c:v>
                </c:pt>
                <c:pt idx="5">
                  <c:v>0</c:v>
                </c:pt>
                <c:pt idx="6">
                  <c:v>0.37234513274336278</c:v>
                </c:pt>
                <c:pt idx="7">
                  <c:v>0.45607923497267755</c:v>
                </c:pt>
                <c:pt idx="8">
                  <c:v>0</c:v>
                </c:pt>
                <c:pt idx="9">
                  <c:v>0</c:v>
                </c:pt>
                <c:pt idx="10">
                  <c:v>0.99980582524271844</c:v>
                </c:pt>
                <c:pt idx="11">
                  <c:v>0</c:v>
                </c:pt>
                <c:pt idx="12">
                  <c:v>0.24973958333333332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'06'!$D$6:$D$20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STOPPER</c:v>
                </c:pt>
                <c:pt idx="5">
                  <c:v>LEAD IN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LEVER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'06'!$AE$6:$AE$20</c:f>
              <c:numCache>
                <c:formatCode>0%</c:formatCode>
                <c:ptCount val="15"/>
                <c:pt idx="0">
                  <c:v>0.39396706026129263</c:v>
                </c:pt>
                <c:pt idx="1">
                  <c:v>0.39396706026129263</c:v>
                </c:pt>
                <c:pt idx="2">
                  <c:v>0.39396706026129263</c:v>
                </c:pt>
                <c:pt idx="3">
                  <c:v>0.39396706026129263</c:v>
                </c:pt>
                <c:pt idx="4">
                  <c:v>0.39396706026129263</c:v>
                </c:pt>
                <c:pt idx="5">
                  <c:v>0.39396706026129263</c:v>
                </c:pt>
                <c:pt idx="6">
                  <c:v>0.39396706026129263</c:v>
                </c:pt>
                <c:pt idx="7">
                  <c:v>0.39396706026129263</c:v>
                </c:pt>
                <c:pt idx="8">
                  <c:v>0.39396706026129263</c:v>
                </c:pt>
                <c:pt idx="9">
                  <c:v>0.39396706026129263</c:v>
                </c:pt>
                <c:pt idx="10">
                  <c:v>0.39396706026129263</c:v>
                </c:pt>
                <c:pt idx="11">
                  <c:v>0.39396706026129263</c:v>
                </c:pt>
                <c:pt idx="12">
                  <c:v>0.39396706026129263</c:v>
                </c:pt>
                <c:pt idx="13">
                  <c:v>0.39396706026129263</c:v>
                </c:pt>
                <c:pt idx="14">
                  <c:v>0.39396706026129263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78848"/>
        <c:axId val="209229440"/>
      </c:lineChart>
      <c:catAx>
        <c:axId val="208078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9229440"/>
        <c:crosses val="autoZero"/>
        <c:auto val="1"/>
        <c:lblAlgn val="ctr"/>
        <c:lblOffset val="100"/>
        <c:noMultiLvlLbl val="0"/>
      </c:catAx>
      <c:valAx>
        <c:axId val="209229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078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79360"/>
        <c:axId val="20958412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079360"/>
        <c:axId val="209584128"/>
      </c:lineChart>
      <c:catAx>
        <c:axId val="20807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209584128"/>
        <c:crosses val="autoZero"/>
        <c:auto val="1"/>
        <c:lblAlgn val="ctr"/>
        <c:lblOffset val="100"/>
        <c:noMultiLvlLbl val="0"/>
      </c:catAx>
      <c:valAx>
        <c:axId val="20958412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0793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BODY</c:v>
                </c:pt>
                <c:pt idx="5">
                  <c:v>LATCH</c:v>
                </c:pt>
                <c:pt idx="6">
                  <c:v>ADAPTER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5082</c:v>
                </c:pt>
                <c:pt idx="1">
                  <c:v>2272</c:v>
                </c:pt>
                <c:pt idx="2">
                  <c:v>4548</c:v>
                </c:pt>
                <c:pt idx="4">
                  <c:v>388</c:v>
                </c:pt>
                <c:pt idx="5">
                  <c:v>6814</c:v>
                </c:pt>
                <c:pt idx="6">
                  <c:v>361</c:v>
                </c:pt>
                <c:pt idx="8">
                  <c:v>2940</c:v>
                </c:pt>
                <c:pt idx="11">
                  <c:v>4230</c:v>
                </c:pt>
                <c:pt idx="12">
                  <c:v>2243</c:v>
                </c:pt>
                <c:pt idx="13">
                  <c:v>4812</c:v>
                </c:pt>
                <c:pt idx="14">
                  <c:v>3946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BODY</c:v>
                </c:pt>
                <c:pt idx="5">
                  <c:v>LATCH</c:v>
                </c:pt>
                <c:pt idx="6">
                  <c:v>ADAPTER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5090</c:v>
                </c:pt>
                <c:pt idx="1">
                  <c:v>2280</c:v>
                </c:pt>
                <c:pt idx="2">
                  <c:v>4550</c:v>
                </c:pt>
                <c:pt idx="3">
                  <c:v>87360</c:v>
                </c:pt>
                <c:pt idx="4">
                  <c:v>390</c:v>
                </c:pt>
                <c:pt idx="5">
                  <c:v>6820</c:v>
                </c:pt>
                <c:pt idx="6">
                  <c:v>361</c:v>
                </c:pt>
                <c:pt idx="7">
                  <c:v>1130</c:v>
                </c:pt>
                <c:pt idx="8">
                  <c:v>2940</c:v>
                </c:pt>
                <c:pt idx="9">
                  <c:v>4100</c:v>
                </c:pt>
                <c:pt idx="10">
                  <c:v>10920</c:v>
                </c:pt>
                <c:pt idx="11">
                  <c:v>4230</c:v>
                </c:pt>
                <c:pt idx="12">
                  <c:v>2250</c:v>
                </c:pt>
                <c:pt idx="13">
                  <c:v>4820</c:v>
                </c:pt>
                <c:pt idx="14">
                  <c:v>3950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02912"/>
        <c:axId val="209587008"/>
      </c:lineChart>
      <c:catAx>
        <c:axId val="2097029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9587008"/>
        <c:crosses val="autoZero"/>
        <c:auto val="1"/>
        <c:lblAlgn val="ctr"/>
        <c:lblOffset val="100"/>
        <c:noMultiLvlLbl val="0"/>
      </c:catAx>
      <c:valAx>
        <c:axId val="2095870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97029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"/>
                <c:pt idx="0">
                  <c:v>100% 54% 100% 0% 17% 79% 17% 0% 67% 0% 0% 83% 42% 100%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BODY</c:v>
                </c:pt>
                <c:pt idx="5">
                  <c:v>LATCH</c:v>
                </c:pt>
                <c:pt idx="6">
                  <c:v>ADAPTER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0.9984282907662082</c:v>
                </c:pt>
                <c:pt idx="1">
                  <c:v>0.539766081871345</c:v>
                </c:pt>
                <c:pt idx="2">
                  <c:v>0.99956043956043961</c:v>
                </c:pt>
                <c:pt idx="3">
                  <c:v>0</c:v>
                </c:pt>
                <c:pt idx="4">
                  <c:v>0.16581196581196581</c:v>
                </c:pt>
                <c:pt idx="5">
                  <c:v>0.79097018572825017</c:v>
                </c:pt>
                <c:pt idx="6">
                  <c:v>0.16666666666666666</c:v>
                </c:pt>
                <c:pt idx="7">
                  <c:v>0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0.41537037037037039</c:v>
                </c:pt>
                <c:pt idx="13">
                  <c:v>0.99834024896265561</c:v>
                </c:pt>
                <c:pt idx="14">
                  <c:v>0.87411392405063293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BODY</c:v>
                </c:pt>
                <c:pt idx="5">
                  <c:v>LATCH</c:v>
                </c:pt>
                <c:pt idx="6">
                  <c:v>ADAPTER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0.49660187825256891</c:v>
                </c:pt>
                <c:pt idx="1">
                  <c:v>0.49660187825256891</c:v>
                </c:pt>
                <c:pt idx="2">
                  <c:v>0.49660187825256891</c:v>
                </c:pt>
                <c:pt idx="3">
                  <c:v>0.49660187825256891</c:v>
                </c:pt>
                <c:pt idx="4">
                  <c:v>0.49660187825256891</c:v>
                </c:pt>
                <c:pt idx="5">
                  <c:v>0.49660187825256891</c:v>
                </c:pt>
                <c:pt idx="6">
                  <c:v>0.49660187825256891</c:v>
                </c:pt>
                <c:pt idx="7">
                  <c:v>0.49660187825256891</c:v>
                </c:pt>
                <c:pt idx="8">
                  <c:v>0.49660187825256891</c:v>
                </c:pt>
                <c:pt idx="9">
                  <c:v>0.49660187825256891</c:v>
                </c:pt>
                <c:pt idx="10">
                  <c:v>0.49660187825256891</c:v>
                </c:pt>
                <c:pt idx="11">
                  <c:v>0.49660187825256891</c:v>
                </c:pt>
                <c:pt idx="12">
                  <c:v>0.49660187825256891</c:v>
                </c:pt>
                <c:pt idx="13">
                  <c:v>0.49660187825256891</c:v>
                </c:pt>
                <c:pt idx="14">
                  <c:v>0.49660187825256891</c:v>
                </c:pt>
                <c:pt idx="15">
                  <c:v>0.49660187825256891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04448"/>
        <c:axId val="209589888"/>
      </c:lineChart>
      <c:catAx>
        <c:axId val="2097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9589888"/>
        <c:crosses val="autoZero"/>
        <c:auto val="1"/>
        <c:lblAlgn val="ctr"/>
        <c:lblOffset val="100"/>
        <c:noMultiLvlLbl val="0"/>
      </c:catAx>
      <c:valAx>
        <c:axId val="20958988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9704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'07'!$D$6:$D$21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BODY</c:v>
                </c:pt>
                <c:pt idx="5">
                  <c:v>LATCH</c:v>
                </c:pt>
                <c:pt idx="6">
                  <c:v>ADAPTER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'07'!$L$6:$L$21</c:f>
              <c:numCache>
                <c:formatCode>_(* #,##0_);_(* \(#,##0\);_(* "-"_);_(@_)</c:formatCode>
                <c:ptCount val="16"/>
                <c:pt idx="0">
                  <c:v>5082</c:v>
                </c:pt>
                <c:pt idx="1">
                  <c:v>2272</c:v>
                </c:pt>
                <c:pt idx="2">
                  <c:v>4548</c:v>
                </c:pt>
                <c:pt idx="4">
                  <c:v>388</c:v>
                </c:pt>
                <c:pt idx="5">
                  <c:v>6814</c:v>
                </c:pt>
                <c:pt idx="6">
                  <c:v>361</c:v>
                </c:pt>
                <c:pt idx="8">
                  <c:v>2940</c:v>
                </c:pt>
                <c:pt idx="11">
                  <c:v>4230</c:v>
                </c:pt>
                <c:pt idx="12">
                  <c:v>2243</c:v>
                </c:pt>
                <c:pt idx="13">
                  <c:v>4812</c:v>
                </c:pt>
                <c:pt idx="14">
                  <c:v>3946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'07'!$D$6:$D$21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BODY</c:v>
                </c:pt>
                <c:pt idx="5">
                  <c:v>LATCH</c:v>
                </c:pt>
                <c:pt idx="6">
                  <c:v>ADAPTER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'07'!$J$6:$J$21</c:f>
              <c:numCache>
                <c:formatCode>_(* #,##0_);_(* \(#,##0\);_(* "-"_);_(@_)</c:formatCode>
                <c:ptCount val="16"/>
                <c:pt idx="0">
                  <c:v>5090</c:v>
                </c:pt>
                <c:pt idx="1">
                  <c:v>2280</c:v>
                </c:pt>
                <c:pt idx="2">
                  <c:v>4550</c:v>
                </c:pt>
                <c:pt idx="3">
                  <c:v>87360</c:v>
                </c:pt>
                <c:pt idx="4">
                  <c:v>390</c:v>
                </c:pt>
                <c:pt idx="5">
                  <c:v>6820</c:v>
                </c:pt>
                <c:pt idx="6">
                  <c:v>361</c:v>
                </c:pt>
                <c:pt idx="7">
                  <c:v>1130</c:v>
                </c:pt>
                <c:pt idx="8">
                  <c:v>2940</c:v>
                </c:pt>
                <c:pt idx="9">
                  <c:v>4100</c:v>
                </c:pt>
                <c:pt idx="10">
                  <c:v>10920</c:v>
                </c:pt>
                <c:pt idx="11">
                  <c:v>4230</c:v>
                </c:pt>
                <c:pt idx="12">
                  <c:v>2250</c:v>
                </c:pt>
                <c:pt idx="13">
                  <c:v>4820</c:v>
                </c:pt>
                <c:pt idx="14">
                  <c:v>3950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704960"/>
        <c:axId val="208363520"/>
      </c:lineChart>
      <c:catAx>
        <c:axId val="2097049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8363520"/>
        <c:crosses val="autoZero"/>
        <c:auto val="1"/>
        <c:lblAlgn val="ctr"/>
        <c:lblOffset val="100"/>
        <c:noMultiLvlLbl val="0"/>
      </c:catAx>
      <c:valAx>
        <c:axId val="2083635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9704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'07'!$AD$6:$AD$21</c:f>
              <c:strCache>
                <c:ptCount val="1"/>
                <c:pt idx="0">
                  <c:v>100% 54% 100% 0% 17% 79% 17% 0% 67% 0% 0% 83% 42% 100%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'07'!$D$6:$D$21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BODY</c:v>
                </c:pt>
                <c:pt idx="5">
                  <c:v>LATCH</c:v>
                </c:pt>
                <c:pt idx="6">
                  <c:v>ADAPTER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'07'!$AD$6:$AD$21</c:f>
              <c:numCache>
                <c:formatCode>0%</c:formatCode>
                <c:ptCount val="16"/>
                <c:pt idx="0">
                  <c:v>0.9984282907662082</c:v>
                </c:pt>
                <c:pt idx="1">
                  <c:v>0.539766081871345</c:v>
                </c:pt>
                <c:pt idx="2">
                  <c:v>0.99956043956043961</c:v>
                </c:pt>
                <c:pt idx="3">
                  <c:v>0</c:v>
                </c:pt>
                <c:pt idx="4">
                  <c:v>0.16581196581196581</c:v>
                </c:pt>
                <c:pt idx="5">
                  <c:v>0.79097018572825017</c:v>
                </c:pt>
                <c:pt idx="6">
                  <c:v>0.16666666666666666</c:v>
                </c:pt>
                <c:pt idx="7">
                  <c:v>0</c:v>
                </c:pt>
                <c:pt idx="8">
                  <c:v>0.66666666666666663</c:v>
                </c:pt>
                <c:pt idx="9">
                  <c:v>0</c:v>
                </c:pt>
                <c:pt idx="10">
                  <c:v>0</c:v>
                </c:pt>
                <c:pt idx="11">
                  <c:v>0.83333333333333337</c:v>
                </c:pt>
                <c:pt idx="12">
                  <c:v>0.41537037037037039</c:v>
                </c:pt>
                <c:pt idx="13">
                  <c:v>0.99834024896265561</c:v>
                </c:pt>
                <c:pt idx="14">
                  <c:v>0.87411392405063293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'07'!$D$6:$D$21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SHAFT</c:v>
                </c:pt>
                <c:pt idx="4">
                  <c:v>BODY</c:v>
                </c:pt>
                <c:pt idx="5">
                  <c:v>LATCH</c:v>
                </c:pt>
                <c:pt idx="6">
                  <c:v>ADAPTER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IC GUIDE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'07'!$AE$6:$AE$21</c:f>
              <c:numCache>
                <c:formatCode>0%</c:formatCode>
                <c:ptCount val="16"/>
                <c:pt idx="0">
                  <c:v>0.49660187825256891</c:v>
                </c:pt>
                <c:pt idx="1">
                  <c:v>0.49660187825256891</c:v>
                </c:pt>
                <c:pt idx="2">
                  <c:v>0.49660187825256891</c:v>
                </c:pt>
                <c:pt idx="3">
                  <c:v>0.49660187825256891</c:v>
                </c:pt>
                <c:pt idx="4">
                  <c:v>0.49660187825256891</c:v>
                </c:pt>
                <c:pt idx="5">
                  <c:v>0.49660187825256891</c:v>
                </c:pt>
                <c:pt idx="6">
                  <c:v>0.49660187825256891</c:v>
                </c:pt>
                <c:pt idx="7">
                  <c:v>0.49660187825256891</c:v>
                </c:pt>
                <c:pt idx="8">
                  <c:v>0.49660187825256891</c:v>
                </c:pt>
                <c:pt idx="9">
                  <c:v>0.49660187825256891</c:v>
                </c:pt>
                <c:pt idx="10">
                  <c:v>0.49660187825256891</c:v>
                </c:pt>
                <c:pt idx="11">
                  <c:v>0.49660187825256891</c:v>
                </c:pt>
                <c:pt idx="12">
                  <c:v>0.49660187825256891</c:v>
                </c:pt>
                <c:pt idx="13">
                  <c:v>0.49660187825256891</c:v>
                </c:pt>
                <c:pt idx="14">
                  <c:v>0.49660187825256891</c:v>
                </c:pt>
                <c:pt idx="15">
                  <c:v>0.49660187825256891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24960"/>
        <c:axId val="208365248"/>
      </c:lineChart>
      <c:catAx>
        <c:axId val="208424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8365248"/>
        <c:crosses val="autoZero"/>
        <c:auto val="1"/>
        <c:lblAlgn val="ctr"/>
        <c:lblOffset val="100"/>
        <c:noMultiLvlLbl val="0"/>
      </c:catAx>
      <c:valAx>
        <c:axId val="2083652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84249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25472"/>
        <c:axId val="2083675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25472"/>
        <c:axId val="208367552"/>
      </c:lineChart>
      <c:catAx>
        <c:axId val="208425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367552"/>
        <c:crosses val="autoZero"/>
        <c:auto val="1"/>
        <c:lblAlgn val="ctr"/>
        <c:lblOffset val="100"/>
        <c:noMultiLvlLbl val="0"/>
      </c:catAx>
      <c:valAx>
        <c:axId val="2083675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42547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0">
                  <c:v>1904</c:v>
                </c:pt>
                <c:pt idx="1">
                  <c:v>4724</c:v>
                </c:pt>
                <c:pt idx="2">
                  <c:v>4820</c:v>
                </c:pt>
                <c:pt idx="3">
                  <c:v>1522</c:v>
                </c:pt>
                <c:pt idx="4">
                  <c:v>10786</c:v>
                </c:pt>
                <c:pt idx="7">
                  <c:v>2659</c:v>
                </c:pt>
                <c:pt idx="10">
                  <c:v>5807</c:v>
                </c:pt>
                <c:pt idx="12">
                  <c:v>5309</c:v>
                </c:pt>
                <c:pt idx="13">
                  <c:v>4510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1910</c:v>
                </c:pt>
                <c:pt idx="1">
                  <c:v>4730</c:v>
                </c:pt>
                <c:pt idx="2">
                  <c:v>4820</c:v>
                </c:pt>
                <c:pt idx="3">
                  <c:v>1530</c:v>
                </c:pt>
                <c:pt idx="4">
                  <c:v>10790</c:v>
                </c:pt>
                <c:pt idx="5">
                  <c:v>361</c:v>
                </c:pt>
                <c:pt idx="6">
                  <c:v>1130</c:v>
                </c:pt>
                <c:pt idx="7">
                  <c:v>2660</c:v>
                </c:pt>
                <c:pt idx="8">
                  <c:v>4100</c:v>
                </c:pt>
                <c:pt idx="9">
                  <c:v>10920</c:v>
                </c:pt>
                <c:pt idx="10">
                  <c:v>5810</c:v>
                </c:pt>
                <c:pt idx="11">
                  <c:v>2250</c:v>
                </c:pt>
                <c:pt idx="12">
                  <c:v>5310</c:v>
                </c:pt>
                <c:pt idx="13">
                  <c:v>4510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95712"/>
        <c:axId val="208370432"/>
      </c:lineChart>
      <c:catAx>
        <c:axId val="20939571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8370432"/>
        <c:crosses val="autoZero"/>
        <c:auto val="1"/>
        <c:lblAlgn val="ctr"/>
        <c:lblOffset val="100"/>
        <c:noMultiLvlLbl val="0"/>
      </c:catAx>
      <c:valAx>
        <c:axId val="2083704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939571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37% 100% 100% 25% 100% 0% 0% 62% 0% 0% 100% 0% 100%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0.37382198952879581</c:v>
                </c:pt>
                <c:pt idx="1">
                  <c:v>0.99873150105708242</c:v>
                </c:pt>
                <c:pt idx="2">
                  <c:v>1</c:v>
                </c:pt>
                <c:pt idx="3">
                  <c:v>0.24869281045751634</c:v>
                </c:pt>
                <c:pt idx="4">
                  <c:v>0.99962928637627435</c:v>
                </c:pt>
                <c:pt idx="5">
                  <c:v>0</c:v>
                </c:pt>
                <c:pt idx="6">
                  <c:v>0</c:v>
                </c:pt>
                <c:pt idx="7">
                  <c:v>0.62476503759398494</c:v>
                </c:pt>
                <c:pt idx="8">
                  <c:v>0</c:v>
                </c:pt>
                <c:pt idx="9">
                  <c:v>0</c:v>
                </c:pt>
                <c:pt idx="10">
                  <c:v>0.9994836488812392</c:v>
                </c:pt>
                <c:pt idx="11">
                  <c:v>0</c:v>
                </c:pt>
                <c:pt idx="12">
                  <c:v>0.99981167608286248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0.47744017444296155</c:v>
                </c:pt>
                <c:pt idx="1">
                  <c:v>0.47744017444296155</c:v>
                </c:pt>
                <c:pt idx="2">
                  <c:v>0.47744017444296155</c:v>
                </c:pt>
                <c:pt idx="3">
                  <c:v>0.47744017444296155</c:v>
                </c:pt>
                <c:pt idx="4">
                  <c:v>0.47744017444296155</c:v>
                </c:pt>
                <c:pt idx="5">
                  <c:v>0.47744017444296155</c:v>
                </c:pt>
                <c:pt idx="6">
                  <c:v>0.47744017444296155</c:v>
                </c:pt>
                <c:pt idx="7">
                  <c:v>0.47744017444296155</c:v>
                </c:pt>
                <c:pt idx="8">
                  <c:v>0.47744017444296155</c:v>
                </c:pt>
                <c:pt idx="9">
                  <c:v>0.47744017444296155</c:v>
                </c:pt>
                <c:pt idx="10">
                  <c:v>0.47744017444296155</c:v>
                </c:pt>
                <c:pt idx="11">
                  <c:v>0.47744017444296155</c:v>
                </c:pt>
                <c:pt idx="12">
                  <c:v>0.47744017444296155</c:v>
                </c:pt>
                <c:pt idx="13">
                  <c:v>0.47744017444296155</c:v>
                </c:pt>
                <c:pt idx="14">
                  <c:v>0.47744017444296155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97248"/>
        <c:axId val="206979648"/>
      </c:lineChart>
      <c:catAx>
        <c:axId val="209397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6979648"/>
        <c:crosses val="autoZero"/>
        <c:auto val="1"/>
        <c:lblAlgn val="ctr"/>
        <c:lblOffset val="100"/>
        <c:noMultiLvlLbl val="0"/>
      </c:catAx>
      <c:valAx>
        <c:axId val="2069796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93972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'08'!$L$6:$L$20</c:f>
              <c:numCache>
                <c:formatCode>_(* #,##0_);_(* \(#,##0\);_(* "-"_);_(@_)</c:formatCode>
                <c:ptCount val="15"/>
                <c:pt idx="0">
                  <c:v>1904</c:v>
                </c:pt>
                <c:pt idx="1">
                  <c:v>4724</c:v>
                </c:pt>
                <c:pt idx="2">
                  <c:v>4820</c:v>
                </c:pt>
                <c:pt idx="3">
                  <c:v>1522</c:v>
                </c:pt>
                <c:pt idx="4">
                  <c:v>10786</c:v>
                </c:pt>
                <c:pt idx="7">
                  <c:v>2659</c:v>
                </c:pt>
                <c:pt idx="10">
                  <c:v>5807</c:v>
                </c:pt>
                <c:pt idx="12">
                  <c:v>5309</c:v>
                </c:pt>
                <c:pt idx="13">
                  <c:v>4510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'08'!$J$6:$J$20</c:f>
              <c:numCache>
                <c:formatCode>_(* #,##0_);_(* \(#,##0\);_(* "-"_);_(@_)</c:formatCode>
                <c:ptCount val="15"/>
                <c:pt idx="0">
                  <c:v>1910</c:v>
                </c:pt>
                <c:pt idx="1">
                  <c:v>4730</c:v>
                </c:pt>
                <c:pt idx="2">
                  <c:v>4820</c:v>
                </c:pt>
                <c:pt idx="3">
                  <c:v>1530</c:v>
                </c:pt>
                <c:pt idx="4">
                  <c:v>10790</c:v>
                </c:pt>
                <c:pt idx="5">
                  <c:v>361</c:v>
                </c:pt>
                <c:pt idx="6">
                  <c:v>1130</c:v>
                </c:pt>
                <c:pt idx="7">
                  <c:v>2660</c:v>
                </c:pt>
                <c:pt idx="8">
                  <c:v>4100</c:v>
                </c:pt>
                <c:pt idx="9">
                  <c:v>10920</c:v>
                </c:pt>
                <c:pt idx="10">
                  <c:v>5810</c:v>
                </c:pt>
                <c:pt idx="11">
                  <c:v>2250</c:v>
                </c:pt>
                <c:pt idx="12">
                  <c:v>5310</c:v>
                </c:pt>
                <c:pt idx="13">
                  <c:v>4510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97760"/>
        <c:axId val="206981952"/>
      </c:lineChart>
      <c:catAx>
        <c:axId val="2093977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6981952"/>
        <c:crosses val="autoZero"/>
        <c:auto val="1"/>
        <c:lblAlgn val="ctr"/>
        <c:lblOffset val="100"/>
        <c:noMultiLvlLbl val="0"/>
      </c:catAx>
      <c:valAx>
        <c:axId val="20698195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0939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'08'!$AD$6:$AD$20</c:f>
              <c:strCache>
                <c:ptCount val="1"/>
                <c:pt idx="0">
                  <c:v>37% 100% 100% 25% 100% 0% 0% 62% 0% 0% 100% 0% 100%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'08'!$AD$6:$AD$20</c:f>
              <c:numCache>
                <c:formatCode>0%</c:formatCode>
                <c:ptCount val="15"/>
                <c:pt idx="0">
                  <c:v>0.37382198952879581</c:v>
                </c:pt>
                <c:pt idx="1">
                  <c:v>0.99873150105708242</c:v>
                </c:pt>
                <c:pt idx="2">
                  <c:v>1</c:v>
                </c:pt>
                <c:pt idx="3">
                  <c:v>0.24869281045751634</c:v>
                </c:pt>
                <c:pt idx="4">
                  <c:v>0.99962928637627435</c:v>
                </c:pt>
                <c:pt idx="5">
                  <c:v>0</c:v>
                </c:pt>
                <c:pt idx="6">
                  <c:v>0</c:v>
                </c:pt>
                <c:pt idx="7">
                  <c:v>0.62476503759398494</c:v>
                </c:pt>
                <c:pt idx="8">
                  <c:v>0</c:v>
                </c:pt>
                <c:pt idx="9">
                  <c:v>0</c:v>
                </c:pt>
                <c:pt idx="10">
                  <c:v>0.9994836488812392</c:v>
                </c:pt>
                <c:pt idx="11">
                  <c:v>0</c:v>
                </c:pt>
                <c:pt idx="12">
                  <c:v>0.99981167608286248</c:v>
                </c:pt>
                <c:pt idx="13">
                  <c:v>0.91666666666666663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'08'!$D$6:$D$20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IC GUIDE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'08'!$AE$6:$AE$20</c:f>
              <c:numCache>
                <c:formatCode>0%</c:formatCode>
                <c:ptCount val="15"/>
                <c:pt idx="0">
                  <c:v>0.47744017444296155</c:v>
                </c:pt>
                <c:pt idx="1">
                  <c:v>0.47744017444296155</c:v>
                </c:pt>
                <c:pt idx="2">
                  <c:v>0.47744017444296155</c:v>
                </c:pt>
                <c:pt idx="3">
                  <c:v>0.47744017444296155</c:v>
                </c:pt>
                <c:pt idx="4">
                  <c:v>0.47744017444296155</c:v>
                </c:pt>
                <c:pt idx="5">
                  <c:v>0.47744017444296155</c:v>
                </c:pt>
                <c:pt idx="6">
                  <c:v>0.47744017444296155</c:v>
                </c:pt>
                <c:pt idx="7">
                  <c:v>0.47744017444296155</c:v>
                </c:pt>
                <c:pt idx="8">
                  <c:v>0.47744017444296155</c:v>
                </c:pt>
                <c:pt idx="9">
                  <c:v>0.47744017444296155</c:v>
                </c:pt>
                <c:pt idx="10">
                  <c:v>0.47744017444296155</c:v>
                </c:pt>
                <c:pt idx="11">
                  <c:v>0.47744017444296155</c:v>
                </c:pt>
                <c:pt idx="12">
                  <c:v>0.47744017444296155</c:v>
                </c:pt>
                <c:pt idx="13">
                  <c:v>0.47744017444296155</c:v>
                </c:pt>
                <c:pt idx="14">
                  <c:v>0.47744017444296155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9398784"/>
        <c:axId val="206983680"/>
      </c:lineChart>
      <c:catAx>
        <c:axId val="20939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6983680"/>
        <c:crosses val="autoZero"/>
        <c:auto val="1"/>
        <c:lblAlgn val="ctr"/>
        <c:lblOffset val="100"/>
        <c:noMultiLvlLbl val="0"/>
      </c:catAx>
      <c:valAx>
        <c:axId val="20698368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09398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27520"/>
        <c:axId val="20698598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427520"/>
        <c:axId val="206985984"/>
      </c:lineChart>
      <c:catAx>
        <c:axId val="208427520"/>
        <c:scaling>
          <c:orientation val="minMax"/>
        </c:scaling>
        <c:delete val="0"/>
        <c:axPos val="b"/>
        <c:majorTickMark val="out"/>
        <c:minorTickMark val="none"/>
        <c:tickLblPos val="nextTo"/>
        <c:crossAx val="206985984"/>
        <c:crosses val="autoZero"/>
        <c:auto val="1"/>
        <c:lblAlgn val="ctr"/>
        <c:lblOffset val="100"/>
        <c:noMultiLvlLbl val="0"/>
      </c:catAx>
      <c:valAx>
        <c:axId val="20698598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084275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1592</c:v>
                </c:pt>
                <c:pt idx="1">
                  <c:v>4830</c:v>
                </c:pt>
                <c:pt idx="2">
                  <c:v>1965</c:v>
                </c:pt>
                <c:pt idx="3">
                  <c:v>928</c:v>
                </c:pt>
                <c:pt idx="4">
                  <c:v>9828</c:v>
                </c:pt>
                <c:pt idx="6">
                  <c:v>1080</c:v>
                </c:pt>
                <c:pt idx="7">
                  <c:v>1236</c:v>
                </c:pt>
                <c:pt idx="8">
                  <c:v>4787</c:v>
                </c:pt>
                <c:pt idx="11">
                  <c:v>5845</c:v>
                </c:pt>
                <c:pt idx="12">
                  <c:v>2394</c:v>
                </c:pt>
                <c:pt idx="13">
                  <c:v>3682</c:v>
                </c:pt>
                <c:pt idx="14">
                  <c:v>3949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4830</c:v>
                </c:pt>
                <c:pt idx="2">
                  <c:v>1970</c:v>
                </c:pt>
                <c:pt idx="3">
                  <c:v>930</c:v>
                </c:pt>
                <c:pt idx="4">
                  <c:v>9830</c:v>
                </c:pt>
                <c:pt idx="5">
                  <c:v>361</c:v>
                </c:pt>
                <c:pt idx="6">
                  <c:v>1080</c:v>
                </c:pt>
                <c:pt idx="7">
                  <c:v>1240</c:v>
                </c:pt>
                <c:pt idx="8">
                  <c:v>4790</c:v>
                </c:pt>
                <c:pt idx="9">
                  <c:v>4100</c:v>
                </c:pt>
                <c:pt idx="10">
                  <c:v>10920</c:v>
                </c:pt>
                <c:pt idx="11">
                  <c:v>5850</c:v>
                </c:pt>
                <c:pt idx="12">
                  <c:v>2400</c:v>
                </c:pt>
                <c:pt idx="13">
                  <c:v>3690</c:v>
                </c:pt>
                <c:pt idx="14">
                  <c:v>3950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08576"/>
        <c:axId val="209913536"/>
      </c:lineChart>
      <c:catAx>
        <c:axId val="2100085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9913536"/>
        <c:crosses val="autoZero"/>
        <c:auto val="1"/>
        <c:lblAlgn val="ctr"/>
        <c:lblOffset val="100"/>
        <c:noMultiLvlLbl val="0"/>
      </c:catAx>
      <c:valAx>
        <c:axId val="2099135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00085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"/>
                <c:pt idx="0">
                  <c:v>37% 100% 42% 25% 100% 0% 29% 42% 100% 0% 0% 100% 75% 79%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0.37312499999999998</c:v>
                </c:pt>
                <c:pt idx="1">
                  <c:v>1</c:v>
                </c:pt>
                <c:pt idx="2">
                  <c:v>0.41560913705583757</c:v>
                </c:pt>
                <c:pt idx="3">
                  <c:v>0.24946236559139784</c:v>
                </c:pt>
                <c:pt idx="4">
                  <c:v>0.99979654120040695</c:v>
                </c:pt>
                <c:pt idx="5">
                  <c:v>0</c:v>
                </c:pt>
                <c:pt idx="6">
                  <c:v>0.29166666666666669</c:v>
                </c:pt>
                <c:pt idx="7">
                  <c:v>0.41532258064516131</c:v>
                </c:pt>
                <c:pt idx="8">
                  <c:v>0.99937369519832986</c:v>
                </c:pt>
                <c:pt idx="9">
                  <c:v>0</c:v>
                </c:pt>
                <c:pt idx="10">
                  <c:v>0</c:v>
                </c:pt>
                <c:pt idx="11">
                  <c:v>0.99914529914529915</c:v>
                </c:pt>
                <c:pt idx="12">
                  <c:v>0.74812500000000004</c:v>
                </c:pt>
                <c:pt idx="13">
                  <c:v>0.78995031616982836</c:v>
                </c:pt>
                <c:pt idx="14">
                  <c:v>0.83312236286919839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0.54097993096947516</c:v>
                </c:pt>
                <c:pt idx="1">
                  <c:v>0.54097993096947516</c:v>
                </c:pt>
                <c:pt idx="2">
                  <c:v>0.54097993096947516</c:v>
                </c:pt>
                <c:pt idx="3">
                  <c:v>0.54097993096947516</c:v>
                </c:pt>
                <c:pt idx="4">
                  <c:v>0.54097993096947516</c:v>
                </c:pt>
                <c:pt idx="5">
                  <c:v>0.54097993096947516</c:v>
                </c:pt>
                <c:pt idx="6">
                  <c:v>0.54097993096947516</c:v>
                </c:pt>
                <c:pt idx="7">
                  <c:v>0.54097993096947516</c:v>
                </c:pt>
                <c:pt idx="8">
                  <c:v>0.54097993096947516</c:v>
                </c:pt>
                <c:pt idx="9">
                  <c:v>0.54097993096947516</c:v>
                </c:pt>
                <c:pt idx="10">
                  <c:v>0.54097993096947516</c:v>
                </c:pt>
                <c:pt idx="11">
                  <c:v>0.54097993096947516</c:v>
                </c:pt>
                <c:pt idx="12">
                  <c:v>0.54097993096947516</c:v>
                </c:pt>
                <c:pt idx="13">
                  <c:v>0.54097993096947516</c:v>
                </c:pt>
                <c:pt idx="14">
                  <c:v>0.54097993096947516</c:v>
                </c:pt>
                <c:pt idx="15">
                  <c:v>0.54097993096947516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2912"/>
        <c:axId val="209915264"/>
      </c:lineChart>
      <c:catAx>
        <c:axId val="2100229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9915264"/>
        <c:crosses val="autoZero"/>
        <c:auto val="1"/>
        <c:lblAlgn val="ctr"/>
        <c:lblOffset val="100"/>
        <c:noMultiLvlLbl val="0"/>
      </c:catAx>
      <c:valAx>
        <c:axId val="2099152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00229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'09'!$D$6:$D$21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'09'!$L$6:$L$21</c:f>
              <c:numCache>
                <c:formatCode>_(* #,##0_);_(* \(#,##0\);_(* "-"_);_(@_)</c:formatCode>
                <c:ptCount val="16"/>
                <c:pt idx="0">
                  <c:v>1592</c:v>
                </c:pt>
                <c:pt idx="1">
                  <c:v>4830</c:v>
                </c:pt>
                <c:pt idx="2">
                  <c:v>1965</c:v>
                </c:pt>
                <c:pt idx="3">
                  <c:v>928</c:v>
                </c:pt>
                <c:pt idx="4">
                  <c:v>9828</c:v>
                </c:pt>
                <c:pt idx="6">
                  <c:v>1080</c:v>
                </c:pt>
                <c:pt idx="7">
                  <c:v>1236</c:v>
                </c:pt>
                <c:pt idx="8">
                  <c:v>4787</c:v>
                </c:pt>
                <c:pt idx="11">
                  <c:v>5845</c:v>
                </c:pt>
                <c:pt idx="12">
                  <c:v>2394</c:v>
                </c:pt>
                <c:pt idx="13">
                  <c:v>3682</c:v>
                </c:pt>
                <c:pt idx="14">
                  <c:v>3949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'09'!$D$6:$D$21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'09'!$J$6:$J$21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4830</c:v>
                </c:pt>
                <c:pt idx="2">
                  <c:v>1970</c:v>
                </c:pt>
                <c:pt idx="3">
                  <c:v>930</c:v>
                </c:pt>
                <c:pt idx="4">
                  <c:v>9830</c:v>
                </c:pt>
                <c:pt idx="5">
                  <c:v>361</c:v>
                </c:pt>
                <c:pt idx="6">
                  <c:v>1080</c:v>
                </c:pt>
                <c:pt idx="7">
                  <c:v>1240</c:v>
                </c:pt>
                <c:pt idx="8">
                  <c:v>4790</c:v>
                </c:pt>
                <c:pt idx="9">
                  <c:v>4100</c:v>
                </c:pt>
                <c:pt idx="10">
                  <c:v>10920</c:v>
                </c:pt>
                <c:pt idx="11">
                  <c:v>5850</c:v>
                </c:pt>
                <c:pt idx="12">
                  <c:v>2400</c:v>
                </c:pt>
                <c:pt idx="13">
                  <c:v>3690</c:v>
                </c:pt>
                <c:pt idx="14">
                  <c:v>3950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3424"/>
        <c:axId val="209917568"/>
      </c:lineChart>
      <c:catAx>
        <c:axId val="2100234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09917568"/>
        <c:crosses val="autoZero"/>
        <c:auto val="1"/>
        <c:lblAlgn val="ctr"/>
        <c:lblOffset val="100"/>
        <c:noMultiLvlLbl val="0"/>
      </c:catAx>
      <c:valAx>
        <c:axId val="2099175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0023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'09'!$AD$6:$AD$21</c:f>
              <c:strCache>
                <c:ptCount val="1"/>
                <c:pt idx="0">
                  <c:v>37% 100% 42% 25% 100% 0% 29% 42% 100% 0% 0% 100% 75% 79% 83%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'09'!$D$6:$D$21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'09'!$AD$6:$AD$21</c:f>
              <c:numCache>
                <c:formatCode>0%</c:formatCode>
                <c:ptCount val="16"/>
                <c:pt idx="0">
                  <c:v>0.37312499999999998</c:v>
                </c:pt>
                <c:pt idx="1">
                  <c:v>1</c:v>
                </c:pt>
                <c:pt idx="2">
                  <c:v>0.41560913705583757</c:v>
                </c:pt>
                <c:pt idx="3">
                  <c:v>0.24946236559139784</c:v>
                </c:pt>
                <c:pt idx="4">
                  <c:v>0.99979654120040695</c:v>
                </c:pt>
                <c:pt idx="5">
                  <c:v>0</c:v>
                </c:pt>
                <c:pt idx="6">
                  <c:v>0.29166666666666669</c:v>
                </c:pt>
                <c:pt idx="7">
                  <c:v>0.41532258064516131</c:v>
                </c:pt>
                <c:pt idx="8">
                  <c:v>0.99937369519832986</c:v>
                </c:pt>
                <c:pt idx="9">
                  <c:v>0</c:v>
                </c:pt>
                <c:pt idx="10">
                  <c:v>0</c:v>
                </c:pt>
                <c:pt idx="11">
                  <c:v>0.99914529914529915</c:v>
                </c:pt>
                <c:pt idx="12">
                  <c:v>0.74812500000000004</c:v>
                </c:pt>
                <c:pt idx="13">
                  <c:v>0.78995031616982836</c:v>
                </c:pt>
                <c:pt idx="14">
                  <c:v>0.83312236286919839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'09'!$D$6:$D$21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STOPPER</c:v>
                </c:pt>
                <c:pt idx="4">
                  <c:v>LATCH</c:v>
                </c:pt>
                <c:pt idx="5">
                  <c:v>ADAPTER</c:v>
                </c:pt>
                <c:pt idx="6">
                  <c:v>STOPPER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BASE</c:v>
                </c:pt>
                <c:pt idx="13">
                  <c:v>ACTUATOR</c:v>
                </c:pt>
                <c:pt idx="14">
                  <c:v>BASE</c:v>
                </c:pt>
                <c:pt idx="15">
                  <c:v>72P</c:v>
                </c:pt>
              </c:strCache>
            </c:strRef>
          </c:cat>
          <c:val>
            <c:numRef>
              <c:f>'09'!$AE$6:$AE$21</c:f>
              <c:numCache>
                <c:formatCode>0%</c:formatCode>
                <c:ptCount val="16"/>
                <c:pt idx="0">
                  <c:v>0.54097993096947516</c:v>
                </c:pt>
                <c:pt idx="1">
                  <c:v>0.54097993096947516</c:v>
                </c:pt>
                <c:pt idx="2">
                  <c:v>0.54097993096947516</c:v>
                </c:pt>
                <c:pt idx="3">
                  <c:v>0.54097993096947516</c:v>
                </c:pt>
                <c:pt idx="4">
                  <c:v>0.54097993096947516</c:v>
                </c:pt>
                <c:pt idx="5">
                  <c:v>0.54097993096947516</c:v>
                </c:pt>
                <c:pt idx="6">
                  <c:v>0.54097993096947516</c:v>
                </c:pt>
                <c:pt idx="7">
                  <c:v>0.54097993096947516</c:v>
                </c:pt>
                <c:pt idx="8">
                  <c:v>0.54097993096947516</c:v>
                </c:pt>
                <c:pt idx="9">
                  <c:v>0.54097993096947516</c:v>
                </c:pt>
                <c:pt idx="10">
                  <c:v>0.54097993096947516</c:v>
                </c:pt>
                <c:pt idx="11">
                  <c:v>0.54097993096947516</c:v>
                </c:pt>
                <c:pt idx="12">
                  <c:v>0.54097993096947516</c:v>
                </c:pt>
                <c:pt idx="13">
                  <c:v>0.54097993096947516</c:v>
                </c:pt>
                <c:pt idx="14">
                  <c:v>0.54097993096947516</c:v>
                </c:pt>
                <c:pt idx="15">
                  <c:v>0.54097993096947516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4448"/>
        <c:axId val="209919296"/>
      </c:lineChart>
      <c:catAx>
        <c:axId val="21002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09919296"/>
        <c:crosses val="autoZero"/>
        <c:auto val="1"/>
        <c:lblAlgn val="ctr"/>
        <c:lblOffset val="100"/>
        <c:noMultiLvlLbl val="0"/>
      </c:catAx>
      <c:valAx>
        <c:axId val="2099192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0024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024960"/>
        <c:axId val="2111587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024960"/>
        <c:axId val="211158720"/>
      </c:lineChart>
      <c:catAx>
        <c:axId val="210024960"/>
        <c:scaling>
          <c:orientation val="minMax"/>
        </c:scaling>
        <c:delete val="0"/>
        <c:axPos val="b"/>
        <c:majorTickMark val="out"/>
        <c:minorTickMark val="none"/>
        <c:tickLblPos val="nextTo"/>
        <c:crossAx val="211158720"/>
        <c:crosses val="autoZero"/>
        <c:auto val="1"/>
        <c:lblAlgn val="ctr"/>
        <c:lblOffset val="100"/>
        <c:noMultiLvlLbl val="0"/>
      </c:catAx>
      <c:valAx>
        <c:axId val="2111587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002496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1">
                  <c:v>4745</c:v>
                </c:pt>
                <c:pt idx="2">
                  <c:v>4267</c:v>
                </c:pt>
                <c:pt idx="3">
                  <c:v>2789</c:v>
                </c:pt>
                <c:pt idx="4">
                  <c:v>5546</c:v>
                </c:pt>
                <c:pt idx="7">
                  <c:v>4596</c:v>
                </c:pt>
                <c:pt idx="8">
                  <c:v>390</c:v>
                </c:pt>
                <c:pt idx="10">
                  <c:v>3899</c:v>
                </c:pt>
                <c:pt idx="12">
                  <c:v>5343</c:v>
                </c:pt>
                <c:pt idx="13">
                  <c:v>3533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4750</c:v>
                </c:pt>
                <c:pt idx="2">
                  <c:v>4270</c:v>
                </c:pt>
                <c:pt idx="3">
                  <c:v>2790</c:v>
                </c:pt>
                <c:pt idx="4">
                  <c:v>5550</c:v>
                </c:pt>
                <c:pt idx="5">
                  <c:v>361</c:v>
                </c:pt>
                <c:pt idx="6">
                  <c:v>1240</c:v>
                </c:pt>
                <c:pt idx="7">
                  <c:v>4600</c:v>
                </c:pt>
                <c:pt idx="8">
                  <c:v>500</c:v>
                </c:pt>
                <c:pt idx="9">
                  <c:v>10920</c:v>
                </c:pt>
                <c:pt idx="10">
                  <c:v>3900</c:v>
                </c:pt>
                <c:pt idx="11">
                  <c:v>2400</c:v>
                </c:pt>
                <c:pt idx="12">
                  <c:v>5350</c:v>
                </c:pt>
                <c:pt idx="13">
                  <c:v>3540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49568"/>
        <c:axId val="211161600"/>
      </c:lineChart>
      <c:catAx>
        <c:axId val="21034956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1161600"/>
        <c:crosses val="autoZero"/>
        <c:auto val="1"/>
        <c:lblAlgn val="ctr"/>
        <c:lblOffset val="100"/>
        <c:noMultiLvlLbl val="0"/>
      </c:catAx>
      <c:valAx>
        <c:axId val="2111616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03495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96% 100% 58% 96% 0% 0% 100% 23% 0% 75% 0% 100% 79%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0.95732456140350874</c:v>
                </c:pt>
                <c:pt idx="2">
                  <c:v>0.9992974238875878</c:v>
                </c:pt>
                <c:pt idx="3">
                  <c:v>0.58312425328554363</c:v>
                </c:pt>
                <c:pt idx="4">
                  <c:v>0.95764264264264265</c:v>
                </c:pt>
                <c:pt idx="5">
                  <c:v>0</c:v>
                </c:pt>
                <c:pt idx="6">
                  <c:v>0</c:v>
                </c:pt>
                <c:pt idx="7">
                  <c:v>0.99913043478260866</c:v>
                </c:pt>
                <c:pt idx="8">
                  <c:v>0.22750000000000004</c:v>
                </c:pt>
                <c:pt idx="9">
                  <c:v>0</c:v>
                </c:pt>
                <c:pt idx="10">
                  <c:v>0.7498076923076924</c:v>
                </c:pt>
                <c:pt idx="11">
                  <c:v>0</c:v>
                </c:pt>
                <c:pt idx="12">
                  <c:v>0.99869158878504671</c:v>
                </c:pt>
                <c:pt idx="13">
                  <c:v>0.79010122410546135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0.48417465474667282</c:v>
                </c:pt>
                <c:pt idx="1">
                  <c:v>0.48417465474667282</c:v>
                </c:pt>
                <c:pt idx="2">
                  <c:v>0.48417465474667282</c:v>
                </c:pt>
                <c:pt idx="3">
                  <c:v>0.48417465474667282</c:v>
                </c:pt>
                <c:pt idx="4">
                  <c:v>0.48417465474667282</c:v>
                </c:pt>
                <c:pt idx="5">
                  <c:v>0.48417465474667282</c:v>
                </c:pt>
                <c:pt idx="6">
                  <c:v>0.48417465474667282</c:v>
                </c:pt>
                <c:pt idx="7">
                  <c:v>0.48417465474667282</c:v>
                </c:pt>
                <c:pt idx="8">
                  <c:v>0.48417465474667282</c:v>
                </c:pt>
                <c:pt idx="9">
                  <c:v>0.48417465474667282</c:v>
                </c:pt>
                <c:pt idx="10">
                  <c:v>0.48417465474667282</c:v>
                </c:pt>
                <c:pt idx="11">
                  <c:v>0.48417465474667282</c:v>
                </c:pt>
                <c:pt idx="12">
                  <c:v>0.48417465474667282</c:v>
                </c:pt>
                <c:pt idx="13">
                  <c:v>0.48417465474667282</c:v>
                </c:pt>
                <c:pt idx="14">
                  <c:v>0.48417465474667282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66976"/>
        <c:axId val="211163328"/>
      </c:lineChart>
      <c:catAx>
        <c:axId val="210366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1163328"/>
        <c:crosses val="autoZero"/>
        <c:auto val="1"/>
        <c:lblAlgn val="ctr"/>
        <c:lblOffset val="100"/>
        <c:noMultiLvlLbl val="0"/>
      </c:catAx>
      <c:valAx>
        <c:axId val="2111633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0366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'10'!$L$6:$L$20</c:f>
              <c:numCache>
                <c:formatCode>_(* #,##0_);_(* \(#,##0\);_(* "-"_);_(@_)</c:formatCode>
                <c:ptCount val="15"/>
                <c:pt idx="1">
                  <c:v>4745</c:v>
                </c:pt>
                <c:pt idx="2">
                  <c:v>4267</c:v>
                </c:pt>
                <c:pt idx="3">
                  <c:v>2789</c:v>
                </c:pt>
                <c:pt idx="4">
                  <c:v>5546</c:v>
                </c:pt>
                <c:pt idx="7">
                  <c:v>4596</c:v>
                </c:pt>
                <c:pt idx="8">
                  <c:v>390</c:v>
                </c:pt>
                <c:pt idx="10">
                  <c:v>3899</c:v>
                </c:pt>
                <c:pt idx="12">
                  <c:v>5343</c:v>
                </c:pt>
                <c:pt idx="13">
                  <c:v>3533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'10'!$J$6:$J$20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4750</c:v>
                </c:pt>
                <c:pt idx="2">
                  <c:v>4270</c:v>
                </c:pt>
                <c:pt idx="3">
                  <c:v>2790</c:v>
                </c:pt>
                <c:pt idx="4">
                  <c:v>5550</c:v>
                </c:pt>
                <c:pt idx="5">
                  <c:v>361</c:v>
                </c:pt>
                <c:pt idx="6">
                  <c:v>1240</c:v>
                </c:pt>
                <c:pt idx="7">
                  <c:v>4600</c:v>
                </c:pt>
                <c:pt idx="8">
                  <c:v>500</c:v>
                </c:pt>
                <c:pt idx="9">
                  <c:v>10920</c:v>
                </c:pt>
                <c:pt idx="10">
                  <c:v>3900</c:v>
                </c:pt>
                <c:pt idx="11">
                  <c:v>2400</c:v>
                </c:pt>
                <c:pt idx="12">
                  <c:v>5350</c:v>
                </c:pt>
                <c:pt idx="13">
                  <c:v>3540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68000"/>
        <c:axId val="210379328"/>
      </c:lineChart>
      <c:catAx>
        <c:axId val="21036800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0379328"/>
        <c:crosses val="autoZero"/>
        <c:auto val="1"/>
        <c:lblAlgn val="ctr"/>
        <c:lblOffset val="100"/>
        <c:noMultiLvlLbl val="0"/>
      </c:catAx>
      <c:valAx>
        <c:axId val="2103793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0368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'10'!$AD$6:$AD$20</c:f>
              <c:strCache>
                <c:ptCount val="1"/>
                <c:pt idx="0">
                  <c:v>0% 96% 100% 58% 96% 0% 0% 100% 23% 0% 75% 0% 100% 79%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'10'!$AD$6:$AD$20</c:f>
              <c:numCache>
                <c:formatCode>0%</c:formatCode>
                <c:ptCount val="15"/>
                <c:pt idx="0">
                  <c:v>0</c:v>
                </c:pt>
                <c:pt idx="1">
                  <c:v>0.95732456140350874</c:v>
                </c:pt>
                <c:pt idx="2">
                  <c:v>0.9992974238875878</c:v>
                </c:pt>
                <c:pt idx="3">
                  <c:v>0.58312425328554363</c:v>
                </c:pt>
                <c:pt idx="4">
                  <c:v>0.95764264264264265</c:v>
                </c:pt>
                <c:pt idx="5">
                  <c:v>0</c:v>
                </c:pt>
                <c:pt idx="6">
                  <c:v>0</c:v>
                </c:pt>
                <c:pt idx="7">
                  <c:v>0.99913043478260866</c:v>
                </c:pt>
                <c:pt idx="8">
                  <c:v>0.22750000000000004</c:v>
                </c:pt>
                <c:pt idx="9">
                  <c:v>0</c:v>
                </c:pt>
                <c:pt idx="10">
                  <c:v>0.7498076923076924</c:v>
                </c:pt>
                <c:pt idx="11">
                  <c:v>0</c:v>
                </c:pt>
                <c:pt idx="12">
                  <c:v>0.99869158878504671</c:v>
                </c:pt>
                <c:pt idx="13">
                  <c:v>0.79010122410546135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'10'!$AE$6:$AE$20</c:f>
              <c:numCache>
                <c:formatCode>0%</c:formatCode>
                <c:ptCount val="15"/>
                <c:pt idx="0">
                  <c:v>0.48417465474667282</c:v>
                </c:pt>
                <c:pt idx="1">
                  <c:v>0.48417465474667282</c:v>
                </c:pt>
                <c:pt idx="2">
                  <c:v>0.48417465474667282</c:v>
                </c:pt>
                <c:pt idx="3">
                  <c:v>0.48417465474667282</c:v>
                </c:pt>
                <c:pt idx="4">
                  <c:v>0.48417465474667282</c:v>
                </c:pt>
                <c:pt idx="5">
                  <c:v>0.48417465474667282</c:v>
                </c:pt>
                <c:pt idx="6">
                  <c:v>0.48417465474667282</c:v>
                </c:pt>
                <c:pt idx="7">
                  <c:v>0.48417465474667282</c:v>
                </c:pt>
                <c:pt idx="8">
                  <c:v>0.48417465474667282</c:v>
                </c:pt>
                <c:pt idx="9">
                  <c:v>0.48417465474667282</c:v>
                </c:pt>
                <c:pt idx="10">
                  <c:v>0.48417465474667282</c:v>
                </c:pt>
                <c:pt idx="11">
                  <c:v>0.48417465474667282</c:v>
                </c:pt>
                <c:pt idx="12">
                  <c:v>0.48417465474667282</c:v>
                </c:pt>
                <c:pt idx="13">
                  <c:v>0.48417465474667282</c:v>
                </c:pt>
                <c:pt idx="14">
                  <c:v>0.48417465474667282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369536"/>
        <c:axId val="210381056"/>
      </c:lineChart>
      <c:catAx>
        <c:axId val="21036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0381056"/>
        <c:crosses val="autoZero"/>
        <c:auto val="1"/>
        <c:lblAlgn val="ctr"/>
        <c:lblOffset val="100"/>
        <c:noMultiLvlLbl val="0"/>
      </c:catAx>
      <c:valAx>
        <c:axId val="2103810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0369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726336"/>
        <c:axId val="2103833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726336"/>
        <c:axId val="210383360"/>
      </c:lineChart>
      <c:catAx>
        <c:axId val="211726336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83360"/>
        <c:crosses val="autoZero"/>
        <c:auto val="1"/>
        <c:lblAlgn val="ctr"/>
        <c:lblOffset val="100"/>
        <c:noMultiLvlLbl val="0"/>
      </c:catAx>
      <c:valAx>
        <c:axId val="2103833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172633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1">
                  <c:v>5721</c:v>
                </c:pt>
                <c:pt idx="2">
                  <c:v>1063</c:v>
                </c:pt>
                <c:pt idx="5">
                  <c:v>430</c:v>
                </c:pt>
                <c:pt idx="7">
                  <c:v>2547</c:v>
                </c:pt>
                <c:pt idx="10">
                  <c:v>5831</c:v>
                </c:pt>
                <c:pt idx="12">
                  <c:v>5582</c:v>
                </c:pt>
                <c:pt idx="13">
                  <c:v>5051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5730</c:v>
                </c:pt>
                <c:pt idx="2">
                  <c:v>1070</c:v>
                </c:pt>
                <c:pt idx="3">
                  <c:v>2790</c:v>
                </c:pt>
                <c:pt idx="4">
                  <c:v>5550</c:v>
                </c:pt>
                <c:pt idx="5">
                  <c:v>430</c:v>
                </c:pt>
                <c:pt idx="6">
                  <c:v>1240</c:v>
                </c:pt>
                <c:pt idx="7">
                  <c:v>2550</c:v>
                </c:pt>
                <c:pt idx="8">
                  <c:v>500</c:v>
                </c:pt>
                <c:pt idx="9">
                  <c:v>10920</c:v>
                </c:pt>
                <c:pt idx="10">
                  <c:v>5840</c:v>
                </c:pt>
                <c:pt idx="11">
                  <c:v>2400</c:v>
                </c:pt>
                <c:pt idx="12">
                  <c:v>5590</c:v>
                </c:pt>
                <c:pt idx="13">
                  <c:v>5060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97760"/>
        <c:axId val="210386240"/>
      </c:lineChart>
      <c:catAx>
        <c:axId val="2109977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0386240"/>
        <c:crosses val="autoZero"/>
        <c:auto val="1"/>
        <c:lblAlgn val="ctr"/>
        <c:lblOffset val="100"/>
        <c:noMultiLvlLbl val="0"/>
      </c:catAx>
      <c:valAx>
        <c:axId val="21038624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09977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100% 33% 0% 0% 17% 0% 62% 0% 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0.99842931937172774</c:v>
                </c:pt>
                <c:pt idx="2">
                  <c:v>0.33115264797507787</c:v>
                </c:pt>
                <c:pt idx="3">
                  <c:v>0</c:v>
                </c:pt>
                <c:pt idx="4">
                  <c:v>0</c:v>
                </c:pt>
                <c:pt idx="5">
                  <c:v>0.16666666666666666</c:v>
                </c:pt>
                <c:pt idx="6">
                  <c:v>0</c:v>
                </c:pt>
                <c:pt idx="7">
                  <c:v>0.62426470588235294</c:v>
                </c:pt>
                <c:pt idx="8">
                  <c:v>0</c:v>
                </c:pt>
                <c:pt idx="9">
                  <c:v>0</c:v>
                </c:pt>
                <c:pt idx="10">
                  <c:v>0.99845890410958904</c:v>
                </c:pt>
                <c:pt idx="11">
                  <c:v>0</c:v>
                </c:pt>
                <c:pt idx="12">
                  <c:v>0.99856887298747765</c:v>
                </c:pt>
                <c:pt idx="13">
                  <c:v>0.9982213438735178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0.34105083072442732</c:v>
                </c:pt>
                <c:pt idx="1">
                  <c:v>0.34105083072442732</c:v>
                </c:pt>
                <c:pt idx="2">
                  <c:v>0.34105083072442732</c:v>
                </c:pt>
                <c:pt idx="3">
                  <c:v>0.34105083072442732</c:v>
                </c:pt>
                <c:pt idx="4">
                  <c:v>0.34105083072442732</c:v>
                </c:pt>
                <c:pt idx="5">
                  <c:v>0.34105083072442732</c:v>
                </c:pt>
                <c:pt idx="6">
                  <c:v>0.34105083072442732</c:v>
                </c:pt>
                <c:pt idx="7">
                  <c:v>0.34105083072442732</c:v>
                </c:pt>
                <c:pt idx="8">
                  <c:v>0.34105083072442732</c:v>
                </c:pt>
                <c:pt idx="9">
                  <c:v>0.34105083072442732</c:v>
                </c:pt>
                <c:pt idx="10">
                  <c:v>0.34105083072442732</c:v>
                </c:pt>
                <c:pt idx="11">
                  <c:v>0.34105083072442732</c:v>
                </c:pt>
                <c:pt idx="12">
                  <c:v>0.34105083072442732</c:v>
                </c:pt>
                <c:pt idx="13">
                  <c:v>0.34105083072442732</c:v>
                </c:pt>
                <c:pt idx="14">
                  <c:v>0.34105083072442732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98784"/>
        <c:axId val="211469440"/>
      </c:lineChart>
      <c:catAx>
        <c:axId val="210998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1469440"/>
        <c:crosses val="autoZero"/>
        <c:auto val="1"/>
        <c:lblAlgn val="ctr"/>
        <c:lblOffset val="100"/>
        <c:noMultiLvlLbl val="0"/>
      </c:catAx>
      <c:valAx>
        <c:axId val="2114694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0998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'11'!$L$6:$L$20</c:f>
              <c:numCache>
                <c:formatCode>_(* #,##0_);_(* \(#,##0\);_(* "-"_);_(@_)</c:formatCode>
                <c:ptCount val="15"/>
                <c:pt idx="1">
                  <c:v>5721</c:v>
                </c:pt>
                <c:pt idx="2">
                  <c:v>1063</c:v>
                </c:pt>
                <c:pt idx="5">
                  <c:v>430</c:v>
                </c:pt>
                <c:pt idx="7">
                  <c:v>2547</c:v>
                </c:pt>
                <c:pt idx="10">
                  <c:v>5831</c:v>
                </c:pt>
                <c:pt idx="12">
                  <c:v>5582</c:v>
                </c:pt>
                <c:pt idx="13">
                  <c:v>5051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'11'!$J$6:$J$20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5730</c:v>
                </c:pt>
                <c:pt idx="2">
                  <c:v>1070</c:v>
                </c:pt>
                <c:pt idx="3">
                  <c:v>2790</c:v>
                </c:pt>
                <c:pt idx="4">
                  <c:v>5550</c:v>
                </c:pt>
                <c:pt idx="5">
                  <c:v>430</c:v>
                </c:pt>
                <c:pt idx="6">
                  <c:v>1240</c:v>
                </c:pt>
                <c:pt idx="7">
                  <c:v>2550</c:v>
                </c:pt>
                <c:pt idx="8">
                  <c:v>500</c:v>
                </c:pt>
                <c:pt idx="9">
                  <c:v>10920</c:v>
                </c:pt>
                <c:pt idx="10">
                  <c:v>5840</c:v>
                </c:pt>
                <c:pt idx="11">
                  <c:v>2400</c:v>
                </c:pt>
                <c:pt idx="12">
                  <c:v>5590</c:v>
                </c:pt>
                <c:pt idx="13">
                  <c:v>5060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999296"/>
        <c:axId val="211471744"/>
      </c:lineChart>
      <c:catAx>
        <c:axId val="2109992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1471744"/>
        <c:crosses val="autoZero"/>
        <c:auto val="1"/>
        <c:lblAlgn val="ctr"/>
        <c:lblOffset val="100"/>
        <c:noMultiLvlLbl val="0"/>
      </c:catAx>
      <c:valAx>
        <c:axId val="2114717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09992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'11'!$AD$6:$AD$20</c:f>
              <c:strCache>
                <c:ptCount val="1"/>
                <c:pt idx="0">
                  <c:v>0% 100% 33% 0% 0% 17% 0% 62% 0% 0% 100% 0% 100%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'11'!$AD$6:$AD$20</c:f>
              <c:numCache>
                <c:formatCode>0%</c:formatCode>
                <c:ptCount val="15"/>
                <c:pt idx="0">
                  <c:v>0</c:v>
                </c:pt>
                <c:pt idx="1">
                  <c:v>0.99842931937172774</c:v>
                </c:pt>
                <c:pt idx="2">
                  <c:v>0.33115264797507787</c:v>
                </c:pt>
                <c:pt idx="3">
                  <c:v>0</c:v>
                </c:pt>
                <c:pt idx="4">
                  <c:v>0</c:v>
                </c:pt>
                <c:pt idx="5">
                  <c:v>0.16666666666666666</c:v>
                </c:pt>
                <c:pt idx="6">
                  <c:v>0</c:v>
                </c:pt>
                <c:pt idx="7">
                  <c:v>0.62426470588235294</c:v>
                </c:pt>
                <c:pt idx="8">
                  <c:v>0</c:v>
                </c:pt>
                <c:pt idx="9">
                  <c:v>0</c:v>
                </c:pt>
                <c:pt idx="10">
                  <c:v>0.99845890410958904</c:v>
                </c:pt>
                <c:pt idx="11">
                  <c:v>0</c:v>
                </c:pt>
                <c:pt idx="12">
                  <c:v>0.99856887298747765</c:v>
                </c:pt>
                <c:pt idx="13">
                  <c:v>0.9982213438735178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'11'!$D$6:$D$20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LEAD GUIDE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'11'!$AE$6:$AE$20</c:f>
              <c:numCache>
                <c:formatCode>0%</c:formatCode>
                <c:ptCount val="15"/>
                <c:pt idx="0">
                  <c:v>0.34105083072442732</c:v>
                </c:pt>
                <c:pt idx="1">
                  <c:v>0.34105083072442732</c:v>
                </c:pt>
                <c:pt idx="2">
                  <c:v>0.34105083072442732</c:v>
                </c:pt>
                <c:pt idx="3">
                  <c:v>0.34105083072442732</c:v>
                </c:pt>
                <c:pt idx="4">
                  <c:v>0.34105083072442732</c:v>
                </c:pt>
                <c:pt idx="5">
                  <c:v>0.34105083072442732</c:v>
                </c:pt>
                <c:pt idx="6">
                  <c:v>0.34105083072442732</c:v>
                </c:pt>
                <c:pt idx="7">
                  <c:v>0.34105083072442732</c:v>
                </c:pt>
                <c:pt idx="8">
                  <c:v>0.34105083072442732</c:v>
                </c:pt>
                <c:pt idx="9">
                  <c:v>0.34105083072442732</c:v>
                </c:pt>
                <c:pt idx="10">
                  <c:v>0.34105083072442732</c:v>
                </c:pt>
                <c:pt idx="11">
                  <c:v>0.34105083072442732</c:v>
                </c:pt>
                <c:pt idx="12">
                  <c:v>0.34105083072442732</c:v>
                </c:pt>
                <c:pt idx="13">
                  <c:v>0.34105083072442732</c:v>
                </c:pt>
                <c:pt idx="14">
                  <c:v>0.34105083072442732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000832"/>
        <c:axId val="211473472"/>
      </c:lineChart>
      <c:catAx>
        <c:axId val="211000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1473472"/>
        <c:crosses val="autoZero"/>
        <c:auto val="1"/>
        <c:lblAlgn val="ctr"/>
        <c:lblOffset val="100"/>
        <c:noMultiLvlLbl val="0"/>
      </c:catAx>
      <c:valAx>
        <c:axId val="2114734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1000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44704"/>
        <c:axId val="2114757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44704"/>
        <c:axId val="211475776"/>
      </c:lineChart>
      <c:catAx>
        <c:axId val="211144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1475776"/>
        <c:crosses val="autoZero"/>
        <c:auto val="1"/>
        <c:lblAlgn val="ctr"/>
        <c:lblOffset val="100"/>
        <c:noMultiLvlLbl val="0"/>
      </c:catAx>
      <c:valAx>
        <c:axId val="2114757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11447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1">
                  <c:v>5190</c:v>
                </c:pt>
                <c:pt idx="2">
                  <c:v>3219</c:v>
                </c:pt>
                <c:pt idx="4">
                  <c:v>1493</c:v>
                </c:pt>
                <c:pt idx="7">
                  <c:v>3562</c:v>
                </c:pt>
                <c:pt idx="8">
                  <c:v>188</c:v>
                </c:pt>
                <c:pt idx="9">
                  <c:v>11164</c:v>
                </c:pt>
                <c:pt idx="10">
                  <c:v>5245</c:v>
                </c:pt>
                <c:pt idx="12">
                  <c:v>2737</c:v>
                </c:pt>
                <c:pt idx="13">
                  <c:v>4317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5190</c:v>
                </c:pt>
                <c:pt idx="2">
                  <c:v>3220</c:v>
                </c:pt>
                <c:pt idx="3">
                  <c:v>2790</c:v>
                </c:pt>
                <c:pt idx="4">
                  <c:v>1500</c:v>
                </c:pt>
                <c:pt idx="5">
                  <c:v>430</c:v>
                </c:pt>
                <c:pt idx="6">
                  <c:v>1240</c:v>
                </c:pt>
                <c:pt idx="7">
                  <c:v>3570</c:v>
                </c:pt>
                <c:pt idx="8">
                  <c:v>190</c:v>
                </c:pt>
                <c:pt idx="9">
                  <c:v>11170</c:v>
                </c:pt>
                <c:pt idx="10">
                  <c:v>5250</c:v>
                </c:pt>
                <c:pt idx="11">
                  <c:v>2400</c:v>
                </c:pt>
                <c:pt idx="12">
                  <c:v>2740</c:v>
                </c:pt>
                <c:pt idx="13">
                  <c:v>4320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48224"/>
        <c:axId val="211085568"/>
      </c:lineChart>
      <c:catAx>
        <c:axId val="2121482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1085568"/>
        <c:crosses val="autoZero"/>
        <c:auto val="1"/>
        <c:lblAlgn val="ctr"/>
        <c:lblOffset val="100"/>
        <c:noMultiLvlLbl val="0"/>
      </c:catAx>
      <c:valAx>
        <c:axId val="2110855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1482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0% 96% 71% 0% 41% 0% 0% 83% 21% 92% 96% 0% 67%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0.95833333333333337</c:v>
                </c:pt>
                <c:pt idx="2">
                  <c:v>0.70811335403726716</c:v>
                </c:pt>
                <c:pt idx="3">
                  <c:v>0</c:v>
                </c:pt>
                <c:pt idx="4">
                  <c:v>0.41472222222222221</c:v>
                </c:pt>
                <c:pt idx="5">
                  <c:v>0</c:v>
                </c:pt>
                <c:pt idx="6">
                  <c:v>0</c:v>
                </c:pt>
                <c:pt idx="7">
                  <c:v>0.83146591970121386</c:v>
                </c:pt>
                <c:pt idx="8">
                  <c:v>0.20614035087719298</c:v>
                </c:pt>
                <c:pt idx="9">
                  <c:v>0.91617427633542226</c:v>
                </c:pt>
                <c:pt idx="10">
                  <c:v>0.95742063492063501</c:v>
                </c:pt>
                <c:pt idx="11">
                  <c:v>0</c:v>
                </c:pt>
                <c:pt idx="12">
                  <c:v>0.66593673965936739</c:v>
                </c:pt>
                <c:pt idx="13">
                  <c:v>0.87439236111111107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0.43551327947985108</c:v>
                </c:pt>
                <c:pt idx="1">
                  <c:v>0.43551327947985108</c:v>
                </c:pt>
                <c:pt idx="2">
                  <c:v>0.43551327947985108</c:v>
                </c:pt>
                <c:pt idx="3">
                  <c:v>0.43551327947985108</c:v>
                </c:pt>
                <c:pt idx="4">
                  <c:v>0.43551327947985108</c:v>
                </c:pt>
                <c:pt idx="5">
                  <c:v>0.43551327947985108</c:v>
                </c:pt>
                <c:pt idx="6">
                  <c:v>0.43551327947985108</c:v>
                </c:pt>
                <c:pt idx="7">
                  <c:v>0.43551327947985108</c:v>
                </c:pt>
                <c:pt idx="8">
                  <c:v>0.43551327947985108</c:v>
                </c:pt>
                <c:pt idx="9">
                  <c:v>0.43551327947985108</c:v>
                </c:pt>
                <c:pt idx="10">
                  <c:v>0.43551327947985108</c:v>
                </c:pt>
                <c:pt idx="11">
                  <c:v>0.43551327947985108</c:v>
                </c:pt>
                <c:pt idx="12">
                  <c:v>0.43551327947985108</c:v>
                </c:pt>
                <c:pt idx="13">
                  <c:v>0.43551327947985108</c:v>
                </c:pt>
                <c:pt idx="14">
                  <c:v>0.43551327947985108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49760"/>
        <c:axId val="211087296"/>
      </c:lineChart>
      <c:catAx>
        <c:axId val="21214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1087296"/>
        <c:crosses val="autoZero"/>
        <c:auto val="1"/>
        <c:lblAlgn val="ctr"/>
        <c:lblOffset val="100"/>
        <c:noMultiLvlLbl val="0"/>
      </c:catAx>
      <c:valAx>
        <c:axId val="2110872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14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'13'!$L$6:$L$20</c:f>
              <c:numCache>
                <c:formatCode>_(* #,##0_);_(* \(#,##0\);_(* "-"_);_(@_)</c:formatCode>
                <c:ptCount val="15"/>
                <c:pt idx="1">
                  <c:v>5190</c:v>
                </c:pt>
                <c:pt idx="2">
                  <c:v>3219</c:v>
                </c:pt>
                <c:pt idx="4">
                  <c:v>1493</c:v>
                </c:pt>
                <c:pt idx="7">
                  <c:v>3562</c:v>
                </c:pt>
                <c:pt idx="8">
                  <c:v>188</c:v>
                </c:pt>
                <c:pt idx="9">
                  <c:v>11164</c:v>
                </c:pt>
                <c:pt idx="10">
                  <c:v>5245</c:v>
                </c:pt>
                <c:pt idx="12">
                  <c:v>2737</c:v>
                </c:pt>
                <c:pt idx="13">
                  <c:v>4317</c:v>
                </c:pt>
                <c:pt idx="1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'13'!$J$6:$J$20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5190</c:v>
                </c:pt>
                <c:pt idx="2">
                  <c:v>3220</c:v>
                </c:pt>
                <c:pt idx="3">
                  <c:v>2790</c:v>
                </c:pt>
                <c:pt idx="4">
                  <c:v>1500</c:v>
                </c:pt>
                <c:pt idx="5">
                  <c:v>430</c:v>
                </c:pt>
                <c:pt idx="6">
                  <c:v>1240</c:v>
                </c:pt>
                <c:pt idx="7">
                  <c:v>3570</c:v>
                </c:pt>
                <c:pt idx="8">
                  <c:v>190</c:v>
                </c:pt>
                <c:pt idx="9">
                  <c:v>11170</c:v>
                </c:pt>
                <c:pt idx="10">
                  <c:v>5250</c:v>
                </c:pt>
                <c:pt idx="11">
                  <c:v>2400</c:v>
                </c:pt>
                <c:pt idx="12">
                  <c:v>2740</c:v>
                </c:pt>
                <c:pt idx="13">
                  <c:v>4320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50272"/>
        <c:axId val="211089600"/>
      </c:lineChart>
      <c:catAx>
        <c:axId val="2121502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1089600"/>
        <c:crosses val="autoZero"/>
        <c:auto val="1"/>
        <c:lblAlgn val="ctr"/>
        <c:lblOffset val="100"/>
        <c:noMultiLvlLbl val="0"/>
      </c:catAx>
      <c:valAx>
        <c:axId val="2110896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15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'13'!$AD$6:$AD$20</c:f>
              <c:strCache>
                <c:ptCount val="1"/>
                <c:pt idx="0">
                  <c:v>0% 96% 71% 0% 41% 0% 0% 83% 21% 92% 96% 0% 67%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'13'!$AD$6:$AD$20</c:f>
              <c:numCache>
                <c:formatCode>0%</c:formatCode>
                <c:ptCount val="15"/>
                <c:pt idx="0">
                  <c:v>0</c:v>
                </c:pt>
                <c:pt idx="1">
                  <c:v>0.95833333333333337</c:v>
                </c:pt>
                <c:pt idx="2">
                  <c:v>0.70811335403726716</c:v>
                </c:pt>
                <c:pt idx="3">
                  <c:v>0</c:v>
                </c:pt>
                <c:pt idx="4">
                  <c:v>0.41472222222222221</c:v>
                </c:pt>
                <c:pt idx="5">
                  <c:v>0</c:v>
                </c:pt>
                <c:pt idx="6">
                  <c:v>0</c:v>
                </c:pt>
                <c:pt idx="7">
                  <c:v>0.83146591970121386</c:v>
                </c:pt>
                <c:pt idx="8">
                  <c:v>0.20614035087719298</c:v>
                </c:pt>
                <c:pt idx="9">
                  <c:v>0.91617427633542226</c:v>
                </c:pt>
                <c:pt idx="10">
                  <c:v>0.95742063492063501</c:v>
                </c:pt>
                <c:pt idx="11">
                  <c:v>0</c:v>
                </c:pt>
                <c:pt idx="12">
                  <c:v>0.66593673965936739</c:v>
                </c:pt>
                <c:pt idx="13">
                  <c:v>0.87439236111111107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BASE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'13'!$AE$6:$AE$20</c:f>
              <c:numCache>
                <c:formatCode>0%</c:formatCode>
                <c:ptCount val="15"/>
                <c:pt idx="0">
                  <c:v>0.43551327947985108</c:v>
                </c:pt>
                <c:pt idx="1">
                  <c:v>0.43551327947985108</c:v>
                </c:pt>
                <c:pt idx="2">
                  <c:v>0.43551327947985108</c:v>
                </c:pt>
                <c:pt idx="3">
                  <c:v>0.43551327947985108</c:v>
                </c:pt>
                <c:pt idx="4">
                  <c:v>0.43551327947985108</c:v>
                </c:pt>
                <c:pt idx="5">
                  <c:v>0.43551327947985108</c:v>
                </c:pt>
                <c:pt idx="6">
                  <c:v>0.43551327947985108</c:v>
                </c:pt>
                <c:pt idx="7">
                  <c:v>0.43551327947985108</c:v>
                </c:pt>
                <c:pt idx="8">
                  <c:v>0.43551327947985108</c:v>
                </c:pt>
                <c:pt idx="9">
                  <c:v>0.43551327947985108</c:v>
                </c:pt>
                <c:pt idx="10">
                  <c:v>0.43551327947985108</c:v>
                </c:pt>
                <c:pt idx="11">
                  <c:v>0.43551327947985108</c:v>
                </c:pt>
                <c:pt idx="12">
                  <c:v>0.43551327947985108</c:v>
                </c:pt>
                <c:pt idx="13">
                  <c:v>0.43551327947985108</c:v>
                </c:pt>
                <c:pt idx="14">
                  <c:v>0.43551327947985108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51296"/>
        <c:axId val="212508672"/>
      </c:lineChart>
      <c:catAx>
        <c:axId val="21215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2508672"/>
        <c:crosses val="autoZero"/>
        <c:auto val="1"/>
        <c:lblAlgn val="ctr"/>
        <c:lblOffset val="100"/>
        <c:noMultiLvlLbl val="0"/>
      </c:catAx>
      <c:valAx>
        <c:axId val="21250867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151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45216"/>
        <c:axId val="21251097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45216"/>
        <c:axId val="212510976"/>
      </c:lineChart>
      <c:catAx>
        <c:axId val="2111452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2510976"/>
        <c:crosses val="autoZero"/>
        <c:auto val="1"/>
        <c:lblAlgn val="ctr"/>
        <c:lblOffset val="100"/>
        <c:noMultiLvlLbl val="0"/>
      </c:catAx>
      <c:valAx>
        <c:axId val="21251097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114521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1">
                  <c:v>4942</c:v>
                </c:pt>
                <c:pt idx="2">
                  <c:v>5273</c:v>
                </c:pt>
                <c:pt idx="3">
                  <c:v>63384</c:v>
                </c:pt>
                <c:pt idx="4">
                  <c:v>561</c:v>
                </c:pt>
                <c:pt idx="5">
                  <c:v>0</c:v>
                </c:pt>
                <c:pt idx="6">
                  <c:v>0</c:v>
                </c:pt>
                <c:pt idx="7">
                  <c:v>4687</c:v>
                </c:pt>
                <c:pt idx="8">
                  <c:v>0</c:v>
                </c:pt>
                <c:pt idx="9">
                  <c:v>15842</c:v>
                </c:pt>
                <c:pt idx="10">
                  <c:v>4915</c:v>
                </c:pt>
                <c:pt idx="11">
                  <c:v>1450</c:v>
                </c:pt>
                <c:pt idx="12">
                  <c:v>5282</c:v>
                </c:pt>
                <c:pt idx="13">
                  <c:v>4555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4950</c:v>
                </c:pt>
                <c:pt idx="2">
                  <c:v>5280</c:v>
                </c:pt>
                <c:pt idx="3">
                  <c:v>63390</c:v>
                </c:pt>
                <c:pt idx="4">
                  <c:v>561</c:v>
                </c:pt>
                <c:pt idx="5">
                  <c:v>430</c:v>
                </c:pt>
                <c:pt idx="6">
                  <c:v>1240</c:v>
                </c:pt>
                <c:pt idx="7">
                  <c:v>4690</c:v>
                </c:pt>
                <c:pt idx="8">
                  <c:v>190</c:v>
                </c:pt>
                <c:pt idx="9">
                  <c:v>15850</c:v>
                </c:pt>
                <c:pt idx="10">
                  <c:v>4920</c:v>
                </c:pt>
                <c:pt idx="11">
                  <c:v>1450</c:v>
                </c:pt>
                <c:pt idx="12">
                  <c:v>5290</c:v>
                </c:pt>
                <c:pt idx="13">
                  <c:v>4560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63616"/>
        <c:axId val="212513856"/>
      </c:lineChart>
      <c:catAx>
        <c:axId val="21246361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2513856"/>
        <c:crosses val="autoZero"/>
        <c:auto val="1"/>
        <c:lblAlgn val="ctr"/>
        <c:lblOffset val="100"/>
        <c:noMultiLvlLbl val="0"/>
      </c:catAx>
      <c:valAx>
        <c:axId val="21251385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46361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0% 92% 100% 96% 17% 0% 0% 100% 0% 100% 100% 38% 100%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0.9151851851851851</c:v>
                </c:pt>
                <c:pt idx="2">
                  <c:v>0.99867424242424241</c:v>
                </c:pt>
                <c:pt idx="3">
                  <c:v>0.95824262501971924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  <c:pt idx="7">
                  <c:v>0.99936034115138594</c:v>
                </c:pt>
                <c:pt idx="8">
                  <c:v>0</c:v>
                </c:pt>
                <c:pt idx="9">
                  <c:v>0.9994952681388013</c:v>
                </c:pt>
                <c:pt idx="10">
                  <c:v>0.99898373983739841</c:v>
                </c:pt>
                <c:pt idx="11">
                  <c:v>0.375</c:v>
                </c:pt>
                <c:pt idx="12">
                  <c:v>0.99848771266540648</c:v>
                </c:pt>
                <c:pt idx="13">
                  <c:v>0.95728252923976609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0.55782522068857143</c:v>
                </c:pt>
                <c:pt idx="1">
                  <c:v>0.55782522068857143</c:v>
                </c:pt>
                <c:pt idx="2">
                  <c:v>0.55782522068857143</c:v>
                </c:pt>
                <c:pt idx="3">
                  <c:v>0.55782522068857143</c:v>
                </c:pt>
                <c:pt idx="4">
                  <c:v>0.55782522068857143</c:v>
                </c:pt>
                <c:pt idx="5">
                  <c:v>0.55782522068857143</c:v>
                </c:pt>
                <c:pt idx="6">
                  <c:v>0.55782522068857143</c:v>
                </c:pt>
                <c:pt idx="7">
                  <c:v>0.55782522068857143</c:v>
                </c:pt>
                <c:pt idx="8">
                  <c:v>0.55782522068857143</c:v>
                </c:pt>
                <c:pt idx="9">
                  <c:v>0.55782522068857143</c:v>
                </c:pt>
                <c:pt idx="10">
                  <c:v>0.55782522068857143</c:v>
                </c:pt>
                <c:pt idx="11">
                  <c:v>0.55782522068857143</c:v>
                </c:pt>
                <c:pt idx="12">
                  <c:v>0.55782522068857143</c:v>
                </c:pt>
                <c:pt idx="13">
                  <c:v>0.55782522068857143</c:v>
                </c:pt>
                <c:pt idx="14">
                  <c:v>0.55782522068857143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65152"/>
        <c:axId val="212515584"/>
      </c:lineChart>
      <c:catAx>
        <c:axId val="21246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2515584"/>
        <c:crosses val="autoZero"/>
        <c:auto val="1"/>
        <c:lblAlgn val="ctr"/>
        <c:lblOffset val="100"/>
        <c:noMultiLvlLbl val="0"/>
      </c:catAx>
      <c:valAx>
        <c:axId val="2125155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465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'14'!$L$6:$L$20</c:f>
              <c:numCache>
                <c:formatCode>_(* #,##0_);_(* \(#,##0\);_(* "-"_);_(@_)</c:formatCode>
                <c:ptCount val="15"/>
                <c:pt idx="1">
                  <c:v>4942</c:v>
                </c:pt>
                <c:pt idx="2">
                  <c:v>5273</c:v>
                </c:pt>
                <c:pt idx="3">
                  <c:v>63384</c:v>
                </c:pt>
                <c:pt idx="4">
                  <c:v>561</c:v>
                </c:pt>
                <c:pt idx="5">
                  <c:v>0</c:v>
                </c:pt>
                <c:pt idx="6">
                  <c:v>0</c:v>
                </c:pt>
                <c:pt idx="7">
                  <c:v>4687</c:v>
                </c:pt>
                <c:pt idx="8">
                  <c:v>0</c:v>
                </c:pt>
                <c:pt idx="9">
                  <c:v>15842</c:v>
                </c:pt>
                <c:pt idx="10">
                  <c:v>4915</c:v>
                </c:pt>
                <c:pt idx="11">
                  <c:v>1450</c:v>
                </c:pt>
                <c:pt idx="12">
                  <c:v>5282</c:v>
                </c:pt>
                <c:pt idx="13">
                  <c:v>4555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'14'!$J$6:$J$20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4950</c:v>
                </c:pt>
                <c:pt idx="2">
                  <c:v>5280</c:v>
                </c:pt>
                <c:pt idx="3">
                  <c:v>63390</c:v>
                </c:pt>
                <c:pt idx="4">
                  <c:v>561</c:v>
                </c:pt>
                <c:pt idx="5">
                  <c:v>430</c:v>
                </c:pt>
                <c:pt idx="6">
                  <c:v>1240</c:v>
                </c:pt>
                <c:pt idx="7">
                  <c:v>4690</c:v>
                </c:pt>
                <c:pt idx="8">
                  <c:v>190</c:v>
                </c:pt>
                <c:pt idx="9">
                  <c:v>15850</c:v>
                </c:pt>
                <c:pt idx="10">
                  <c:v>4920</c:v>
                </c:pt>
                <c:pt idx="11">
                  <c:v>1450</c:v>
                </c:pt>
                <c:pt idx="12">
                  <c:v>5290</c:v>
                </c:pt>
                <c:pt idx="13">
                  <c:v>4560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65664"/>
        <c:axId val="212386944"/>
      </c:lineChart>
      <c:catAx>
        <c:axId val="2124656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2386944"/>
        <c:crosses val="autoZero"/>
        <c:auto val="1"/>
        <c:lblAlgn val="ctr"/>
        <c:lblOffset val="100"/>
        <c:noMultiLvlLbl val="0"/>
      </c:catAx>
      <c:valAx>
        <c:axId val="21238694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4656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'14'!$AD$6:$AD$20</c:f>
              <c:strCache>
                <c:ptCount val="1"/>
                <c:pt idx="0">
                  <c:v>0% 92% 100% 96% 17% 0% 0% 100% 0% 100% 100% 38% 100%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'14'!$AD$6:$AD$20</c:f>
              <c:numCache>
                <c:formatCode>0%</c:formatCode>
                <c:ptCount val="15"/>
                <c:pt idx="0">
                  <c:v>0</c:v>
                </c:pt>
                <c:pt idx="1">
                  <c:v>0.9151851851851851</c:v>
                </c:pt>
                <c:pt idx="2">
                  <c:v>0.99867424242424241</c:v>
                </c:pt>
                <c:pt idx="3">
                  <c:v>0.95824262501971924</c:v>
                </c:pt>
                <c:pt idx="4">
                  <c:v>0.16666666666666666</c:v>
                </c:pt>
                <c:pt idx="5">
                  <c:v>0</c:v>
                </c:pt>
                <c:pt idx="6">
                  <c:v>0</c:v>
                </c:pt>
                <c:pt idx="7">
                  <c:v>0.99936034115138594</c:v>
                </c:pt>
                <c:pt idx="8">
                  <c:v>0</c:v>
                </c:pt>
                <c:pt idx="9">
                  <c:v>0.9994952681388013</c:v>
                </c:pt>
                <c:pt idx="10">
                  <c:v>0.99898373983739841</c:v>
                </c:pt>
                <c:pt idx="11">
                  <c:v>0.375</c:v>
                </c:pt>
                <c:pt idx="12">
                  <c:v>0.99848771266540648</c:v>
                </c:pt>
                <c:pt idx="13">
                  <c:v>0.95728252923976609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'14'!$D$6:$D$20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9">
                  <c:v>24V</c:v>
                </c:pt>
                <c:pt idx="10">
                  <c:v>LEAD GUIDE</c:v>
                </c:pt>
                <c:pt idx="11">
                  <c:v>SLIDER</c:v>
                </c:pt>
                <c:pt idx="12">
                  <c:v>ACTUATOR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'14'!$AE$6:$AE$20</c:f>
              <c:numCache>
                <c:formatCode>0%</c:formatCode>
                <c:ptCount val="15"/>
                <c:pt idx="0">
                  <c:v>0.55782522068857143</c:v>
                </c:pt>
                <c:pt idx="1">
                  <c:v>0.55782522068857143</c:v>
                </c:pt>
                <c:pt idx="2">
                  <c:v>0.55782522068857143</c:v>
                </c:pt>
                <c:pt idx="3">
                  <c:v>0.55782522068857143</c:v>
                </c:pt>
                <c:pt idx="4">
                  <c:v>0.55782522068857143</c:v>
                </c:pt>
                <c:pt idx="5">
                  <c:v>0.55782522068857143</c:v>
                </c:pt>
                <c:pt idx="6">
                  <c:v>0.55782522068857143</c:v>
                </c:pt>
                <c:pt idx="7">
                  <c:v>0.55782522068857143</c:v>
                </c:pt>
                <c:pt idx="8">
                  <c:v>0.55782522068857143</c:v>
                </c:pt>
                <c:pt idx="9">
                  <c:v>0.55782522068857143</c:v>
                </c:pt>
                <c:pt idx="10">
                  <c:v>0.55782522068857143</c:v>
                </c:pt>
                <c:pt idx="11">
                  <c:v>0.55782522068857143</c:v>
                </c:pt>
                <c:pt idx="12">
                  <c:v>0.55782522068857143</c:v>
                </c:pt>
                <c:pt idx="13">
                  <c:v>0.55782522068857143</c:v>
                </c:pt>
                <c:pt idx="14">
                  <c:v>0.55782522068857143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66688"/>
        <c:axId val="212387520"/>
      </c:lineChart>
      <c:catAx>
        <c:axId val="212466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2387520"/>
        <c:crosses val="autoZero"/>
        <c:auto val="1"/>
        <c:lblAlgn val="ctr"/>
        <c:lblOffset val="100"/>
        <c:noMultiLvlLbl val="0"/>
      </c:catAx>
      <c:valAx>
        <c:axId val="21238752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466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297728"/>
        <c:axId val="21238982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297728"/>
        <c:axId val="212389824"/>
      </c:lineChart>
      <c:catAx>
        <c:axId val="212297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2389824"/>
        <c:crosses val="autoZero"/>
        <c:auto val="1"/>
        <c:lblAlgn val="ctr"/>
        <c:lblOffset val="100"/>
        <c:noMultiLvlLbl val="0"/>
      </c:catAx>
      <c:valAx>
        <c:axId val="21238982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2977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SLIDER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COVER</c:v>
                </c:pt>
                <c:pt idx="13">
                  <c:v>SLIDER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'15'!$L$6:$L$22</c:f>
              <c:numCache>
                <c:formatCode>_(* #,##0_);_(* \(#,##0\);_(* "-"_);_(@_)</c:formatCode>
                <c:ptCount val="17"/>
                <c:pt idx="1">
                  <c:v>5771</c:v>
                </c:pt>
                <c:pt idx="2">
                  <c:v>625</c:v>
                </c:pt>
                <c:pt idx="3">
                  <c:v>71580</c:v>
                </c:pt>
                <c:pt idx="5">
                  <c:v>586</c:v>
                </c:pt>
                <c:pt idx="6">
                  <c:v>3776</c:v>
                </c:pt>
                <c:pt idx="7">
                  <c:v>6760</c:v>
                </c:pt>
                <c:pt idx="8">
                  <c:v>4190</c:v>
                </c:pt>
                <c:pt idx="10">
                  <c:v>6058</c:v>
                </c:pt>
                <c:pt idx="11">
                  <c:v>1000</c:v>
                </c:pt>
                <c:pt idx="12">
                  <c:v>822</c:v>
                </c:pt>
                <c:pt idx="14">
                  <c:v>1916</c:v>
                </c:pt>
                <c:pt idx="15">
                  <c:v>3348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SLIDER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COVER</c:v>
                </c:pt>
                <c:pt idx="13">
                  <c:v>SLIDER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'15'!$J$6:$J$22</c:f>
              <c:numCache>
                <c:formatCode>_(* #,##0_);_(* \(#,##0\);_(* "-"_);_(@_)</c:formatCode>
                <c:ptCount val="17"/>
                <c:pt idx="0">
                  <c:v>1600</c:v>
                </c:pt>
                <c:pt idx="1">
                  <c:v>5780</c:v>
                </c:pt>
                <c:pt idx="2">
                  <c:v>630</c:v>
                </c:pt>
                <c:pt idx="3">
                  <c:v>71580</c:v>
                </c:pt>
                <c:pt idx="4">
                  <c:v>561</c:v>
                </c:pt>
                <c:pt idx="5">
                  <c:v>590</c:v>
                </c:pt>
                <c:pt idx="6">
                  <c:v>3780</c:v>
                </c:pt>
                <c:pt idx="7">
                  <c:v>6760</c:v>
                </c:pt>
                <c:pt idx="8">
                  <c:v>4190</c:v>
                </c:pt>
                <c:pt idx="9">
                  <c:v>190</c:v>
                </c:pt>
                <c:pt idx="10">
                  <c:v>6060</c:v>
                </c:pt>
                <c:pt idx="11">
                  <c:v>1000</c:v>
                </c:pt>
                <c:pt idx="12">
                  <c:v>830</c:v>
                </c:pt>
                <c:pt idx="13">
                  <c:v>1450</c:v>
                </c:pt>
                <c:pt idx="14">
                  <c:v>1920</c:v>
                </c:pt>
                <c:pt idx="15">
                  <c:v>4560</c:v>
                </c:pt>
                <c:pt idx="16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00320"/>
        <c:axId val="212392704"/>
      </c:lineChart>
      <c:catAx>
        <c:axId val="2126003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2392704"/>
        <c:crosses val="autoZero"/>
        <c:auto val="1"/>
        <c:lblAlgn val="ctr"/>
        <c:lblOffset val="100"/>
        <c:noMultiLvlLbl val="0"/>
      </c:catAx>
      <c:valAx>
        <c:axId val="2123927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600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'15'!$AD$6:$AD$22</c:f>
              <c:strCache>
                <c:ptCount val="1"/>
                <c:pt idx="0">
                  <c:v>0% 100% 21% 100% 0% 17% 79% 25% 88% 0% 42% 29% 25% 0% 50% 55%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SLIDER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COVER</c:v>
                </c:pt>
                <c:pt idx="13">
                  <c:v>SLIDER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'15'!$AD$6:$AD$22</c:f>
              <c:numCache>
                <c:formatCode>0%</c:formatCode>
                <c:ptCount val="17"/>
                <c:pt idx="0">
                  <c:v>0</c:v>
                </c:pt>
                <c:pt idx="1">
                  <c:v>0.9984429065743945</c:v>
                </c:pt>
                <c:pt idx="2">
                  <c:v>0.20667989417989419</c:v>
                </c:pt>
                <c:pt idx="3">
                  <c:v>1</c:v>
                </c:pt>
                <c:pt idx="4">
                  <c:v>0</c:v>
                </c:pt>
                <c:pt idx="5">
                  <c:v>0.1655367231638418</c:v>
                </c:pt>
                <c:pt idx="6">
                  <c:v>0.79082892416225747</c:v>
                </c:pt>
                <c:pt idx="7">
                  <c:v>0.25</c:v>
                </c:pt>
                <c:pt idx="8">
                  <c:v>0.875</c:v>
                </c:pt>
                <c:pt idx="9">
                  <c:v>0</c:v>
                </c:pt>
                <c:pt idx="10">
                  <c:v>0.41652915291529152</c:v>
                </c:pt>
                <c:pt idx="11">
                  <c:v>0.29166666666666669</c:v>
                </c:pt>
                <c:pt idx="12">
                  <c:v>0.24759036144578314</c:v>
                </c:pt>
                <c:pt idx="13">
                  <c:v>0</c:v>
                </c:pt>
                <c:pt idx="14">
                  <c:v>0.49895833333333334</c:v>
                </c:pt>
                <c:pt idx="15">
                  <c:v>0.55065789473684212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SLIDER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COVER</c:v>
                </c:pt>
                <c:pt idx="13">
                  <c:v>SLIDER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'15'!$AE$6:$AE$22</c:f>
              <c:numCache>
                <c:formatCode>0%</c:formatCode>
                <c:ptCount val="17"/>
                <c:pt idx="0">
                  <c:v>0.41945939047855368</c:v>
                </c:pt>
                <c:pt idx="1">
                  <c:v>0.41945939047855368</c:v>
                </c:pt>
                <c:pt idx="2">
                  <c:v>0.41945939047855368</c:v>
                </c:pt>
                <c:pt idx="3">
                  <c:v>0.41945939047855368</c:v>
                </c:pt>
                <c:pt idx="4">
                  <c:v>0.41945939047855368</c:v>
                </c:pt>
                <c:pt idx="5">
                  <c:v>0.41945939047855368</c:v>
                </c:pt>
                <c:pt idx="6">
                  <c:v>0.41945939047855368</c:v>
                </c:pt>
                <c:pt idx="7">
                  <c:v>0.41945939047855368</c:v>
                </c:pt>
                <c:pt idx="8">
                  <c:v>0.41945939047855368</c:v>
                </c:pt>
                <c:pt idx="9">
                  <c:v>0.41945939047855368</c:v>
                </c:pt>
                <c:pt idx="10">
                  <c:v>0.41945939047855368</c:v>
                </c:pt>
                <c:pt idx="11">
                  <c:v>0.41945939047855368</c:v>
                </c:pt>
                <c:pt idx="12">
                  <c:v>0.41945939047855368</c:v>
                </c:pt>
                <c:pt idx="13">
                  <c:v>0.41945939047855368</c:v>
                </c:pt>
                <c:pt idx="14">
                  <c:v>0.41945939047855368</c:v>
                </c:pt>
                <c:pt idx="15">
                  <c:v>0.41945939047855368</c:v>
                </c:pt>
                <c:pt idx="16">
                  <c:v>0.41945939047855368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01344"/>
        <c:axId val="213172800"/>
      </c:lineChart>
      <c:catAx>
        <c:axId val="2126013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3172800"/>
        <c:crosses val="autoZero"/>
        <c:auto val="1"/>
        <c:lblAlgn val="ctr"/>
        <c:lblOffset val="100"/>
        <c:noMultiLvlLbl val="0"/>
      </c:catAx>
      <c:valAx>
        <c:axId val="21317280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6013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'15'!$D$6:$D$22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SLIDER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COVER</c:v>
                </c:pt>
                <c:pt idx="13">
                  <c:v>SLIDER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'15'!$L$6:$L$22</c:f>
              <c:numCache>
                <c:formatCode>_(* #,##0_);_(* \(#,##0\);_(* "-"_);_(@_)</c:formatCode>
                <c:ptCount val="17"/>
                <c:pt idx="1">
                  <c:v>5771</c:v>
                </c:pt>
                <c:pt idx="2">
                  <c:v>625</c:v>
                </c:pt>
                <c:pt idx="3">
                  <c:v>71580</c:v>
                </c:pt>
                <c:pt idx="5">
                  <c:v>586</c:v>
                </c:pt>
                <c:pt idx="6">
                  <c:v>3776</c:v>
                </c:pt>
                <c:pt idx="7">
                  <c:v>6760</c:v>
                </c:pt>
                <c:pt idx="8">
                  <c:v>4190</c:v>
                </c:pt>
                <c:pt idx="10">
                  <c:v>6058</c:v>
                </c:pt>
                <c:pt idx="11">
                  <c:v>1000</c:v>
                </c:pt>
                <c:pt idx="12">
                  <c:v>822</c:v>
                </c:pt>
                <c:pt idx="14">
                  <c:v>1916</c:v>
                </c:pt>
                <c:pt idx="15">
                  <c:v>3348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'15'!$D$6:$D$22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SLIDER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COVER</c:v>
                </c:pt>
                <c:pt idx="13">
                  <c:v>SLIDER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'15'!$J$6:$J$22</c:f>
              <c:numCache>
                <c:formatCode>_(* #,##0_);_(* \(#,##0\);_(* "-"_);_(@_)</c:formatCode>
                <c:ptCount val="17"/>
                <c:pt idx="0">
                  <c:v>1600</c:v>
                </c:pt>
                <c:pt idx="1">
                  <c:v>5780</c:v>
                </c:pt>
                <c:pt idx="2">
                  <c:v>630</c:v>
                </c:pt>
                <c:pt idx="3">
                  <c:v>71580</c:v>
                </c:pt>
                <c:pt idx="4">
                  <c:v>561</c:v>
                </c:pt>
                <c:pt idx="5">
                  <c:v>590</c:v>
                </c:pt>
                <c:pt idx="6">
                  <c:v>3780</c:v>
                </c:pt>
                <c:pt idx="7">
                  <c:v>6760</c:v>
                </c:pt>
                <c:pt idx="8">
                  <c:v>4190</c:v>
                </c:pt>
                <c:pt idx="9">
                  <c:v>190</c:v>
                </c:pt>
                <c:pt idx="10">
                  <c:v>6060</c:v>
                </c:pt>
                <c:pt idx="11">
                  <c:v>1000</c:v>
                </c:pt>
                <c:pt idx="12">
                  <c:v>830</c:v>
                </c:pt>
                <c:pt idx="13">
                  <c:v>1450</c:v>
                </c:pt>
                <c:pt idx="14">
                  <c:v>1920</c:v>
                </c:pt>
                <c:pt idx="15">
                  <c:v>4560</c:v>
                </c:pt>
                <c:pt idx="16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601856"/>
        <c:axId val="213175104"/>
      </c:lineChart>
      <c:catAx>
        <c:axId val="21260185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3175104"/>
        <c:crosses val="autoZero"/>
        <c:auto val="1"/>
        <c:lblAlgn val="ctr"/>
        <c:lblOffset val="100"/>
        <c:noMultiLvlLbl val="0"/>
      </c:catAx>
      <c:valAx>
        <c:axId val="2131751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601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'15'!$AD$6:$AD$22</c:f>
              <c:strCache>
                <c:ptCount val="1"/>
                <c:pt idx="0">
                  <c:v>0% 100% 21% 100% 0% 17% 79% 25% 88% 0% 42% 29% 25% 0% 50% 55%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'15'!$D$6:$D$22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SLIDER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COVER</c:v>
                </c:pt>
                <c:pt idx="13">
                  <c:v>SLIDER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'15'!$AD$6:$AD$22</c:f>
              <c:numCache>
                <c:formatCode>0%</c:formatCode>
                <c:ptCount val="17"/>
                <c:pt idx="0">
                  <c:v>0</c:v>
                </c:pt>
                <c:pt idx="1">
                  <c:v>0.9984429065743945</c:v>
                </c:pt>
                <c:pt idx="2">
                  <c:v>0.20667989417989419</c:v>
                </c:pt>
                <c:pt idx="3">
                  <c:v>1</c:v>
                </c:pt>
                <c:pt idx="4">
                  <c:v>0</c:v>
                </c:pt>
                <c:pt idx="5">
                  <c:v>0.1655367231638418</c:v>
                </c:pt>
                <c:pt idx="6">
                  <c:v>0.79082892416225747</c:v>
                </c:pt>
                <c:pt idx="7">
                  <c:v>0.25</c:v>
                </c:pt>
                <c:pt idx="8">
                  <c:v>0.875</c:v>
                </c:pt>
                <c:pt idx="9">
                  <c:v>0</c:v>
                </c:pt>
                <c:pt idx="10">
                  <c:v>0.41652915291529152</c:v>
                </c:pt>
                <c:pt idx="11">
                  <c:v>0.29166666666666669</c:v>
                </c:pt>
                <c:pt idx="12">
                  <c:v>0.24759036144578314</c:v>
                </c:pt>
                <c:pt idx="13">
                  <c:v>0</c:v>
                </c:pt>
                <c:pt idx="14">
                  <c:v>0.49895833333333334</c:v>
                </c:pt>
                <c:pt idx="15">
                  <c:v>0.55065789473684212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'15'!$D$6:$D$22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ADAPTER</c:v>
                </c:pt>
                <c:pt idx="6">
                  <c:v>SLIDER</c:v>
                </c:pt>
                <c:pt idx="8">
                  <c:v>BODY</c:v>
                </c:pt>
                <c:pt idx="9">
                  <c:v>BASE</c:v>
                </c:pt>
                <c:pt idx="10">
                  <c:v>24V</c:v>
                </c:pt>
                <c:pt idx="11">
                  <c:v>LEAD GUIDE</c:v>
                </c:pt>
                <c:pt idx="12">
                  <c:v>COVER</c:v>
                </c:pt>
                <c:pt idx="13">
                  <c:v>SLIDER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'15'!$AE$6:$AE$22</c:f>
              <c:numCache>
                <c:formatCode>0%</c:formatCode>
                <c:ptCount val="17"/>
                <c:pt idx="0">
                  <c:v>0.41945939047855368</c:v>
                </c:pt>
                <c:pt idx="1">
                  <c:v>0.41945939047855368</c:v>
                </c:pt>
                <c:pt idx="2">
                  <c:v>0.41945939047855368</c:v>
                </c:pt>
                <c:pt idx="3">
                  <c:v>0.41945939047855368</c:v>
                </c:pt>
                <c:pt idx="4">
                  <c:v>0.41945939047855368</c:v>
                </c:pt>
                <c:pt idx="5">
                  <c:v>0.41945939047855368</c:v>
                </c:pt>
                <c:pt idx="6">
                  <c:v>0.41945939047855368</c:v>
                </c:pt>
                <c:pt idx="7">
                  <c:v>0.41945939047855368</c:v>
                </c:pt>
                <c:pt idx="8">
                  <c:v>0.41945939047855368</c:v>
                </c:pt>
                <c:pt idx="9">
                  <c:v>0.41945939047855368</c:v>
                </c:pt>
                <c:pt idx="10">
                  <c:v>0.41945939047855368</c:v>
                </c:pt>
                <c:pt idx="11">
                  <c:v>0.41945939047855368</c:v>
                </c:pt>
                <c:pt idx="12">
                  <c:v>0.41945939047855368</c:v>
                </c:pt>
                <c:pt idx="13">
                  <c:v>0.41945939047855368</c:v>
                </c:pt>
                <c:pt idx="14">
                  <c:v>0.41945939047855368</c:v>
                </c:pt>
                <c:pt idx="15">
                  <c:v>0.41945939047855368</c:v>
                </c:pt>
                <c:pt idx="16">
                  <c:v>0.41945939047855368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02592"/>
        <c:axId val="213176832"/>
      </c:lineChart>
      <c:catAx>
        <c:axId val="21310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3176832"/>
        <c:crosses val="autoZero"/>
        <c:auto val="1"/>
        <c:lblAlgn val="ctr"/>
        <c:lblOffset val="100"/>
        <c:noMultiLvlLbl val="0"/>
      </c:catAx>
      <c:valAx>
        <c:axId val="2131768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31025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103104"/>
        <c:axId val="21317913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103104"/>
        <c:axId val="213179136"/>
      </c:lineChart>
      <c:catAx>
        <c:axId val="2131031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179136"/>
        <c:crosses val="autoZero"/>
        <c:auto val="1"/>
        <c:lblAlgn val="ctr"/>
        <c:lblOffset val="100"/>
        <c:noMultiLvlLbl val="0"/>
      </c:catAx>
      <c:valAx>
        <c:axId val="2131791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310310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SLIDER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1">
                  <c:v>5728</c:v>
                </c:pt>
                <c:pt idx="3">
                  <c:v>76824</c:v>
                </c:pt>
                <c:pt idx="5">
                  <c:v>4820</c:v>
                </c:pt>
                <c:pt idx="7">
                  <c:v>3890</c:v>
                </c:pt>
                <c:pt idx="8">
                  <c:v>1433</c:v>
                </c:pt>
                <c:pt idx="9">
                  <c:v>4500</c:v>
                </c:pt>
                <c:pt idx="10">
                  <c:v>5169</c:v>
                </c:pt>
                <c:pt idx="11">
                  <c:v>2626</c:v>
                </c:pt>
                <c:pt idx="12">
                  <c:v>1080</c:v>
                </c:pt>
                <c:pt idx="13">
                  <c:v>3248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SLIDER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5730</c:v>
                </c:pt>
                <c:pt idx="2">
                  <c:v>630</c:v>
                </c:pt>
                <c:pt idx="3">
                  <c:v>76900</c:v>
                </c:pt>
                <c:pt idx="4">
                  <c:v>561</c:v>
                </c:pt>
                <c:pt idx="5">
                  <c:v>4820</c:v>
                </c:pt>
                <c:pt idx="6">
                  <c:v>6760</c:v>
                </c:pt>
                <c:pt idx="7">
                  <c:v>3890</c:v>
                </c:pt>
                <c:pt idx="8">
                  <c:v>1440</c:v>
                </c:pt>
                <c:pt idx="9">
                  <c:v>4500</c:v>
                </c:pt>
                <c:pt idx="10">
                  <c:v>5170</c:v>
                </c:pt>
                <c:pt idx="11">
                  <c:v>2630</c:v>
                </c:pt>
                <c:pt idx="12">
                  <c:v>1080</c:v>
                </c:pt>
                <c:pt idx="13">
                  <c:v>3250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5424"/>
        <c:axId val="213330176"/>
      </c:lineChart>
      <c:catAx>
        <c:axId val="21341542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3330176"/>
        <c:crosses val="autoZero"/>
        <c:auto val="1"/>
        <c:lblAlgn val="ctr"/>
        <c:lblOffset val="100"/>
        <c:noMultiLvlLbl val="0"/>
      </c:catAx>
      <c:valAx>
        <c:axId val="2133301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3415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100% 0% 100% 0% 92% 0% 88% 58% 25% 100% 67% 50% 79%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SLIDER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0.99965095986038399</c:v>
                </c:pt>
                <c:pt idx="2">
                  <c:v>0</c:v>
                </c:pt>
                <c:pt idx="3">
                  <c:v>0.99901170351105328</c:v>
                </c:pt>
                <c:pt idx="4">
                  <c:v>0</c:v>
                </c:pt>
                <c:pt idx="5">
                  <c:v>0.91666666666666663</c:v>
                </c:pt>
                <c:pt idx="6">
                  <c:v>0</c:v>
                </c:pt>
                <c:pt idx="7">
                  <c:v>0.875</c:v>
                </c:pt>
                <c:pt idx="8">
                  <c:v>0.58049768518518519</c:v>
                </c:pt>
                <c:pt idx="9">
                  <c:v>0.25</c:v>
                </c:pt>
                <c:pt idx="10">
                  <c:v>0.99980657640232107</c:v>
                </c:pt>
                <c:pt idx="11">
                  <c:v>0.66565272496831429</c:v>
                </c:pt>
                <c:pt idx="12">
                  <c:v>0.5</c:v>
                </c:pt>
                <c:pt idx="13">
                  <c:v>0.79117948717948716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SLIDER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0.5051643869182274</c:v>
                </c:pt>
                <c:pt idx="1">
                  <c:v>0.5051643869182274</c:v>
                </c:pt>
                <c:pt idx="2">
                  <c:v>0.5051643869182274</c:v>
                </c:pt>
                <c:pt idx="3">
                  <c:v>0.5051643869182274</c:v>
                </c:pt>
                <c:pt idx="4">
                  <c:v>0.5051643869182274</c:v>
                </c:pt>
                <c:pt idx="5">
                  <c:v>0.5051643869182274</c:v>
                </c:pt>
                <c:pt idx="6">
                  <c:v>0.5051643869182274</c:v>
                </c:pt>
                <c:pt idx="7">
                  <c:v>0.5051643869182274</c:v>
                </c:pt>
                <c:pt idx="8">
                  <c:v>0.5051643869182274</c:v>
                </c:pt>
                <c:pt idx="9">
                  <c:v>0.5051643869182274</c:v>
                </c:pt>
                <c:pt idx="10">
                  <c:v>0.5051643869182274</c:v>
                </c:pt>
                <c:pt idx="11">
                  <c:v>0.5051643869182274</c:v>
                </c:pt>
                <c:pt idx="12">
                  <c:v>0.5051643869182274</c:v>
                </c:pt>
                <c:pt idx="13">
                  <c:v>0.5051643869182274</c:v>
                </c:pt>
                <c:pt idx="14">
                  <c:v>0.5051643869182274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6448"/>
        <c:axId val="213331904"/>
      </c:lineChart>
      <c:catAx>
        <c:axId val="213416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3331904"/>
        <c:crosses val="autoZero"/>
        <c:auto val="1"/>
        <c:lblAlgn val="ctr"/>
        <c:lblOffset val="100"/>
        <c:noMultiLvlLbl val="0"/>
      </c:catAx>
      <c:valAx>
        <c:axId val="2133319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3416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SLIDER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'16'!$L$6:$L$20</c:f>
              <c:numCache>
                <c:formatCode>_(* #,##0_);_(* \(#,##0\);_(* "-"_);_(@_)</c:formatCode>
                <c:ptCount val="15"/>
                <c:pt idx="1">
                  <c:v>5728</c:v>
                </c:pt>
                <c:pt idx="3">
                  <c:v>76824</c:v>
                </c:pt>
                <c:pt idx="5">
                  <c:v>4820</c:v>
                </c:pt>
                <c:pt idx="7">
                  <c:v>3890</c:v>
                </c:pt>
                <c:pt idx="8">
                  <c:v>1433</c:v>
                </c:pt>
                <c:pt idx="9">
                  <c:v>4500</c:v>
                </c:pt>
                <c:pt idx="10">
                  <c:v>5169</c:v>
                </c:pt>
                <c:pt idx="11">
                  <c:v>2626</c:v>
                </c:pt>
                <c:pt idx="12">
                  <c:v>1080</c:v>
                </c:pt>
                <c:pt idx="13">
                  <c:v>3248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SLIDER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'16'!$J$6:$J$20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5730</c:v>
                </c:pt>
                <c:pt idx="2">
                  <c:v>630</c:v>
                </c:pt>
                <c:pt idx="3">
                  <c:v>76900</c:v>
                </c:pt>
                <c:pt idx="4">
                  <c:v>561</c:v>
                </c:pt>
                <c:pt idx="5">
                  <c:v>4820</c:v>
                </c:pt>
                <c:pt idx="6">
                  <c:v>6760</c:v>
                </c:pt>
                <c:pt idx="7">
                  <c:v>3890</c:v>
                </c:pt>
                <c:pt idx="8">
                  <c:v>1440</c:v>
                </c:pt>
                <c:pt idx="9">
                  <c:v>4500</c:v>
                </c:pt>
                <c:pt idx="10">
                  <c:v>5170</c:v>
                </c:pt>
                <c:pt idx="11">
                  <c:v>2630</c:v>
                </c:pt>
                <c:pt idx="12">
                  <c:v>1080</c:v>
                </c:pt>
                <c:pt idx="13">
                  <c:v>3250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3696"/>
        <c:axId val="213334208"/>
      </c:lineChart>
      <c:catAx>
        <c:axId val="2128936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3334208"/>
        <c:crosses val="autoZero"/>
        <c:auto val="1"/>
        <c:lblAlgn val="ctr"/>
        <c:lblOffset val="100"/>
        <c:noMultiLvlLbl val="0"/>
      </c:catAx>
      <c:valAx>
        <c:axId val="2133342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8936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'16'!$AD$6:$AD$20</c:f>
              <c:strCache>
                <c:ptCount val="1"/>
                <c:pt idx="0">
                  <c:v>0% 100% 0% 100% 0% 92% 0% 88% 58% 25% 100% 67% 50% 79%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SLIDER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'16'!$AD$6:$AD$20</c:f>
              <c:numCache>
                <c:formatCode>0%</c:formatCode>
                <c:ptCount val="15"/>
                <c:pt idx="0">
                  <c:v>0</c:v>
                </c:pt>
                <c:pt idx="1">
                  <c:v>0.99965095986038399</c:v>
                </c:pt>
                <c:pt idx="2">
                  <c:v>0</c:v>
                </c:pt>
                <c:pt idx="3">
                  <c:v>0.99901170351105328</c:v>
                </c:pt>
                <c:pt idx="4">
                  <c:v>0</c:v>
                </c:pt>
                <c:pt idx="5">
                  <c:v>0.91666666666666663</c:v>
                </c:pt>
                <c:pt idx="6">
                  <c:v>0</c:v>
                </c:pt>
                <c:pt idx="7">
                  <c:v>0.875</c:v>
                </c:pt>
                <c:pt idx="8">
                  <c:v>0.58049768518518519</c:v>
                </c:pt>
                <c:pt idx="9">
                  <c:v>0.25</c:v>
                </c:pt>
                <c:pt idx="10">
                  <c:v>0.99980657640232107</c:v>
                </c:pt>
                <c:pt idx="11">
                  <c:v>0.66565272496831429</c:v>
                </c:pt>
                <c:pt idx="12">
                  <c:v>0.5</c:v>
                </c:pt>
                <c:pt idx="13">
                  <c:v>0.79117948717948716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'16'!$D$6:$D$20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4">
                  <c:v>ACTUATOR</c:v>
                </c:pt>
                <c:pt idx="5">
                  <c:v>SLIDER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BASE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'16'!$AE$6:$AE$20</c:f>
              <c:numCache>
                <c:formatCode>0%</c:formatCode>
                <c:ptCount val="15"/>
                <c:pt idx="0">
                  <c:v>0.5051643869182274</c:v>
                </c:pt>
                <c:pt idx="1">
                  <c:v>0.5051643869182274</c:v>
                </c:pt>
                <c:pt idx="2">
                  <c:v>0.5051643869182274</c:v>
                </c:pt>
                <c:pt idx="3">
                  <c:v>0.5051643869182274</c:v>
                </c:pt>
                <c:pt idx="4">
                  <c:v>0.5051643869182274</c:v>
                </c:pt>
                <c:pt idx="5">
                  <c:v>0.5051643869182274</c:v>
                </c:pt>
                <c:pt idx="6">
                  <c:v>0.5051643869182274</c:v>
                </c:pt>
                <c:pt idx="7">
                  <c:v>0.5051643869182274</c:v>
                </c:pt>
                <c:pt idx="8">
                  <c:v>0.5051643869182274</c:v>
                </c:pt>
                <c:pt idx="9">
                  <c:v>0.5051643869182274</c:v>
                </c:pt>
                <c:pt idx="10">
                  <c:v>0.5051643869182274</c:v>
                </c:pt>
                <c:pt idx="11">
                  <c:v>0.5051643869182274</c:v>
                </c:pt>
                <c:pt idx="12">
                  <c:v>0.5051643869182274</c:v>
                </c:pt>
                <c:pt idx="13">
                  <c:v>0.5051643869182274</c:v>
                </c:pt>
                <c:pt idx="14">
                  <c:v>0.5051643869182274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4208"/>
        <c:axId val="213491712"/>
      </c:lineChart>
      <c:catAx>
        <c:axId val="21289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3491712"/>
        <c:crosses val="autoZero"/>
        <c:auto val="1"/>
        <c:lblAlgn val="ctr"/>
        <c:lblOffset val="100"/>
        <c:noMultiLvlLbl val="0"/>
      </c:catAx>
      <c:valAx>
        <c:axId val="21349171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894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94720"/>
        <c:axId val="2134940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4720"/>
        <c:axId val="213494016"/>
      </c:lineChart>
      <c:catAx>
        <c:axId val="2128947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494016"/>
        <c:crosses val="autoZero"/>
        <c:auto val="1"/>
        <c:lblAlgn val="ctr"/>
        <c:lblOffset val="100"/>
        <c:noMultiLvlLbl val="0"/>
      </c:catAx>
      <c:valAx>
        <c:axId val="2134940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89472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TOGGLE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M2 CONN</c:v>
                </c:pt>
                <c:pt idx="13">
                  <c:v>BODY</c:v>
                </c:pt>
                <c:pt idx="14">
                  <c:v>ACTUATOR</c:v>
                </c:pt>
                <c:pt idx="15">
                  <c:v>72P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1">
                  <c:v>4942</c:v>
                </c:pt>
                <c:pt idx="3">
                  <c:v>5384</c:v>
                </c:pt>
                <c:pt idx="4">
                  <c:v>1259</c:v>
                </c:pt>
                <c:pt idx="5">
                  <c:v>5918</c:v>
                </c:pt>
                <c:pt idx="6">
                  <c:v>570</c:v>
                </c:pt>
                <c:pt idx="7">
                  <c:v>3626</c:v>
                </c:pt>
                <c:pt idx="8">
                  <c:v>1272</c:v>
                </c:pt>
                <c:pt idx="10">
                  <c:v>5439</c:v>
                </c:pt>
                <c:pt idx="12">
                  <c:v>808</c:v>
                </c:pt>
                <c:pt idx="13">
                  <c:v>1401</c:v>
                </c:pt>
                <c:pt idx="14">
                  <c:v>1383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TOGGLE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M2 CONN</c:v>
                </c:pt>
                <c:pt idx="13">
                  <c:v>BODY</c:v>
                </c:pt>
                <c:pt idx="14">
                  <c:v>ACTUATOR</c:v>
                </c:pt>
                <c:pt idx="15">
                  <c:v>72P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4950</c:v>
                </c:pt>
                <c:pt idx="2">
                  <c:v>630</c:v>
                </c:pt>
                <c:pt idx="3">
                  <c:v>5390</c:v>
                </c:pt>
                <c:pt idx="4">
                  <c:v>1260</c:v>
                </c:pt>
                <c:pt idx="5">
                  <c:v>5920</c:v>
                </c:pt>
                <c:pt idx="6">
                  <c:v>570</c:v>
                </c:pt>
                <c:pt idx="7">
                  <c:v>3630</c:v>
                </c:pt>
                <c:pt idx="8">
                  <c:v>1280</c:v>
                </c:pt>
                <c:pt idx="9">
                  <c:v>4500</c:v>
                </c:pt>
                <c:pt idx="10">
                  <c:v>5440</c:v>
                </c:pt>
                <c:pt idx="11">
                  <c:v>2630</c:v>
                </c:pt>
                <c:pt idx="12">
                  <c:v>810</c:v>
                </c:pt>
                <c:pt idx="13">
                  <c:v>1401</c:v>
                </c:pt>
                <c:pt idx="14">
                  <c:v>1390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89728"/>
        <c:axId val="213496896"/>
      </c:lineChart>
      <c:catAx>
        <c:axId val="2140897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3496896"/>
        <c:crosses val="autoZero"/>
        <c:auto val="1"/>
        <c:lblAlgn val="ctr"/>
        <c:lblOffset val="100"/>
        <c:noMultiLvlLbl val="0"/>
      </c:catAx>
      <c:valAx>
        <c:axId val="21349689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40897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"/>
                <c:pt idx="0">
                  <c:v>0% 100% 0% 96% 42% 100% 17% 83% 58% 0% 100% 0% 29% 42% 41%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TOGGLE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M2 CONN</c:v>
                </c:pt>
                <c:pt idx="13">
                  <c:v>BODY</c:v>
                </c:pt>
                <c:pt idx="14">
                  <c:v>ACTUATOR</c:v>
                </c:pt>
                <c:pt idx="15">
                  <c:v>72P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0.99838383838383837</c:v>
                </c:pt>
                <c:pt idx="2">
                  <c:v>0</c:v>
                </c:pt>
                <c:pt idx="3">
                  <c:v>0.95726654298082881</c:v>
                </c:pt>
                <c:pt idx="4">
                  <c:v>0.41633597883597884</c:v>
                </c:pt>
                <c:pt idx="5">
                  <c:v>0.99966216216216219</c:v>
                </c:pt>
                <c:pt idx="6">
                  <c:v>0.16666666666666666</c:v>
                </c:pt>
                <c:pt idx="7">
                  <c:v>0.83241505968778706</c:v>
                </c:pt>
                <c:pt idx="8">
                  <c:v>0.57968750000000002</c:v>
                </c:pt>
                <c:pt idx="9">
                  <c:v>0</c:v>
                </c:pt>
                <c:pt idx="10">
                  <c:v>0.99981617647058818</c:v>
                </c:pt>
                <c:pt idx="11">
                  <c:v>0</c:v>
                </c:pt>
                <c:pt idx="12">
                  <c:v>0.29094650205761319</c:v>
                </c:pt>
                <c:pt idx="13">
                  <c:v>0.41666666666666669</c:v>
                </c:pt>
                <c:pt idx="14">
                  <c:v>0.41456834532374104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TOGGLE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M2 CONN</c:v>
                </c:pt>
                <c:pt idx="13">
                  <c:v>BODY</c:v>
                </c:pt>
                <c:pt idx="14">
                  <c:v>ACTUATOR</c:v>
                </c:pt>
                <c:pt idx="15">
                  <c:v>72P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0.4714943626157248</c:v>
                </c:pt>
                <c:pt idx="1">
                  <c:v>0.4714943626157248</c:v>
                </c:pt>
                <c:pt idx="2">
                  <c:v>0.4714943626157248</c:v>
                </c:pt>
                <c:pt idx="3">
                  <c:v>0.4714943626157248</c:v>
                </c:pt>
                <c:pt idx="4">
                  <c:v>0.4714943626157248</c:v>
                </c:pt>
                <c:pt idx="5">
                  <c:v>0.4714943626157248</c:v>
                </c:pt>
                <c:pt idx="6">
                  <c:v>0.4714943626157248</c:v>
                </c:pt>
                <c:pt idx="7">
                  <c:v>0.4714943626157248</c:v>
                </c:pt>
                <c:pt idx="8">
                  <c:v>0.4714943626157248</c:v>
                </c:pt>
                <c:pt idx="9">
                  <c:v>0.4714943626157248</c:v>
                </c:pt>
                <c:pt idx="10">
                  <c:v>0.4714943626157248</c:v>
                </c:pt>
                <c:pt idx="11">
                  <c:v>0.4714943626157248</c:v>
                </c:pt>
                <c:pt idx="12">
                  <c:v>0.4714943626157248</c:v>
                </c:pt>
                <c:pt idx="13">
                  <c:v>0.4714943626157248</c:v>
                </c:pt>
                <c:pt idx="14">
                  <c:v>0.4714943626157248</c:v>
                </c:pt>
                <c:pt idx="15">
                  <c:v>0.4714943626157248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91264"/>
        <c:axId val="213498624"/>
      </c:lineChart>
      <c:catAx>
        <c:axId val="214091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3498624"/>
        <c:crosses val="autoZero"/>
        <c:auto val="1"/>
        <c:lblAlgn val="ctr"/>
        <c:lblOffset val="100"/>
        <c:noMultiLvlLbl val="0"/>
      </c:catAx>
      <c:valAx>
        <c:axId val="2134986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4091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'17'!$D$6:$D$21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TOGGLE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M2 CONN</c:v>
                </c:pt>
                <c:pt idx="13">
                  <c:v>BODY</c:v>
                </c:pt>
                <c:pt idx="14">
                  <c:v>ACTUATOR</c:v>
                </c:pt>
                <c:pt idx="15">
                  <c:v>72P</c:v>
                </c:pt>
              </c:strCache>
            </c:strRef>
          </c:cat>
          <c:val>
            <c:numRef>
              <c:f>'17'!$L$6:$L$21</c:f>
              <c:numCache>
                <c:formatCode>_(* #,##0_);_(* \(#,##0\);_(* "-"_);_(@_)</c:formatCode>
                <c:ptCount val="16"/>
                <c:pt idx="1">
                  <c:v>4942</c:v>
                </c:pt>
                <c:pt idx="3">
                  <c:v>5384</c:v>
                </c:pt>
                <c:pt idx="4">
                  <c:v>1259</c:v>
                </c:pt>
                <c:pt idx="5">
                  <c:v>5918</c:v>
                </c:pt>
                <c:pt idx="6">
                  <c:v>570</c:v>
                </c:pt>
                <c:pt idx="7">
                  <c:v>3626</c:v>
                </c:pt>
                <c:pt idx="8">
                  <c:v>1272</c:v>
                </c:pt>
                <c:pt idx="10">
                  <c:v>5439</c:v>
                </c:pt>
                <c:pt idx="12">
                  <c:v>808</c:v>
                </c:pt>
                <c:pt idx="13">
                  <c:v>1401</c:v>
                </c:pt>
                <c:pt idx="14">
                  <c:v>1383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'17'!$D$6:$D$21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TOGGLE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M2 CONN</c:v>
                </c:pt>
                <c:pt idx="13">
                  <c:v>BODY</c:v>
                </c:pt>
                <c:pt idx="14">
                  <c:v>ACTUATOR</c:v>
                </c:pt>
                <c:pt idx="15">
                  <c:v>72P</c:v>
                </c:pt>
              </c:strCache>
            </c:strRef>
          </c:cat>
          <c:val>
            <c:numRef>
              <c:f>'17'!$J$6:$J$21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4950</c:v>
                </c:pt>
                <c:pt idx="2">
                  <c:v>630</c:v>
                </c:pt>
                <c:pt idx="3">
                  <c:v>5390</c:v>
                </c:pt>
                <c:pt idx="4">
                  <c:v>1260</c:v>
                </c:pt>
                <c:pt idx="5">
                  <c:v>5920</c:v>
                </c:pt>
                <c:pt idx="6">
                  <c:v>570</c:v>
                </c:pt>
                <c:pt idx="7">
                  <c:v>3630</c:v>
                </c:pt>
                <c:pt idx="8">
                  <c:v>1280</c:v>
                </c:pt>
                <c:pt idx="9">
                  <c:v>4500</c:v>
                </c:pt>
                <c:pt idx="10">
                  <c:v>5440</c:v>
                </c:pt>
                <c:pt idx="11">
                  <c:v>2630</c:v>
                </c:pt>
                <c:pt idx="12">
                  <c:v>810</c:v>
                </c:pt>
                <c:pt idx="13">
                  <c:v>1401</c:v>
                </c:pt>
                <c:pt idx="14">
                  <c:v>1390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91776"/>
        <c:axId val="214287488"/>
      </c:lineChart>
      <c:catAx>
        <c:axId val="214091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4287488"/>
        <c:crosses val="autoZero"/>
        <c:auto val="1"/>
        <c:lblAlgn val="ctr"/>
        <c:lblOffset val="100"/>
        <c:noMultiLvlLbl val="0"/>
      </c:catAx>
      <c:valAx>
        <c:axId val="21428748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4091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'17'!$AD$6:$AD$21</c:f>
              <c:strCache>
                <c:ptCount val="1"/>
                <c:pt idx="0">
                  <c:v>0% 100% 0% 96% 42% 100% 17% 83% 58% 0% 100% 0% 29% 42% 41%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'17'!$D$6:$D$21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TOGGLE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M2 CONN</c:v>
                </c:pt>
                <c:pt idx="13">
                  <c:v>BODY</c:v>
                </c:pt>
                <c:pt idx="14">
                  <c:v>ACTUATOR</c:v>
                </c:pt>
                <c:pt idx="15">
                  <c:v>72P</c:v>
                </c:pt>
              </c:strCache>
            </c:strRef>
          </c:cat>
          <c:val>
            <c:numRef>
              <c:f>'17'!$AD$6:$AD$21</c:f>
              <c:numCache>
                <c:formatCode>0%</c:formatCode>
                <c:ptCount val="16"/>
                <c:pt idx="0">
                  <c:v>0</c:v>
                </c:pt>
                <c:pt idx="1">
                  <c:v>0.99838383838383837</c:v>
                </c:pt>
                <c:pt idx="2">
                  <c:v>0</c:v>
                </c:pt>
                <c:pt idx="3">
                  <c:v>0.95726654298082881</c:v>
                </c:pt>
                <c:pt idx="4">
                  <c:v>0.41633597883597884</c:v>
                </c:pt>
                <c:pt idx="5">
                  <c:v>0.99966216216216219</c:v>
                </c:pt>
                <c:pt idx="6">
                  <c:v>0.16666666666666666</c:v>
                </c:pt>
                <c:pt idx="7">
                  <c:v>0.83241505968778706</c:v>
                </c:pt>
                <c:pt idx="8">
                  <c:v>0.57968750000000002</c:v>
                </c:pt>
                <c:pt idx="9">
                  <c:v>0</c:v>
                </c:pt>
                <c:pt idx="10">
                  <c:v>0.99981617647058818</c:v>
                </c:pt>
                <c:pt idx="11">
                  <c:v>0</c:v>
                </c:pt>
                <c:pt idx="12">
                  <c:v>0.29094650205761319</c:v>
                </c:pt>
                <c:pt idx="13">
                  <c:v>0.41666666666666669</c:v>
                </c:pt>
                <c:pt idx="14">
                  <c:v>0.41456834532374104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'17'!$D$6:$D$21</c:f>
              <c:strCache>
                <c:ptCount val="16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TOGGLE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M2 CONN</c:v>
                </c:pt>
                <c:pt idx="13">
                  <c:v>BODY</c:v>
                </c:pt>
                <c:pt idx="14">
                  <c:v>ACTUATOR</c:v>
                </c:pt>
                <c:pt idx="15">
                  <c:v>72P</c:v>
                </c:pt>
              </c:strCache>
            </c:strRef>
          </c:cat>
          <c:val>
            <c:numRef>
              <c:f>'17'!$AE$6:$AE$21</c:f>
              <c:numCache>
                <c:formatCode>0%</c:formatCode>
                <c:ptCount val="16"/>
                <c:pt idx="0">
                  <c:v>0.4714943626157248</c:v>
                </c:pt>
                <c:pt idx="1">
                  <c:v>0.4714943626157248</c:v>
                </c:pt>
                <c:pt idx="2">
                  <c:v>0.4714943626157248</c:v>
                </c:pt>
                <c:pt idx="3">
                  <c:v>0.4714943626157248</c:v>
                </c:pt>
                <c:pt idx="4">
                  <c:v>0.4714943626157248</c:v>
                </c:pt>
                <c:pt idx="5">
                  <c:v>0.4714943626157248</c:v>
                </c:pt>
                <c:pt idx="6">
                  <c:v>0.4714943626157248</c:v>
                </c:pt>
                <c:pt idx="7">
                  <c:v>0.4714943626157248</c:v>
                </c:pt>
                <c:pt idx="8">
                  <c:v>0.4714943626157248</c:v>
                </c:pt>
                <c:pt idx="9">
                  <c:v>0.4714943626157248</c:v>
                </c:pt>
                <c:pt idx="10">
                  <c:v>0.4714943626157248</c:v>
                </c:pt>
                <c:pt idx="11">
                  <c:v>0.4714943626157248</c:v>
                </c:pt>
                <c:pt idx="12">
                  <c:v>0.4714943626157248</c:v>
                </c:pt>
                <c:pt idx="13">
                  <c:v>0.4714943626157248</c:v>
                </c:pt>
                <c:pt idx="14">
                  <c:v>0.4714943626157248</c:v>
                </c:pt>
                <c:pt idx="15">
                  <c:v>0.4714943626157248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092800"/>
        <c:axId val="214289216"/>
      </c:lineChart>
      <c:catAx>
        <c:axId val="214092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4289216"/>
        <c:crosses val="autoZero"/>
        <c:auto val="1"/>
        <c:lblAlgn val="ctr"/>
        <c:lblOffset val="100"/>
        <c:noMultiLvlLbl val="0"/>
      </c:catAx>
      <c:valAx>
        <c:axId val="2142892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4092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2896768"/>
        <c:axId val="2142915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896768"/>
        <c:axId val="214291520"/>
      </c:lineChart>
      <c:catAx>
        <c:axId val="212896768"/>
        <c:scaling>
          <c:orientation val="minMax"/>
        </c:scaling>
        <c:delete val="0"/>
        <c:axPos val="b"/>
        <c:majorTickMark val="out"/>
        <c:minorTickMark val="none"/>
        <c:tickLblPos val="nextTo"/>
        <c:crossAx val="214291520"/>
        <c:crosses val="autoZero"/>
        <c:auto val="1"/>
        <c:lblAlgn val="ctr"/>
        <c:lblOffset val="100"/>
        <c:noMultiLvlLbl val="0"/>
      </c:catAx>
      <c:valAx>
        <c:axId val="2142915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289676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BODY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1">
                  <c:v>5331</c:v>
                </c:pt>
                <c:pt idx="3">
                  <c:v>1500</c:v>
                </c:pt>
                <c:pt idx="5">
                  <c:v>3949</c:v>
                </c:pt>
                <c:pt idx="7">
                  <c:v>4342</c:v>
                </c:pt>
                <c:pt idx="8">
                  <c:v>1200</c:v>
                </c:pt>
                <c:pt idx="10">
                  <c:v>5083</c:v>
                </c:pt>
                <c:pt idx="13">
                  <c:v>4614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BODY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5340</c:v>
                </c:pt>
                <c:pt idx="2">
                  <c:v>630</c:v>
                </c:pt>
                <c:pt idx="3">
                  <c:v>1500</c:v>
                </c:pt>
                <c:pt idx="4">
                  <c:v>1260</c:v>
                </c:pt>
                <c:pt idx="5">
                  <c:v>3950</c:v>
                </c:pt>
                <c:pt idx="6">
                  <c:v>570</c:v>
                </c:pt>
                <c:pt idx="7">
                  <c:v>4350</c:v>
                </c:pt>
                <c:pt idx="8">
                  <c:v>1200</c:v>
                </c:pt>
                <c:pt idx="9">
                  <c:v>4500</c:v>
                </c:pt>
                <c:pt idx="10">
                  <c:v>5090</c:v>
                </c:pt>
                <c:pt idx="11">
                  <c:v>2630</c:v>
                </c:pt>
                <c:pt idx="12">
                  <c:v>1401</c:v>
                </c:pt>
                <c:pt idx="13">
                  <c:v>4620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854144"/>
        <c:axId val="214293824"/>
      </c:lineChart>
      <c:catAx>
        <c:axId val="21485414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4293824"/>
        <c:crosses val="autoZero"/>
        <c:auto val="1"/>
        <c:lblAlgn val="ctr"/>
        <c:lblOffset val="100"/>
        <c:noMultiLvlLbl val="0"/>
      </c:catAx>
      <c:valAx>
        <c:axId val="2142938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4854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"/>
                <c:pt idx="0">
                  <c:v>0% 100% 0% 42% 0% 92% 0% 96% 58% 0% 96% 0% 0%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BODY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0.99831460674157302</c:v>
                </c:pt>
                <c:pt idx="2">
                  <c:v>0</c:v>
                </c:pt>
                <c:pt idx="3">
                  <c:v>0.41666666666666669</c:v>
                </c:pt>
                <c:pt idx="4">
                  <c:v>0</c:v>
                </c:pt>
                <c:pt idx="5">
                  <c:v>0.91643459915611813</c:v>
                </c:pt>
                <c:pt idx="6">
                  <c:v>0</c:v>
                </c:pt>
                <c:pt idx="7">
                  <c:v>0.95657088122605372</c:v>
                </c:pt>
                <c:pt idx="8">
                  <c:v>0.58333333333333337</c:v>
                </c:pt>
                <c:pt idx="9">
                  <c:v>0</c:v>
                </c:pt>
                <c:pt idx="10">
                  <c:v>0.95701538965291422</c:v>
                </c:pt>
                <c:pt idx="11">
                  <c:v>0</c:v>
                </c:pt>
                <c:pt idx="12">
                  <c:v>0</c:v>
                </c:pt>
                <c:pt idx="13">
                  <c:v>0.95708874458874471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BODY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0.38569494809102695</c:v>
                </c:pt>
                <c:pt idx="1">
                  <c:v>0.38569494809102695</c:v>
                </c:pt>
                <c:pt idx="2">
                  <c:v>0.38569494809102695</c:v>
                </c:pt>
                <c:pt idx="3">
                  <c:v>0.38569494809102695</c:v>
                </c:pt>
                <c:pt idx="4">
                  <c:v>0.38569494809102695</c:v>
                </c:pt>
                <c:pt idx="5">
                  <c:v>0.38569494809102695</c:v>
                </c:pt>
                <c:pt idx="6">
                  <c:v>0.38569494809102695</c:v>
                </c:pt>
                <c:pt idx="7">
                  <c:v>0.38569494809102695</c:v>
                </c:pt>
                <c:pt idx="8">
                  <c:v>0.38569494809102695</c:v>
                </c:pt>
                <c:pt idx="9">
                  <c:v>0.38569494809102695</c:v>
                </c:pt>
                <c:pt idx="10">
                  <c:v>0.38569494809102695</c:v>
                </c:pt>
                <c:pt idx="11">
                  <c:v>0.38569494809102695</c:v>
                </c:pt>
                <c:pt idx="12">
                  <c:v>0.38569494809102695</c:v>
                </c:pt>
                <c:pt idx="13">
                  <c:v>0.38569494809102695</c:v>
                </c:pt>
                <c:pt idx="14">
                  <c:v>0.38569494809102695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864384"/>
        <c:axId val="214156416"/>
      </c:lineChart>
      <c:catAx>
        <c:axId val="214864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4156416"/>
        <c:crosses val="autoZero"/>
        <c:auto val="1"/>
        <c:lblAlgn val="ctr"/>
        <c:lblOffset val="100"/>
        <c:noMultiLvlLbl val="0"/>
      </c:catAx>
      <c:valAx>
        <c:axId val="2141564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4864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BODY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'20'!$L$6:$L$20</c:f>
              <c:numCache>
                <c:formatCode>_(* #,##0_);_(* \(#,##0\);_(* "-"_);_(@_)</c:formatCode>
                <c:ptCount val="15"/>
                <c:pt idx="1">
                  <c:v>5331</c:v>
                </c:pt>
                <c:pt idx="3">
                  <c:v>1500</c:v>
                </c:pt>
                <c:pt idx="5">
                  <c:v>3949</c:v>
                </c:pt>
                <c:pt idx="7">
                  <c:v>4342</c:v>
                </c:pt>
                <c:pt idx="8">
                  <c:v>1200</c:v>
                </c:pt>
                <c:pt idx="10">
                  <c:v>5083</c:v>
                </c:pt>
                <c:pt idx="13">
                  <c:v>4614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BODY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'20'!$J$6:$J$20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5340</c:v>
                </c:pt>
                <c:pt idx="2">
                  <c:v>630</c:v>
                </c:pt>
                <c:pt idx="3">
                  <c:v>1500</c:v>
                </c:pt>
                <c:pt idx="4">
                  <c:v>1260</c:v>
                </c:pt>
                <c:pt idx="5">
                  <c:v>3950</c:v>
                </c:pt>
                <c:pt idx="6">
                  <c:v>570</c:v>
                </c:pt>
                <c:pt idx="7">
                  <c:v>4350</c:v>
                </c:pt>
                <c:pt idx="8">
                  <c:v>1200</c:v>
                </c:pt>
                <c:pt idx="9">
                  <c:v>4500</c:v>
                </c:pt>
                <c:pt idx="10">
                  <c:v>5090</c:v>
                </c:pt>
                <c:pt idx="11">
                  <c:v>2630</c:v>
                </c:pt>
                <c:pt idx="12">
                  <c:v>1401</c:v>
                </c:pt>
                <c:pt idx="13">
                  <c:v>4620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864896"/>
        <c:axId val="214158720"/>
      </c:lineChart>
      <c:catAx>
        <c:axId val="21486489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4158720"/>
        <c:crosses val="autoZero"/>
        <c:auto val="1"/>
        <c:lblAlgn val="ctr"/>
        <c:lblOffset val="100"/>
        <c:noMultiLvlLbl val="0"/>
      </c:catAx>
      <c:valAx>
        <c:axId val="2141587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486489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'20'!$AD$6:$AD$20</c:f>
              <c:strCache>
                <c:ptCount val="1"/>
                <c:pt idx="0">
                  <c:v>0% 100% 0% 42% 0% 92% 0% 96% 58% 0% 96% 0% 0% 96%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BODY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'20'!$AD$6:$AD$20</c:f>
              <c:numCache>
                <c:formatCode>0%</c:formatCode>
                <c:ptCount val="15"/>
                <c:pt idx="0">
                  <c:v>0</c:v>
                </c:pt>
                <c:pt idx="1">
                  <c:v>0.99831460674157302</c:v>
                </c:pt>
                <c:pt idx="2">
                  <c:v>0</c:v>
                </c:pt>
                <c:pt idx="3">
                  <c:v>0.41666666666666669</c:v>
                </c:pt>
                <c:pt idx="4">
                  <c:v>0</c:v>
                </c:pt>
                <c:pt idx="5">
                  <c:v>0.91643459915611813</c:v>
                </c:pt>
                <c:pt idx="6">
                  <c:v>0</c:v>
                </c:pt>
                <c:pt idx="7">
                  <c:v>0.95657088122605372</c:v>
                </c:pt>
                <c:pt idx="8">
                  <c:v>0.58333333333333337</c:v>
                </c:pt>
                <c:pt idx="9">
                  <c:v>0</c:v>
                </c:pt>
                <c:pt idx="10">
                  <c:v>0.95701538965291422</c:v>
                </c:pt>
                <c:pt idx="11">
                  <c:v>0</c:v>
                </c:pt>
                <c:pt idx="12">
                  <c:v>0</c:v>
                </c:pt>
                <c:pt idx="13">
                  <c:v>0.95708874458874471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'20'!$D$6:$D$20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STOPPER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BASE</c:v>
                </c:pt>
                <c:pt idx="10">
                  <c:v>LEAD GUIDE</c:v>
                </c:pt>
                <c:pt idx="11">
                  <c:v>SLIDER</c:v>
                </c:pt>
                <c:pt idx="12">
                  <c:v>BODY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'20'!$AE$6:$AE$20</c:f>
              <c:numCache>
                <c:formatCode>0%</c:formatCode>
                <c:ptCount val="15"/>
                <c:pt idx="0">
                  <c:v>0.38569494809102695</c:v>
                </c:pt>
                <c:pt idx="1">
                  <c:v>0.38569494809102695</c:v>
                </c:pt>
                <c:pt idx="2">
                  <c:v>0.38569494809102695</c:v>
                </c:pt>
                <c:pt idx="3">
                  <c:v>0.38569494809102695</c:v>
                </c:pt>
                <c:pt idx="4">
                  <c:v>0.38569494809102695</c:v>
                </c:pt>
                <c:pt idx="5">
                  <c:v>0.38569494809102695</c:v>
                </c:pt>
                <c:pt idx="6">
                  <c:v>0.38569494809102695</c:v>
                </c:pt>
                <c:pt idx="7">
                  <c:v>0.38569494809102695</c:v>
                </c:pt>
                <c:pt idx="8">
                  <c:v>0.38569494809102695</c:v>
                </c:pt>
                <c:pt idx="9">
                  <c:v>0.38569494809102695</c:v>
                </c:pt>
                <c:pt idx="10">
                  <c:v>0.38569494809102695</c:v>
                </c:pt>
                <c:pt idx="11">
                  <c:v>0.38569494809102695</c:v>
                </c:pt>
                <c:pt idx="12">
                  <c:v>0.38569494809102695</c:v>
                </c:pt>
                <c:pt idx="13">
                  <c:v>0.38569494809102695</c:v>
                </c:pt>
                <c:pt idx="14">
                  <c:v>0.38569494809102695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865920"/>
        <c:axId val="214160448"/>
      </c:lineChart>
      <c:catAx>
        <c:axId val="21486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4160448"/>
        <c:crosses val="autoZero"/>
        <c:auto val="1"/>
        <c:lblAlgn val="ctr"/>
        <c:lblOffset val="100"/>
        <c:noMultiLvlLbl val="0"/>
      </c:catAx>
      <c:valAx>
        <c:axId val="21416044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48659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867456"/>
        <c:axId val="214162752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867456"/>
        <c:axId val="214162752"/>
      </c:lineChart>
      <c:catAx>
        <c:axId val="21486745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162752"/>
        <c:crosses val="autoZero"/>
        <c:auto val="1"/>
        <c:lblAlgn val="ctr"/>
        <c:lblOffset val="100"/>
        <c:noMultiLvlLbl val="0"/>
      </c:catAx>
      <c:valAx>
        <c:axId val="21416275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486745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BOTTOM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COVER</c:v>
                </c:pt>
                <c:pt idx="12">
                  <c:v>LEAD GUIDE</c:v>
                </c:pt>
                <c:pt idx="13">
                  <c:v>FLOATING</c:v>
                </c:pt>
                <c:pt idx="14">
                  <c:v>STOPPER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1">
                  <c:v>5748</c:v>
                </c:pt>
                <c:pt idx="4">
                  <c:v>293</c:v>
                </c:pt>
                <c:pt idx="5">
                  <c:v>923</c:v>
                </c:pt>
                <c:pt idx="6">
                  <c:v>463</c:v>
                </c:pt>
                <c:pt idx="8">
                  <c:v>569</c:v>
                </c:pt>
                <c:pt idx="9">
                  <c:v>2475</c:v>
                </c:pt>
                <c:pt idx="10">
                  <c:v>250</c:v>
                </c:pt>
                <c:pt idx="12">
                  <c:v>5777</c:v>
                </c:pt>
                <c:pt idx="13">
                  <c:v>2929</c:v>
                </c:pt>
                <c:pt idx="15">
                  <c:v>4202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BOTTOM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COVER</c:v>
                </c:pt>
                <c:pt idx="12">
                  <c:v>LEAD GUIDE</c:v>
                </c:pt>
                <c:pt idx="13">
                  <c:v>FLOATING</c:v>
                </c:pt>
                <c:pt idx="14">
                  <c:v>STOPPER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1600</c:v>
                </c:pt>
                <c:pt idx="1">
                  <c:v>5750</c:v>
                </c:pt>
                <c:pt idx="2">
                  <c:v>630</c:v>
                </c:pt>
                <c:pt idx="3">
                  <c:v>1500</c:v>
                </c:pt>
                <c:pt idx="4">
                  <c:v>300</c:v>
                </c:pt>
                <c:pt idx="5">
                  <c:v>930</c:v>
                </c:pt>
                <c:pt idx="6">
                  <c:v>470</c:v>
                </c:pt>
                <c:pt idx="7">
                  <c:v>570</c:v>
                </c:pt>
                <c:pt idx="8">
                  <c:v>570</c:v>
                </c:pt>
                <c:pt idx="9">
                  <c:v>2480</c:v>
                </c:pt>
                <c:pt idx="10">
                  <c:v>1200</c:v>
                </c:pt>
                <c:pt idx="11">
                  <c:v>4500</c:v>
                </c:pt>
                <c:pt idx="12">
                  <c:v>5780</c:v>
                </c:pt>
                <c:pt idx="13">
                  <c:v>2630</c:v>
                </c:pt>
                <c:pt idx="14">
                  <c:v>1401</c:v>
                </c:pt>
                <c:pt idx="15">
                  <c:v>4210</c:v>
                </c:pt>
                <c:pt idx="16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90272"/>
        <c:axId val="214771968"/>
      </c:lineChart>
      <c:catAx>
        <c:axId val="2143902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4771968"/>
        <c:crosses val="autoZero"/>
        <c:auto val="1"/>
        <c:lblAlgn val="ctr"/>
        <c:lblOffset val="100"/>
        <c:noMultiLvlLbl val="0"/>
      </c:catAx>
      <c:valAx>
        <c:axId val="2147719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43902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"/>
                <c:pt idx="0">
                  <c:v>0% 100% 0% 0% 12% 25% 16% 0% 17% 75% 3% 0% 100% 84% 0% 91%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BOTTOM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COVER</c:v>
                </c:pt>
                <c:pt idx="12">
                  <c:v>LEAD GUIDE</c:v>
                </c:pt>
                <c:pt idx="13">
                  <c:v>FLOATING</c:v>
                </c:pt>
                <c:pt idx="14">
                  <c:v>STOPPER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</c:v>
                </c:pt>
                <c:pt idx="1">
                  <c:v>0.99965217391304351</c:v>
                </c:pt>
                <c:pt idx="2">
                  <c:v>0</c:v>
                </c:pt>
                <c:pt idx="3">
                  <c:v>0</c:v>
                </c:pt>
                <c:pt idx="4">
                  <c:v>0.12208333333333334</c:v>
                </c:pt>
                <c:pt idx="5">
                  <c:v>0.24811827956989246</c:v>
                </c:pt>
                <c:pt idx="6">
                  <c:v>0.16418439716312055</c:v>
                </c:pt>
                <c:pt idx="7">
                  <c:v>0</c:v>
                </c:pt>
                <c:pt idx="8">
                  <c:v>0.16637426900584795</c:v>
                </c:pt>
                <c:pt idx="9">
                  <c:v>0.74848790322580638</c:v>
                </c:pt>
                <c:pt idx="10">
                  <c:v>3.4722222222222224E-2</c:v>
                </c:pt>
                <c:pt idx="11">
                  <c:v>0</c:v>
                </c:pt>
                <c:pt idx="12">
                  <c:v>0.99948096885813154</c:v>
                </c:pt>
                <c:pt idx="13">
                  <c:v>0.83526615969581741</c:v>
                </c:pt>
                <c:pt idx="14">
                  <c:v>0</c:v>
                </c:pt>
                <c:pt idx="15">
                  <c:v>0.91492478226444962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BOTTOM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COVER</c:v>
                </c:pt>
                <c:pt idx="12">
                  <c:v>LEAD GUIDE</c:v>
                </c:pt>
                <c:pt idx="13">
                  <c:v>FLOATING</c:v>
                </c:pt>
                <c:pt idx="14">
                  <c:v>STOPPER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0.34888629928344439</c:v>
                </c:pt>
                <c:pt idx="1">
                  <c:v>0.34888629928344439</c:v>
                </c:pt>
                <c:pt idx="2">
                  <c:v>0.34888629928344439</c:v>
                </c:pt>
                <c:pt idx="3">
                  <c:v>0.34888629928344439</c:v>
                </c:pt>
                <c:pt idx="4">
                  <c:v>0.34888629928344439</c:v>
                </c:pt>
                <c:pt idx="5">
                  <c:v>0.34888629928344439</c:v>
                </c:pt>
                <c:pt idx="6">
                  <c:v>0.34888629928344439</c:v>
                </c:pt>
                <c:pt idx="7">
                  <c:v>0.34888629928344439</c:v>
                </c:pt>
                <c:pt idx="8">
                  <c:v>0.34888629928344439</c:v>
                </c:pt>
                <c:pt idx="9">
                  <c:v>0.34888629928344439</c:v>
                </c:pt>
                <c:pt idx="10">
                  <c:v>0.34888629928344439</c:v>
                </c:pt>
                <c:pt idx="11">
                  <c:v>0.34888629928344439</c:v>
                </c:pt>
                <c:pt idx="12">
                  <c:v>0.34888629928344439</c:v>
                </c:pt>
                <c:pt idx="13">
                  <c:v>0.34888629928344439</c:v>
                </c:pt>
                <c:pt idx="14">
                  <c:v>0.34888629928344439</c:v>
                </c:pt>
                <c:pt idx="15">
                  <c:v>0.34888629928344439</c:v>
                </c:pt>
                <c:pt idx="16">
                  <c:v>0.34888629928344439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91296"/>
        <c:axId val="214773696"/>
      </c:lineChart>
      <c:catAx>
        <c:axId val="214391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4773696"/>
        <c:crosses val="autoZero"/>
        <c:auto val="1"/>
        <c:lblAlgn val="ctr"/>
        <c:lblOffset val="100"/>
        <c:noMultiLvlLbl val="0"/>
      </c:catAx>
      <c:valAx>
        <c:axId val="2147736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4391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'21'!$D$6:$D$22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BOTTOM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COVER</c:v>
                </c:pt>
                <c:pt idx="12">
                  <c:v>LEAD GUIDE</c:v>
                </c:pt>
                <c:pt idx="13">
                  <c:v>FLOATING</c:v>
                </c:pt>
                <c:pt idx="14">
                  <c:v>STOPPER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'21'!$L$6:$L$22</c:f>
              <c:numCache>
                <c:formatCode>_(* #,##0_);_(* \(#,##0\);_(* "-"_);_(@_)</c:formatCode>
                <c:ptCount val="17"/>
                <c:pt idx="1">
                  <c:v>5748</c:v>
                </c:pt>
                <c:pt idx="4">
                  <c:v>293</c:v>
                </c:pt>
                <c:pt idx="5">
                  <c:v>923</c:v>
                </c:pt>
                <c:pt idx="6">
                  <c:v>463</c:v>
                </c:pt>
                <c:pt idx="8">
                  <c:v>569</c:v>
                </c:pt>
                <c:pt idx="9">
                  <c:v>2475</c:v>
                </c:pt>
                <c:pt idx="10">
                  <c:v>250</c:v>
                </c:pt>
                <c:pt idx="12">
                  <c:v>5777</c:v>
                </c:pt>
                <c:pt idx="13">
                  <c:v>2929</c:v>
                </c:pt>
                <c:pt idx="15">
                  <c:v>4202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'21'!$D$6:$D$22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BOTTOM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COVER</c:v>
                </c:pt>
                <c:pt idx="12">
                  <c:v>LEAD GUIDE</c:v>
                </c:pt>
                <c:pt idx="13">
                  <c:v>FLOATING</c:v>
                </c:pt>
                <c:pt idx="14">
                  <c:v>STOPPER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'21'!$J$6:$J$22</c:f>
              <c:numCache>
                <c:formatCode>_(* #,##0_);_(* \(#,##0\);_(* "-"_);_(@_)</c:formatCode>
                <c:ptCount val="17"/>
                <c:pt idx="0">
                  <c:v>1600</c:v>
                </c:pt>
                <c:pt idx="1">
                  <c:v>5750</c:v>
                </c:pt>
                <c:pt idx="2">
                  <c:v>630</c:v>
                </c:pt>
                <c:pt idx="3">
                  <c:v>1500</c:v>
                </c:pt>
                <c:pt idx="4">
                  <c:v>300</c:v>
                </c:pt>
                <c:pt idx="5">
                  <c:v>930</c:v>
                </c:pt>
                <c:pt idx="6">
                  <c:v>470</c:v>
                </c:pt>
                <c:pt idx="7">
                  <c:v>570</c:v>
                </c:pt>
                <c:pt idx="8">
                  <c:v>570</c:v>
                </c:pt>
                <c:pt idx="9">
                  <c:v>2480</c:v>
                </c:pt>
                <c:pt idx="10">
                  <c:v>1200</c:v>
                </c:pt>
                <c:pt idx="11">
                  <c:v>4500</c:v>
                </c:pt>
                <c:pt idx="12">
                  <c:v>5780</c:v>
                </c:pt>
                <c:pt idx="13">
                  <c:v>2630</c:v>
                </c:pt>
                <c:pt idx="14">
                  <c:v>1401</c:v>
                </c:pt>
                <c:pt idx="15">
                  <c:v>4210</c:v>
                </c:pt>
                <c:pt idx="16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392320"/>
        <c:axId val="214776000"/>
      </c:lineChart>
      <c:catAx>
        <c:axId val="21439232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4776000"/>
        <c:crosses val="autoZero"/>
        <c:auto val="1"/>
        <c:lblAlgn val="ctr"/>
        <c:lblOffset val="100"/>
        <c:noMultiLvlLbl val="0"/>
      </c:catAx>
      <c:valAx>
        <c:axId val="2147760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43923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'21'!$AD$6:$AD$22</c:f>
              <c:strCache>
                <c:ptCount val="1"/>
                <c:pt idx="0">
                  <c:v>0% 100% 0% 0% 12% 25% 16% 0% 17% 75% 3% 0% 100% 84% 0% 91%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'21'!$D$6:$D$22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BOTTOM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COVER</c:v>
                </c:pt>
                <c:pt idx="12">
                  <c:v>LEAD GUIDE</c:v>
                </c:pt>
                <c:pt idx="13">
                  <c:v>FLOATING</c:v>
                </c:pt>
                <c:pt idx="14">
                  <c:v>STOPPER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'21'!$AD$6:$AD$22</c:f>
              <c:numCache>
                <c:formatCode>0%</c:formatCode>
                <c:ptCount val="17"/>
                <c:pt idx="0">
                  <c:v>0</c:v>
                </c:pt>
                <c:pt idx="1">
                  <c:v>0.99965217391304351</c:v>
                </c:pt>
                <c:pt idx="2">
                  <c:v>0</c:v>
                </c:pt>
                <c:pt idx="3">
                  <c:v>0</c:v>
                </c:pt>
                <c:pt idx="4">
                  <c:v>0.12208333333333334</c:v>
                </c:pt>
                <c:pt idx="5">
                  <c:v>0.24811827956989246</c:v>
                </c:pt>
                <c:pt idx="6">
                  <c:v>0.16418439716312055</c:v>
                </c:pt>
                <c:pt idx="7">
                  <c:v>0</c:v>
                </c:pt>
                <c:pt idx="8">
                  <c:v>0.16637426900584795</c:v>
                </c:pt>
                <c:pt idx="9">
                  <c:v>0.74848790322580638</c:v>
                </c:pt>
                <c:pt idx="10">
                  <c:v>3.4722222222222224E-2</c:v>
                </c:pt>
                <c:pt idx="11">
                  <c:v>0</c:v>
                </c:pt>
                <c:pt idx="12">
                  <c:v>0.99948096885813154</c:v>
                </c:pt>
                <c:pt idx="13">
                  <c:v>0.83526615969581741</c:v>
                </c:pt>
                <c:pt idx="14">
                  <c:v>0</c:v>
                </c:pt>
                <c:pt idx="15">
                  <c:v>0.91492478226444962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'21'!$D$6:$D$22</c:f>
              <c:strCache>
                <c:ptCount val="17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STOPPER</c:v>
                </c:pt>
                <c:pt idx="4">
                  <c:v>BASE</c:v>
                </c:pt>
                <c:pt idx="5">
                  <c:v>BOTTOM</c:v>
                </c:pt>
                <c:pt idx="6">
                  <c:v>SLIDER</c:v>
                </c:pt>
                <c:pt idx="7">
                  <c:v>BODY</c:v>
                </c:pt>
                <c:pt idx="8">
                  <c:v>BODY</c:v>
                </c:pt>
                <c:pt idx="9">
                  <c:v>BASE</c:v>
                </c:pt>
                <c:pt idx="10">
                  <c:v>COVER</c:v>
                </c:pt>
                <c:pt idx="12">
                  <c:v>LEAD GUIDE</c:v>
                </c:pt>
                <c:pt idx="13">
                  <c:v>FLOATING</c:v>
                </c:pt>
                <c:pt idx="14">
                  <c:v>STOPPER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'21'!$AE$6:$AE$22</c:f>
              <c:numCache>
                <c:formatCode>0%</c:formatCode>
                <c:ptCount val="17"/>
                <c:pt idx="0">
                  <c:v>0.34888629928344439</c:v>
                </c:pt>
                <c:pt idx="1">
                  <c:v>0.34888629928344439</c:v>
                </c:pt>
                <c:pt idx="2">
                  <c:v>0.34888629928344439</c:v>
                </c:pt>
                <c:pt idx="3">
                  <c:v>0.34888629928344439</c:v>
                </c:pt>
                <c:pt idx="4">
                  <c:v>0.34888629928344439</c:v>
                </c:pt>
                <c:pt idx="5">
                  <c:v>0.34888629928344439</c:v>
                </c:pt>
                <c:pt idx="6">
                  <c:v>0.34888629928344439</c:v>
                </c:pt>
                <c:pt idx="7">
                  <c:v>0.34888629928344439</c:v>
                </c:pt>
                <c:pt idx="8">
                  <c:v>0.34888629928344439</c:v>
                </c:pt>
                <c:pt idx="9">
                  <c:v>0.34888629928344439</c:v>
                </c:pt>
                <c:pt idx="10">
                  <c:v>0.34888629928344439</c:v>
                </c:pt>
                <c:pt idx="11">
                  <c:v>0.34888629928344439</c:v>
                </c:pt>
                <c:pt idx="12">
                  <c:v>0.34888629928344439</c:v>
                </c:pt>
                <c:pt idx="13">
                  <c:v>0.34888629928344439</c:v>
                </c:pt>
                <c:pt idx="14">
                  <c:v>0.34888629928344439</c:v>
                </c:pt>
                <c:pt idx="15">
                  <c:v>0.34888629928344439</c:v>
                </c:pt>
                <c:pt idx="16">
                  <c:v>0.34888629928344439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58368"/>
        <c:axId val="214532096"/>
      </c:lineChart>
      <c:catAx>
        <c:axId val="2144583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4532096"/>
        <c:crosses val="autoZero"/>
        <c:auto val="1"/>
        <c:lblAlgn val="ctr"/>
        <c:lblOffset val="100"/>
        <c:noMultiLvlLbl val="0"/>
      </c:catAx>
      <c:valAx>
        <c:axId val="2145320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4458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458880"/>
        <c:axId val="21453440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458880"/>
        <c:axId val="214534400"/>
      </c:lineChart>
      <c:catAx>
        <c:axId val="214458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4534400"/>
        <c:crosses val="autoZero"/>
        <c:auto val="1"/>
        <c:lblAlgn val="ctr"/>
        <c:lblOffset val="100"/>
        <c:noMultiLvlLbl val="0"/>
      </c:catAx>
      <c:valAx>
        <c:axId val="21453440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445888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LEAD GUIDE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5747</c:v>
                </c:pt>
                <c:pt idx="3">
                  <c:v>911</c:v>
                </c:pt>
                <c:pt idx="4">
                  <c:v>2028</c:v>
                </c:pt>
                <c:pt idx="5">
                  <c:v>615</c:v>
                </c:pt>
                <c:pt idx="8">
                  <c:v>747</c:v>
                </c:pt>
                <c:pt idx="10">
                  <c:v>1969</c:v>
                </c:pt>
                <c:pt idx="11">
                  <c:v>1925</c:v>
                </c:pt>
                <c:pt idx="13">
                  <c:v>4987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LEAD GUIDE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5750</c:v>
                </c:pt>
                <c:pt idx="2">
                  <c:v>630</c:v>
                </c:pt>
                <c:pt idx="3">
                  <c:v>920</c:v>
                </c:pt>
                <c:pt idx="4">
                  <c:v>2030</c:v>
                </c:pt>
                <c:pt idx="5">
                  <c:v>620</c:v>
                </c:pt>
                <c:pt idx="6">
                  <c:v>570</c:v>
                </c:pt>
                <c:pt idx="7">
                  <c:v>570</c:v>
                </c:pt>
                <c:pt idx="8">
                  <c:v>750</c:v>
                </c:pt>
                <c:pt idx="9">
                  <c:v>4500</c:v>
                </c:pt>
                <c:pt idx="10">
                  <c:v>1970</c:v>
                </c:pt>
                <c:pt idx="11">
                  <c:v>1930</c:v>
                </c:pt>
                <c:pt idx="12">
                  <c:v>1401</c:v>
                </c:pt>
                <c:pt idx="13">
                  <c:v>4990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819776"/>
        <c:axId val="214537280"/>
      </c:lineChart>
      <c:catAx>
        <c:axId val="21581977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4537280"/>
        <c:crosses val="autoZero"/>
        <c:auto val="1"/>
        <c:lblAlgn val="ctr"/>
        <c:lblOffset val="100"/>
        <c:noMultiLvlLbl val="0"/>
      </c:catAx>
      <c:valAx>
        <c:axId val="2145372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5819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0% 100% 0% 25% 54% 17% 0% 0% 21% 0% 46% 50% 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LEAD GUIDE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0.99947826086956526</c:v>
                </c:pt>
                <c:pt idx="2">
                  <c:v>0</c:v>
                </c:pt>
                <c:pt idx="3">
                  <c:v>0.24755434782608696</c:v>
                </c:pt>
                <c:pt idx="4">
                  <c:v>0.54113300492610839</c:v>
                </c:pt>
                <c:pt idx="5">
                  <c:v>0.16532258064516128</c:v>
                </c:pt>
                <c:pt idx="6">
                  <c:v>0</c:v>
                </c:pt>
                <c:pt idx="7">
                  <c:v>0</c:v>
                </c:pt>
                <c:pt idx="8">
                  <c:v>0.20750000000000002</c:v>
                </c:pt>
                <c:pt idx="9">
                  <c:v>0</c:v>
                </c:pt>
                <c:pt idx="10">
                  <c:v>0.45810067681895089</c:v>
                </c:pt>
                <c:pt idx="11">
                  <c:v>0.49870466321243523</c:v>
                </c:pt>
                <c:pt idx="12">
                  <c:v>0</c:v>
                </c:pt>
                <c:pt idx="13">
                  <c:v>0.99939879759519035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LEAD GUIDE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0.27447948879289991</c:v>
                </c:pt>
                <c:pt idx="1">
                  <c:v>0.27447948879289991</c:v>
                </c:pt>
                <c:pt idx="2">
                  <c:v>0.27447948879289991</c:v>
                </c:pt>
                <c:pt idx="3">
                  <c:v>0.27447948879289991</c:v>
                </c:pt>
                <c:pt idx="4">
                  <c:v>0.27447948879289991</c:v>
                </c:pt>
                <c:pt idx="5">
                  <c:v>0.27447948879289991</c:v>
                </c:pt>
                <c:pt idx="6">
                  <c:v>0.27447948879289991</c:v>
                </c:pt>
                <c:pt idx="7">
                  <c:v>0.27447948879289991</c:v>
                </c:pt>
                <c:pt idx="8">
                  <c:v>0.27447948879289991</c:v>
                </c:pt>
                <c:pt idx="9">
                  <c:v>0.27447948879289991</c:v>
                </c:pt>
                <c:pt idx="10">
                  <c:v>0.27447948879289991</c:v>
                </c:pt>
                <c:pt idx="11">
                  <c:v>0.27447948879289991</c:v>
                </c:pt>
                <c:pt idx="12">
                  <c:v>0.27447948879289991</c:v>
                </c:pt>
                <c:pt idx="13">
                  <c:v>0.27447948879289991</c:v>
                </c:pt>
                <c:pt idx="14">
                  <c:v>0.27447948879289991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820800"/>
        <c:axId val="214539008"/>
      </c:lineChart>
      <c:catAx>
        <c:axId val="2158208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4539008"/>
        <c:crosses val="autoZero"/>
        <c:auto val="1"/>
        <c:lblAlgn val="ctr"/>
        <c:lblOffset val="100"/>
        <c:noMultiLvlLbl val="0"/>
      </c:catAx>
      <c:valAx>
        <c:axId val="21453900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5820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'22'!$D$6:$D$20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LEAD GUIDE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'22'!$L$6:$L$20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5747</c:v>
                </c:pt>
                <c:pt idx="3">
                  <c:v>911</c:v>
                </c:pt>
                <c:pt idx="4">
                  <c:v>2028</c:v>
                </c:pt>
                <c:pt idx="5">
                  <c:v>615</c:v>
                </c:pt>
                <c:pt idx="8">
                  <c:v>747</c:v>
                </c:pt>
                <c:pt idx="10">
                  <c:v>1969</c:v>
                </c:pt>
                <c:pt idx="11">
                  <c:v>1925</c:v>
                </c:pt>
                <c:pt idx="13">
                  <c:v>4987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'22'!$D$6:$D$20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LEAD GUIDE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'22'!$J$6:$J$20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5750</c:v>
                </c:pt>
                <c:pt idx="2">
                  <c:v>630</c:v>
                </c:pt>
                <c:pt idx="3">
                  <c:v>920</c:v>
                </c:pt>
                <c:pt idx="4">
                  <c:v>2030</c:v>
                </c:pt>
                <c:pt idx="5">
                  <c:v>620</c:v>
                </c:pt>
                <c:pt idx="6">
                  <c:v>570</c:v>
                </c:pt>
                <c:pt idx="7">
                  <c:v>570</c:v>
                </c:pt>
                <c:pt idx="8">
                  <c:v>750</c:v>
                </c:pt>
                <c:pt idx="9">
                  <c:v>4500</c:v>
                </c:pt>
                <c:pt idx="10">
                  <c:v>1970</c:v>
                </c:pt>
                <c:pt idx="11">
                  <c:v>1930</c:v>
                </c:pt>
                <c:pt idx="12">
                  <c:v>1401</c:v>
                </c:pt>
                <c:pt idx="13">
                  <c:v>4990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71072"/>
        <c:axId val="215794816"/>
      </c:lineChart>
      <c:catAx>
        <c:axId val="21517107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5794816"/>
        <c:crosses val="autoZero"/>
        <c:auto val="1"/>
        <c:lblAlgn val="ctr"/>
        <c:lblOffset val="100"/>
        <c:noMultiLvlLbl val="0"/>
      </c:catAx>
      <c:valAx>
        <c:axId val="21579481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5171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'22'!$AD$6:$AD$20</c:f>
              <c:strCache>
                <c:ptCount val="1"/>
                <c:pt idx="0">
                  <c:v>0% 100% 0% 25% 54% 17% 0% 0% 21% 0% 46% 50% 0% 100%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'22'!$D$6:$D$20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LEAD GUIDE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'22'!$AD$6:$AD$20</c:f>
              <c:numCache>
                <c:formatCode>0%</c:formatCode>
                <c:ptCount val="15"/>
                <c:pt idx="0">
                  <c:v>0</c:v>
                </c:pt>
                <c:pt idx="1">
                  <c:v>0.99947826086956526</c:v>
                </c:pt>
                <c:pt idx="2">
                  <c:v>0</c:v>
                </c:pt>
                <c:pt idx="3">
                  <c:v>0.24755434782608696</c:v>
                </c:pt>
                <c:pt idx="4">
                  <c:v>0.54113300492610839</c:v>
                </c:pt>
                <c:pt idx="5">
                  <c:v>0.16532258064516128</c:v>
                </c:pt>
                <c:pt idx="6">
                  <c:v>0</c:v>
                </c:pt>
                <c:pt idx="7">
                  <c:v>0</c:v>
                </c:pt>
                <c:pt idx="8">
                  <c:v>0.20750000000000002</c:v>
                </c:pt>
                <c:pt idx="9">
                  <c:v>0</c:v>
                </c:pt>
                <c:pt idx="10">
                  <c:v>0.45810067681895089</c:v>
                </c:pt>
                <c:pt idx="11">
                  <c:v>0.49870466321243523</c:v>
                </c:pt>
                <c:pt idx="12">
                  <c:v>0</c:v>
                </c:pt>
                <c:pt idx="13">
                  <c:v>0.99939879759519035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'22'!$D$6:$D$20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LEAD GUIDE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'22'!$AE$6:$AE$20</c:f>
              <c:numCache>
                <c:formatCode>0%</c:formatCode>
                <c:ptCount val="15"/>
                <c:pt idx="0">
                  <c:v>0.27447948879289991</c:v>
                </c:pt>
                <c:pt idx="1">
                  <c:v>0.27447948879289991</c:v>
                </c:pt>
                <c:pt idx="2">
                  <c:v>0.27447948879289991</c:v>
                </c:pt>
                <c:pt idx="3">
                  <c:v>0.27447948879289991</c:v>
                </c:pt>
                <c:pt idx="4">
                  <c:v>0.27447948879289991</c:v>
                </c:pt>
                <c:pt idx="5">
                  <c:v>0.27447948879289991</c:v>
                </c:pt>
                <c:pt idx="6">
                  <c:v>0.27447948879289991</c:v>
                </c:pt>
                <c:pt idx="7">
                  <c:v>0.27447948879289991</c:v>
                </c:pt>
                <c:pt idx="8">
                  <c:v>0.27447948879289991</c:v>
                </c:pt>
                <c:pt idx="9">
                  <c:v>0.27447948879289991</c:v>
                </c:pt>
                <c:pt idx="10">
                  <c:v>0.27447948879289991</c:v>
                </c:pt>
                <c:pt idx="11">
                  <c:v>0.27447948879289991</c:v>
                </c:pt>
                <c:pt idx="12">
                  <c:v>0.27447948879289991</c:v>
                </c:pt>
                <c:pt idx="13">
                  <c:v>0.27447948879289991</c:v>
                </c:pt>
                <c:pt idx="14">
                  <c:v>0.27447948879289991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71584"/>
        <c:axId val="215796544"/>
      </c:lineChart>
      <c:catAx>
        <c:axId val="215171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5796544"/>
        <c:crosses val="autoZero"/>
        <c:auto val="1"/>
        <c:lblAlgn val="ctr"/>
        <c:lblOffset val="100"/>
        <c:noMultiLvlLbl val="0"/>
      </c:catAx>
      <c:valAx>
        <c:axId val="21579654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5171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172096"/>
        <c:axId val="215798848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172096"/>
        <c:axId val="215798848"/>
      </c:lineChart>
      <c:catAx>
        <c:axId val="215172096"/>
        <c:scaling>
          <c:orientation val="minMax"/>
        </c:scaling>
        <c:delete val="0"/>
        <c:axPos val="b"/>
        <c:majorTickMark val="out"/>
        <c:minorTickMark val="none"/>
        <c:tickLblPos val="nextTo"/>
        <c:crossAx val="215798848"/>
        <c:crosses val="autoZero"/>
        <c:auto val="1"/>
        <c:lblAlgn val="ctr"/>
        <c:lblOffset val="100"/>
        <c:noMultiLvlLbl val="0"/>
      </c:catAx>
      <c:valAx>
        <c:axId val="215798848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51720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6210</c:v>
                </c:pt>
                <c:pt idx="3">
                  <c:v>2091</c:v>
                </c:pt>
                <c:pt idx="4">
                  <c:v>2233</c:v>
                </c:pt>
                <c:pt idx="5">
                  <c:v>4457</c:v>
                </c:pt>
                <c:pt idx="7">
                  <c:v>1476</c:v>
                </c:pt>
                <c:pt idx="10">
                  <c:v>3550</c:v>
                </c:pt>
                <c:pt idx="13">
                  <c:v>4222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6210</c:v>
                </c:pt>
                <c:pt idx="2">
                  <c:v>630</c:v>
                </c:pt>
                <c:pt idx="3">
                  <c:v>2100</c:v>
                </c:pt>
                <c:pt idx="4">
                  <c:v>2240</c:v>
                </c:pt>
                <c:pt idx="5">
                  <c:v>4460</c:v>
                </c:pt>
                <c:pt idx="6">
                  <c:v>570</c:v>
                </c:pt>
                <c:pt idx="7">
                  <c:v>1480</c:v>
                </c:pt>
                <c:pt idx="8">
                  <c:v>750</c:v>
                </c:pt>
                <c:pt idx="9">
                  <c:v>4500</c:v>
                </c:pt>
                <c:pt idx="10">
                  <c:v>3550</c:v>
                </c:pt>
                <c:pt idx="11">
                  <c:v>1930</c:v>
                </c:pt>
                <c:pt idx="12">
                  <c:v>1401</c:v>
                </c:pt>
                <c:pt idx="13">
                  <c:v>4230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06432"/>
        <c:axId val="210395136"/>
      </c:lineChart>
      <c:catAx>
        <c:axId val="21550643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0395136"/>
        <c:crosses val="autoZero"/>
        <c:auto val="1"/>
        <c:lblAlgn val="ctr"/>
        <c:lblOffset val="100"/>
        <c:noMultiLvlLbl val="0"/>
      </c:catAx>
      <c:valAx>
        <c:axId val="2103951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55064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0% 100% 0% 50% 62% 92% 0% 42% 0% 0% 79% 0% 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0.49785714285714283</c:v>
                </c:pt>
                <c:pt idx="4">
                  <c:v>0.623046875</c:v>
                </c:pt>
                <c:pt idx="5">
                  <c:v>0.91605007473841549</c:v>
                </c:pt>
                <c:pt idx="6">
                  <c:v>0</c:v>
                </c:pt>
                <c:pt idx="7">
                  <c:v>0.41554054054054057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0</c:v>
                </c:pt>
                <c:pt idx="12">
                  <c:v>0</c:v>
                </c:pt>
                <c:pt idx="13">
                  <c:v>0.87334515366430265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0.34116709689780461</c:v>
                </c:pt>
                <c:pt idx="1">
                  <c:v>0.34116709689780461</c:v>
                </c:pt>
                <c:pt idx="2">
                  <c:v>0.34116709689780461</c:v>
                </c:pt>
                <c:pt idx="3">
                  <c:v>0.34116709689780461</c:v>
                </c:pt>
                <c:pt idx="4">
                  <c:v>0.34116709689780461</c:v>
                </c:pt>
                <c:pt idx="5">
                  <c:v>0.34116709689780461</c:v>
                </c:pt>
                <c:pt idx="6">
                  <c:v>0.34116709689780461</c:v>
                </c:pt>
                <c:pt idx="7">
                  <c:v>0.34116709689780461</c:v>
                </c:pt>
                <c:pt idx="8">
                  <c:v>0.34116709689780461</c:v>
                </c:pt>
                <c:pt idx="9">
                  <c:v>0.34116709689780461</c:v>
                </c:pt>
                <c:pt idx="10">
                  <c:v>0.34116709689780461</c:v>
                </c:pt>
                <c:pt idx="11">
                  <c:v>0.34116709689780461</c:v>
                </c:pt>
                <c:pt idx="12">
                  <c:v>0.34116709689780461</c:v>
                </c:pt>
                <c:pt idx="13">
                  <c:v>0.34116709689780461</c:v>
                </c:pt>
                <c:pt idx="14">
                  <c:v>0.34116709689780461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08480"/>
        <c:axId val="210396864"/>
      </c:lineChart>
      <c:catAx>
        <c:axId val="215508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0396864"/>
        <c:crosses val="autoZero"/>
        <c:auto val="1"/>
        <c:lblAlgn val="ctr"/>
        <c:lblOffset val="100"/>
        <c:noMultiLvlLbl val="0"/>
      </c:catAx>
      <c:valAx>
        <c:axId val="2103968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5508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'23'!$L$6:$L$20</c:f>
              <c:numCache>
                <c:formatCode>_(* #,##0_);_(* \(#,##0\);_(* "-"_);_(@_)</c:formatCode>
                <c:ptCount val="15"/>
                <c:pt idx="0">
                  <c:v>0</c:v>
                </c:pt>
                <c:pt idx="1">
                  <c:v>6210</c:v>
                </c:pt>
                <c:pt idx="3">
                  <c:v>2091</c:v>
                </c:pt>
                <c:pt idx="4">
                  <c:v>2233</c:v>
                </c:pt>
                <c:pt idx="5">
                  <c:v>4457</c:v>
                </c:pt>
                <c:pt idx="7">
                  <c:v>1476</c:v>
                </c:pt>
                <c:pt idx="10">
                  <c:v>3550</c:v>
                </c:pt>
                <c:pt idx="13">
                  <c:v>4222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6210</c:v>
                </c:pt>
                <c:pt idx="2">
                  <c:v>630</c:v>
                </c:pt>
                <c:pt idx="3">
                  <c:v>2100</c:v>
                </c:pt>
                <c:pt idx="4">
                  <c:v>2240</c:v>
                </c:pt>
                <c:pt idx="5">
                  <c:v>4460</c:v>
                </c:pt>
                <c:pt idx="6">
                  <c:v>570</c:v>
                </c:pt>
                <c:pt idx="7">
                  <c:v>1480</c:v>
                </c:pt>
                <c:pt idx="8">
                  <c:v>750</c:v>
                </c:pt>
                <c:pt idx="9">
                  <c:v>4500</c:v>
                </c:pt>
                <c:pt idx="10">
                  <c:v>3550</c:v>
                </c:pt>
                <c:pt idx="11">
                  <c:v>1930</c:v>
                </c:pt>
                <c:pt idx="12">
                  <c:v>1401</c:v>
                </c:pt>
                <c:pt idx="13">
                  <c:v>4230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08992"/>
        <c:axId val="210399168"/>
      </c:lineChart>
      <c:catAx>
        <c:axId val="21550899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0399168"/>
        <c:crosses val="autoZero"/>
        <c:auto val="1"/>
        <c:lblAlgn val="ctr"/>
        <c:lblOffset val="100"/>
        <c:noMultiLvlLbl val="0"/>
      </c:catAx>
      <c:valAx>
        <c:axId val="21039916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55089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'23'!$AD$6:$AD$20</c:f>
              <c:strCache>
                <c:ptCount val="1"/>
                <c:pt idx="0">
                  <c:v>0% 100% 0% 50% 62% 92% 0% 42% 0% 0% 79% 0% 0% 87%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'23'!$AD$6:$AD$20</c:f>
              <c:numCache>
                <c:formatCode>0%</c:formatCode>
                <c:ptCount val="15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0.49785714285714283</c:v>
                </c:pt>
                <c:pt idx="4">
                  <c:v>0.623046875</c:v>
                </c:pt>
                <c:pt idx="5">
                  <c:v>0.91605007473841549</c:v>
                </c:pt>
                <c:pt idx="6">
                  <c:v>0</c:v>
                </c:pt>
                <c:pt idx="7">
                  <c:v>0.41554054054054057</c:v>
                </c:pt>
                <c:pt idx="8">
                  <c:v>0</c:v>
                </c:pt>
                <c:pt idx="9">
                  <c:v>0</c:v>
                </c:pt>
                <c:pt idx="10">
                  <c:v>0.79166666666666663</c:v>
                </c:pt>
                <c:pt idx="11">
                  <c:v>0</c:v>
                </c:pt>
                <c:pt idx="12">
                  <c:v>0</c:v>
                </c:pt>
                <c:pt idx="13">
                  <c:v>0.87334515366430265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'23'!$D$6:$D$20</c:f>
              <c:strCache>
                <c:ptCount val="15"/>
                <c:pt idx="0">
                  <c:v>STOPPER</c:v>
                </c:pt>
                <c:pt idx="1">
                  <c:v>STOPPER</c:v>
                </c:pt>
                <c:pt idx="2">
                  <c:v>COVER</c:v>
                </c:pt>
                <c:pt idx="3">
                  <c:v>SLIDER</c:v>
                </c:pt>
                <c:pt idx="4">
                  <c:v>BASE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COVER</c:v>
                </c:pt>
                <c:pt idx="11">
                  <c:v>FLOATING</c:v>
                </c:pt>
                <c:pt idx="12">
                  <c:v>STOPPER</c:v>
                </c:pt>
                <c:pt idx="13">
                  <c:v>BASE</c:v>
                </c:pt>
                <c:pt idx="14">
                  <c:v>72P</c:v>
                </c:pt>
              </c:strCache>
            </c:strRef>
          </c:cat>
          <c:val>
            <c:numRef>
              <c:f>'23'!$AE$6:$AE$20</c:f>
              <c:numCache>
                <c:formatCode>0%</c:formatCode>
                <c:ptCount val="15"/>
                <c:pt idx="0">
                  <c:v>0.34116709689780461</c:v>
                </c:pt>
                <c:pt idx="1">
                  <c:v>0.34116709689780461</c:v>
                </c:pt>
                <c:pt idx="2">
                  <c:v>0.34116709689780461</c:v>
                </c:pt>
                <c:pt idx="3">
                  <c:v>0.34116709689780461</c:v>
                </c:pt>
                <c:pt idx="4">
                  <c:v>0.34116709689780461</c:v>
                </c:pt>
                <c:pt idx="5">
                  <c:v>0.34116709689780461</c:v>
                </c:pt>
                <c:pt idx="6">
                  <c:v>0.34116709689780461</c:v>
                </c:pt>
                <c:pt idx="7">
                  <c:v>0.34116709689780461</c:v>
                </c:pt>
                <c:pt idx="8">
                  <c:v>0.34116709689780461</c:v>
                </c:pt>
                <c:pt idx="9">
                  <c:v>0.34116709689780461</c:v>
                </c:pt>
                <c:pt idx="10">
                  <c:v>0.34116709689780461</c:v>
                </c:pt>
                <c:pt idx="11">
                  <c:v>0.34116709689780461</c:v>
                </c:pt>
                <c:pt idx="12">
                  <c:v>0.34116709689780461</c:v>
                </c:pt>
                <c:pt idx="13">
                  <c:v>0.34116709689780461</c:v>
                </c:pt>
                <c:pt idx="14">
                  <c:v>0.34116709689780461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510016"/>
        <c:axId val="210400896"/>
      </c:lineChart>
      <c:catAx>
        <c:axId val="215510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0400896"/>
        <c:crosses val="autoZero"/>
        <c:auto val="1"/>
        <c:lblAlgn val="ctr"/>
        <c:lblOffset val="100"/>
        <c:noMultiLvlLbl val="0"/>
      </c:catAx>
      <c:valAx>
        <c:axId val="21040089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5510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5817728"/>
        <c:axId val="21658009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5817728"/>
        <c:axId val="216580096"/>
      </c:lineChart>
      <c:catAx>
        <c:axId val="21581772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580096"/>
        <c:crosses val="autoZero"/>
        <c:auto val="1"/>
        <c:lblAlgn val="ctr"/>
        <c:lblOffset val="100"/>
        <c:noMultiLvlLbl val="0"/>
      </c:catAx>
      <c:valAx>
        <c:axId val="21658009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581772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7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BOTTOM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BOTTOM</c:v>
                </c:pt>
                <c:pt idx="9">
                  <c:v>COVER</c:v>
                </c:pt>
                <c:pt idx="11">
                  <c:v>STOPPER</c:v>
                </c:pt>
                <c:pt idx="12">
                  <c:v>FLOATING</c:v>
                </c:pt>
                <c:pt idx="13">
                  <c:v>TOP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1">
                  <c:v>2477</c:v>
                </c:pt>
                <c:pt idx="3">
                  <c:v>947</c:v>
                </c:pt>
                <c:pt idx="4">
                  <c:v>2243</c:v>
                </c:pt>
                <c:pt idx="5">
                  <c:v>1545</c:v>
                </c:pt>
                <c:pt idx="6">
                  <c:v>2212</c:v>
                </c:pt>
                <c:pt idx="8">
                  <c:v>2710</c:v>
                </c:pt>
                <c:pt idx="9">
                  <c:v>4460</c:v>
                </c:pt>
                <c:pt idx="11">
                  <c:v>6408</c:v>
                </c:pt>
                <c:pt idx="13">
                  <c:v>535</c:v>
                </c:pt>
                <c:pt idx="14">
                  <c:v>1598</c:v>
                </c:pt>
                <c:pt idx="15">
                  <c:v>2177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7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BOTTOM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BOTTOM</c:v>
                </c:pt>
                <c:pt idx="9">
                  <c:v>COVER</c:v>
                </c:pt>
                <c:pt idx="11">
                  <c:v>STOPPER</c:v>
                </c:pt>
                <c:pt idx="12">
                  <c:v>FLOATING</c:v>
                </c:pt>
                <c:pt idx="13">
                  <c:v>TOP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1600</c:v>
                </c:pt>
                <c:pt idx="1">
                  <c:v>2480</c:v>
                </c:pt>
                <c:pt idx="2">
                  <c:v>630</c:v>
                </c:pt>
                <c:pt idx="3">
                  <c:v>950</c:v>
                </c:pt>
                <c:pt idx="4">
                  <c:v>2250</c:v>
                </c:pt>
                <c:pt idx="5">
                  <c:v>1550</c:v>
                </c:pt>
                <c:pt idx="6">
                  <c:v>2220</c:v>
                </c:pt>
                <c:pt idx="7">
                  <c:v>570</c:v>
                </c:pt>
                <c:pt idx="8">
                  <c:v>2710</c:v>
                </c:pt>
                <c:pt idx="9">
                  <c:v>4460</c:v>
                </c:pt>
                <c:pt idx="10">
                  <c:v>4500</c:v>
                </c:pt>
                <c:pt idx="11">
                  <c:v>6410</c:v>
                </c:pt>
                <c:pt idx="12">
                  <c:v>1930</c:v>
                </c:pt>
                <c:pt idx="13">
                  <c:v>540</c:v>
                </c:pt>
                <c:pt idx="14">
                  <c:v>1600</c:v>
                </c:pt>
                <c:pt idx="15">
                  <c:v>2180</c:v>
                </c:pt>
                <c:pt idx="16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918528"/>
        <c:axId val="216582976"/>
      </c:lineChart>
      <c:catAx>
        <c:axId val="216918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6582976"/>
        <c:crosses val="autoZero"/>
        <c:auto val="1"/>
        <c:lblAlgn val="ctr"/>
        <c:lblOffset val="100"/>
        <c:noMultiLvlLbl val="0"/>
      </c:catAx>
      <c:valAx>
        <c:axId val="21658297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6918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"/>
                <c:pt idx="0">
                  <c:v>0% 58% 0% 25% 58% 37% 46% 0% 75% 54% 0% 67% 0% 17% 25% 54%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'24'!$D$6:$D$22</c:f>
              <c:strCache>
                <c:ptCount val="17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BOTTOM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BOTTOM</c:v>
                </c:pt>
                <c:pt idx="9">
                  <c:v>COVER</c:v>
                </c:pt>
                <c:pt idx="11">
                  <c:v>STOPPER</c:v>
                </c:pt>
                <c:pt idx="12">
                  <c:v>FLOATING</c:v>
                </c:pt>
                <c:pt idx="13">
                  <c:v>TOP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0.58262768817204302</c:v>
                </c:pt>
                <c:pt idx="2">
                  <c:v>0</c:v>
                </c:pt>
                <c:pt idx="3">
                  <c:v>0.24921052631578947</c:v>
                </c:pt>
                <c:pt idx="4">
                  <c:v>0.58151851851851855</c:v>
                </c:pt>
                <c:pt idx="5">
                  <c:v>0.37379032258064515</c:v>
                </c:pt>
                <c:pt idx="6">
                  <c:v>0.45668168168168166</c:v>
                </c:pt>
                <c:pt idx="7">
                  <c:v>0</c:v>
                </c:pt>
                <c:pt idx="8">
                  <c:v>0.75</c:v>
                </c:pt>
                <c:pt idx="9">
                  <c:v>0.54166666666666663</c:v>
                </c:pt>
                <c:pt idx="10">
                  <c:v>0</c:v>
                </c:pt>
                <c:pt idx="11">
                  <c:v>0.66645865834633389</c:v>
                </c:pt>
                <c:pt idx="12">
                  <c:v>0</c:v>
                </c:pt>
                <c:pt idx="13">
                  <c:v>0.16512345679012344</c:v>
                </c:pt>
                <c:pt idx="14">
                  <c:v>0.24968750000000001</c:v>
                </c:pt>
                <c:pt idx="15">
                  <c:v>0.54092125382263001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'24'!$D$6:$D$22</c:f>
              <c:strCache>
                <c:ptCount val="17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BOTTOM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BOTTOM</c:v>
                </c:pt>
                <c:pt idx="9">
                  <c:v>COVER</c:v>
                </c:pt>
                <c:pt idx="11">
                  <c:v>STOPPER</c:v>
                </c:pt>
                <c:pt idx="12">
                  <c:v>FLOATING</c:v>
                </c:pt>
                <c:pt idx="13">
                  <c:v>TOP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0.34384575152629548</c:v>
                </c:pt>
                <c:pt idx="1">
                  <c:v>0.34384575152629548</c:v>
                </c:pt>
                <c:pt idx="2">
                  <c:v>0.34384575152629548</c:v>
                </c:pt>
                <c:pt idx="3">
                  <c:v>0.34384575152629548</c:v>
                </c:pt>
                <c:pt idx="4">
                  <c:v>0.34384575152629548</c:v>
                </c:pt>
                <c:pt idx="5">
                  <c:v>0.34384575152629548</c:v>
                </c:pt>
                <c:pt idx="6">
                  <c:v>0.34384575152629548</c:v>
                </c:pt>
                <c:pt idx="7">
                  <c:v>0.34384575152629548</c:v>
                </c:pt>
                <c:pt idx="8">
                  <c:v>0.34384575152629548</c:v>
                </c:pt>
                <c:pt idx="9">
                  <c:v>0.34384575152629548</c:v>
                </c:pt>
                <c:pt idx="10">
                  <c:v>0.34384575152629548</c:v>
                </c:pt>
                <c:pt idx="11">
                  <c:v>0.34384575152629548</c:v>
                </c:pt>
                <c:pt idx="12">
                  <c:v>0.34384575152629548</c:v>
                </c:pt>
                <c:pt idx="13">
                  <c:v>0.34384575152629548</c:v>
                </c:pt>
                <c:pt idx="14">
                  <c:v>0.34384575152629548</c:v>
                </c:pt>
                <c:pt idx="15">
                  <c:v>0.34384575152629548</c:v>
                </c:pt>
                <c:pt idx="16">
                  <c:v>0.34384575152629548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982016"/>
        <c:axId val="216584704"/>
      </c:lineChart>
      <c:catAx>
        <c:axId val="216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6584704"/>
        <c:crosses val="autoZero"/>
        <c:auto val="1"/>
        <c:lblAlgn val="ctr"/>
        <c:lblOffset val="100"/>
        <c:noMultiLvlLbl val="0"/>
      </c:catAx>
      <c:valAx>
        <c:axId val="216584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69820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'24'!$D$6:$D$22</c:f>
              <c:strCache>
                <c:ptCount val="17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BOTTOM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BOTTOM</c:v>
                </c:pt>
                <c:pt idx="9">
                  <c:v>COVER</c:v>
                </c:pt>
                <c:pt idx="11">
                  <c:v>STOPPER</c:v>
                </c:pt>
                <c:pt idx="12">
                  <c:v>FLOATING</c:v>
                </c:pt>
                <c:pt idx="13">
                  <c:v>TOP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'24'!$L$6:$L$22</c:f>
              <c:numCache>
                <c:formatCode>_(* #,##0_);_(* \(#,##0\);_(* "-"_);_(@_)</c:formatCode>
                <c:ptCount val="17"/>
                <c:pt idx="1">
                  <c:v>2477</c:v>
                </c:pt>
                <c:pt idx="3">
                  <c:v>947</c:v>
                </c:pt>
                <c:pt idx="4">
                  <c:v>2243</c:v>
                </c:pt>
                <c:pt idx="5">
                  <c:v>1545</c:v>
                </c:pt>
                <c:pt idx="6">
                  <c:v>2212</c:v>
                </c:pt>
                <c:pt idx="8">
                  <c:v>2710</c:v>
                </c:pt>
                <c:pt idx="9">
                  <c:v>4460</c:v>
                </c:pt>
                <c:pt idx="11">
                  <c:v>6408</c:v>
                </c:pt>
                <c:pt idx="13">
                  <c:v>535</c:v>
                </c:pt>
                <c:pt idx="14">
                  <c:v>1598</c:v>
                </c:pt>
                <c:pt idx="15">
                  <c:v>2177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'24'!$D$6:$D$22</c:f>
              <c:strCache>
                <c:ptCount val="17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BOTTOM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BOTTOM</c:v>
                </c:pt>
                <c:pt idx="9">
                  <c:v>COVER</c:v>
                </c:pt>
                <c:pt idx="11">
                  <c:v>STOPPER</c:v>
                </c:pt>
                <c:pt idx="12">
                  <c:v>FLOATING</c:v>
                </c:pt>
                <c:pt idx="13">
                  <c:v>TOP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'24'!$J$6:$J$22</c:f>
              <c:numCache>
                <c:formatCode>_(* #,##0_);_(* \(#,##0\);_(* "-"_);_(@_)</c:formatCode>
                <c:ptCount val="17"/>
                <c:pt idx="0">
                  <c:v>1600</c:v>
                </c:pt>
                <c:pt idx="1">
                  <c:v>2480</c:v>
                </c:pt>
                <c:pt idx="2">
                  <c:v>630</c:v>
                </c:pt>
                <c:pt idx="3">
                  <c:v>950</c:v>
                </c:pt>
                <c:pt idx="4">
                  <c:v>2250</c:v>
                </c:pt>
                <c:pt idx="5">
                  <c:v>1550</c:v>
                </c:pt>
                <c:pt idx="6">
                  <c:v>2220</c:v>
                </c:pt>
                <c:pt idx="7">
                  <c:v>570</c:v>
                </c:pt>
                <c:pt idx="8">
                  <c:v>2710</c:v>
                </c:pt>
                <c:pt idx="9">
                  <c:v>4460</c:v>
                </c:pt>
                <c:pt idx="10">
                  <c:v>4500</c:v>
                </c:pt>
                <c:pt idx="11">
                  <c:v>6410</c:v>
                </c:pt>
                <c:pt idx="12">
                  <c:v>1930</c:v>
                </c:pt>
                <c:pt idx="13">
                  <c:v>540</c:v>
                </c:pt>
                <c:pt idx="14">
                  <c:v>1600</c:v>
                </c:pt>
                <c:pt idx="15">
                  <c:v>2180</c:v>
                </c:pt>
                <c:pt idx="16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982528"/>
        <c:axId val="216587008"/>
      </c:lineChart>
      <c:catAx>
        <c:axId val="2169825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6587008"/>
        <c:crosses val="autoZero"/>
        <c:auto val="1"/>
        <c:lblAlgn val="ctr"/>
        <c:lblOffset val="100"/>
        <c:noMultiLvlLbl val="0"/>
      </c:catAx>
      <c:valAx>
        <c:axId val="2165870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69825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'24'!$AD$6:$AD$22</c:f>
              <c:strCache>
                <c:ptCount val="1"/>
                <c:pt idx="0">
                  <c:v>0% 58% 0% 25% 58% 37% 46% 0% 75% 54% 0% 67% 0% 17% 25% 54%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'24'!$D$6:$D$22</c:f>
              <c:strCache>
                <c:ptCount val="17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BOTTOM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BOTTOM</c:v>
                </c:pt>
                <c:pt idx="9">
                  <c:v>COVER</c:v>
                </c:pt>
                <c:pt idx="11">
                  <c:v>STOPPER</c:v>
                </c:pt>
                <c:pt idx="12">
                  <c:v>FLOATING</c:v>
                </c:pt>
                <c:pt idx="13">
                  <c:v>TOP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'24'!$AD$6:$AD$22</c:f>
              <c:numCache>
                <c:formatCode>0%</c:formatCode>
                <c:ptCount val="17"/>
                <c:pt idx="0">
                  <c:v>0</c:v>
                </c:pt>
                <c:pt idx="1">
                  <c:v>0.58262768817204302</c:v>
                </c:pt>
                <c:pt idx="2">
                  <c:v>0</c:v>
                </c:pt>
                <c:pt idx="3">
                  <c:v>0.24921052631578947</c:v>
                </c:pt>
                <c:pt idx="4">
                  <c:v>0.58151851851851855</c:v>
                </c:pt>
                <c:pt idx="5">
                  <c:v>0.37379032258064515</c:v>
                </c:pt>
                <c:pt idx="6">
                  <c:v>0.45668168168168166</c:v>
                </c:pt>
                <c:pt idx="7">
                  <c:v>0</c:v>
                </c:pt>
                <c:pt idx="8">
                  <c:v>0.75</c:v>
                </c:pt>
                <c:pt idx="9">
                  <c:v>0.54166666666666663</c:v>
                </c:pt>
                <c:pt idx="10">
                  <c:v>0</c:v>
                </c:pt>
                <c:pt idx="11">
                  <c:v>0.66645865834633389</c:v>
                </c:pt>
                <c:pt idx="12">
                  <c:v>0</c:v>
                </c:pt>
                <c:pt idx="13">
                  <c:v>0.16512345679012344</c:v>
                </c:pt>
                <c:pt idx="14">
                  <c:v>0.24968750000000001</c:v>
                </c:pt>
                <c:pt idx="15">
                  <c:v>0.54092125382263001</c:v>
                </c:pt>
                <c:pt idx="16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'24'!$D$6:$D$22</c:f>
              <c:strCache>
                <c:ptCount val="17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BOTTOM</c:v>
                </c:pt>
                <c:pt idx="5">
                  <c:v>SLIDER</c:v>
                </c:pt>
                <c:pt idx="6">
                  <c:v>SLIDER</c:v>
                </c:pt>
                <c:pt idx="7">
                  <c:v>BODY</c:v>
                </c:pt>
                <c:pt idx="8">
                  <c:v>BOTTOM</c:v>
                </c:pt>
                <c:pt idx="9">
                  <c:v>COVER</c:v>
                </c:pt>
                <c:pt idx="11">
                  <c:v>STOPPER</c:v>
                </c:pt>
                <c:pt idx="12">
                  <c:v>FLOATING</c:v>
                </c:pt>
                <c:pt idx="13">
                  <c:v>TOP</c:v>
                </c:pt>
                <c:pt idx="14">
                  <c:v>BASE</c:v>
                </c:pt>
                <c:pt idx="15">
                  <c:v>BASE</c:v>
                </c:pt>
                <c:pt idx="16">
                  <c:v>72P</c:v>
                </c:pt>
              </c:strCache>
            </c:strRef>
          </c:cat>
          <c:val>
            <c:numRef>
              <c:f>'24'!$AE$6:$AE$22</c:f>
              <c:numCache>
                <c:formatCode>0%</c:formatCode>
                <c:ptCount val="17"/>
                <c:pt idx="0">
                  <c:v>0.34384575152629548</c:v>
                </c:pt>
                <c:pt idx="1">
                  <c:v>0.34384575152629548</c:v>
                </c:pt>
                <c:pt idx="2">
                  <c:v>0.34384575152629548</c:v>
                </c:pt>
                <c:pt idx="3">
                  <c:v>0.34384575152629548</c:v>
                </c:pt>
                <c:pt idx="4">
                  <c:v>0.34384575152629548</c:v>
                </c:pt>
                <c:pt idx="5">
                  <c:v>0.34384575152629548</c:v>
                </c:pt>
                <c:pt idx="6">
                  <c:v>0.34384575152629548</c:v>
                </c:pt>
                <c:pt idx="7">
                  <c:v>0.34384575152629548</c:v>
                </c:pt>
                <c:pt idx="8">
                  <c:v>0.34384575152629548</c:v>
                </c:pt>
                <c:pt idx="9">
                  <c:v>0.34384575152629548</c:v>
                </c:pt>
                <c:pt idx="10">
                  <c:v>0.34384575152629548</c:v>
                </c:pt>
                <c:pt idx="11">
                  <c:v>0.34384575152629548</c:v>
                </c:pt>
                <c:pt idx="12">
                  <c:v>0.34384575152629548</c:v>
                </c:pt>
                <c:pt idx="13">
                  <c:v>0.34384575152629548</c:v>
                </c:pt>
                <c:pt idx="14">
                  <c:v>0.34384575152629548</c:v>
                </c:pt>
                <c:pt idx="15">
                  <c:v>0.34384575152629548</c:v>
                </c:pt>
                <c:pt idx="16">
                  <c:v>0.34384575152629548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983552"/>
        <c:axId val="217023040"/>
      </c:lineChart>
      <c:catAx>
        <c:axId val="216983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7023040"/>
        <c:crosses val="autoZero"/>
        <c:auto val="1"/>
        <c:lblAlgn val="ctr"/>
        <c:lblOffset val="100"/>
        <c:noMultiLvlLbl val="0"/>
      </c:catAx>
      <c:valAx>
        <c:axId val="217023040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6983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984064"/>
        <c:axId val="217025344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984064"/>
        <c:axId val="217025344"/>
      </c:lineChart>
      <c:catAx>
        <c:axId val="21698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217025344"/>
        <c:crosses val="autoZero"/>
        <c:auto val="1"/>
        <c:lblAlgn val="ctr"/>
        <c:lblOffset val="100"/>
        <c:noMultiLvlLbl val="0"/>
      </c:catAx>
      <c:valAx>
        <c:axId val="2170253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698406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5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1">
                  <c:v>12964</c:v>
                </c:pt>
                <c:pt idx="3">
                  <c:v>2116</c:v>
                </c:pt>
                <c:pt idx="4">
                  <c:v>44160</c:v>
                </c:pt>
                <c:pt idx="7">
                  <c:v>4460</c:v>
                </c:pt>
                <c:pt idx="8">
                  <c:v>8500</c:v>
                </c:pt>
                <c:pt idx="10">
                  <c:v>3378</c:v>
                </c:pt>
                <c:pt idx="11">
                  <c:v>4621</c:v>
                </c:pt>
                <c:pt idx="12">
                  <c:v>835</c:v>
                </c:pt>
                <c:pt idx="13">
                  <c:v>1978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5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12970</c:v>
                </c:pt>
                <c:pt idx="2">
                  <c:v>630</c:v>
                </c:pt>
                <c:pt idx="3">
                  <c:v>2120</c:v>
                </c:pt>
                <c:pt idx="4">
                  <c:v>44200</c:v>
                </c:pt>
                <c:pt idx="5">
                  <c:v>2220</c:v>
                </c:pt>
                <c:pt idx="6">
                  <c:v>570</c:v>
                </c:pt>
                <c:pt idx="7">
                  <c:v>4460</c:v>
                </c:pt>
                <c:pt idx="8">
                  <c:v>8500</c:v>
                </c:pt>
                <c:pt idx="9">
                  <c:v>4500</c:v>
                </c:pt>
                <c:pt idx="10">
                  <c:v>3380</c:v>
                </c:pt>
                <c:pt idx="11">
                  <c:v>4630</c:v>
                </c:pt>
                <c:pt idx="12">
                  <c:v>840</c:v>
                </c:pt>
                <c:pt idx="13">
                  <c:v>1980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456128"/>
        <c:axId val="217028224"/>
      </c:lineChart>
      <c:catAx>
        <c:axId val="21745612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7028224"/>
        <c:crosses val="autoZero"/>
        <c:auto val="1"/>
        <c:lblAlgn val="ctr"/>
        <c:lblOffset val="100"/>
        <c:noMultiLvlLbl val="0"/>
      </c:catAx>
      <c:valAx>
        <c:axId val="21702822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745612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"/>
                <c:pt idx="0">
                  <c:v>0% 79% 0% 50% 42% 0% 0% 88% 92% 0% 50% 91% 25% 46%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'25'!$D$6:$D$20</c:f>
              <c:strCache>
                <c:ptCount val="15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0.79130043690567975</c:v>
                </c:pt>
                <c:pt idx="2">
                  <c:v>0</c:v>
                </c:pt>
                <c:pt idx="3">
                  <c:v>0.49905660377358491</c:v>
                </c:pt>
                <c:pt idx="4">
                  <c:v>0.41628959276018102</c:v>
                </c:pt>
                <c:pt idx="5">
                  <c:v>0</c:v>
                </c:pt>
                <c:pt idx="6">
                  <c:v>0</c:v>
                </c:pt>
                <c:pt idx="7">
                  <c:v>0.875</c:v>
                </c:pt>
                <c:pt idx="8">
                  <c:v>0.91666666666666663</c:v>
                </c:pt>
                <c:pt idx="9">
                  <c:v>0</c:v>
                </c:pt>
                <c:pt idx="10">
                  <c:v>0.49970414201183433</c:v>
                </c:pt>
                <c:pt idx="11">
                  <c:v>0.91488480921526283</c:v>
                </c:pt>
                <c:pt idx="12">
                  <c:v>0.24851190476190477</c:v>
                </c:pt>
                <c:pt idx="13">
                  <c:v>0.45787037037037037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'25'!$D$6:$D$20</c:f>
              <c:strCache>
                <c:ptCount val="15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0.37461896843103232</c:v>
                </c:pt>
                <c:pt idx="1">
                  <c:v>0.37461896843103232</c:v>
                </c:pt>
                <c:pt idx="2">
                  <c:v>0.37461896843103232</c:v>
                </c:pt>
                <c:pt idx="3">
                  <c:v>0.37461896843103232</c:v>
                </c:pt>
                <c:pt idx="4">
                  <c:v>0.37461896843103232</c:v>
                </c:pt>
                <c:pt idx="5">
                  <c:v>0.37461896843103232</c:v>
                </c:pt>
                <c:pt idx="6">
                  <c:v>0.37461896843103232</c:v>
                </c:pt>
                <c:pt idx="7">
                  <c:v>0.37461896843103232</c:v>
                </c:pt>
                <c:pt idx="8">
                  <c:v>0.37461896843103232</c:v>
                </c:pt>
                <c:pt idx="9">
                  <c:v>0.37461896843103232</c:v>
                </c:pt>
                <c:pt idx="10">
                  <c:v>0.37461896843103232</c:v>
                </c:pt>
                <c:pt idx="11">
                  <c:v>0.37461896843103232</c:v>
                </c:pt>
                <c:pt idx="12">
                  <c:v>0.37461896843103232</c:v>
                </c:pt>
                <c:pt idx="13">
                  <c:v>0.37461896843103232</c:v>
                </c:pt>
                <c:pt idx="14">
                  <c:v>0.37461896843103232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473536"/>
        <c:axId val="217029952"/>
      </c:lineChart>
      <c:catAx>
        <c:axId val="217473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7029952"/>
        <c:crosses val="autoZero"/>
        <c:auto val="1"/>
        <c:lblAlgn val="ctr"/>
        <c:lblOffset val="100"/>
        <c:noMultiLvlLbl val="0"/>
      </c:catAx>
      <c:valAx>
        <c:axId val="2170299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7473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'25'!$D$6:$D$20</c:f>
              <c:strCache>
                <c:ptCount val="15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'25'!$L$6:$L$20</c:f>
              <c:numCache>
                <c:formatCode>_(* #,##0_);_(* \(#,##0\);_(* "-"_);_(@_)</c:formatCode>
                <c:ptCount val="15"/>
                <c:pt idx="1">
                  <c:v>12964</c:v>
                </c:pt>
                <c:pt idx="3">
                  <c:v>2116</c:v>
                </c:pt>
                <c:pt idx="4">
                  <c:v>44160</c:v>
                </c:pt>
                <c:pt idx="7">
                  <c:v>4460</c:v>
                </c:pt>
                <c:pt idx="8">
                  <c:v>8500</c:v>
                </c:pt>
                <c:pt idx="10">
                  <c:v>3378</c:v>
                </c:pt>
                <c:pt idx="11">
                  <c:v>4621</c:v>
                </c:pt>
                <c:pt idx="12">
                  <c:v>835</c:v>
                </c:pt>
                <c:pt idx="13">
                  <c:v>1978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'25'!$D$6:$D$20</c:f>
              <c:strCache>
                <c:ptCount val="15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'25'!$J$6:$J$20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12970</c:v>
                </c:pt>
                <c:pt idx="2">
                  <c:v>630</c:v>
                </c:pt>
                <c:pt idx="3">
                  <c:v>2120</c:v>
                </c:pt>
                <c:pt idx="4">
                  <c:v>44200</c:v>
                </c:pt>
                <c:pt idx="5">
                  <c:v>2220</c:v>
                </c:pt>
                <c:pt idx="6">
                  <c:v>570</c:v>
                </c:pt>
                <c:pt idx="7">
                  <c:v>4460</c:v>
                </c:pt>
                <c:pt idx="8">
                  <c:v>8500</c:v>
                </c:pt>
                <c:pt idx="9">
                  <c:v>4500</c:v>
                </c:pt>
                <c:pt idx="10">
                  <c:v>3380</c:v>
                </c:pt>
                <c:pt idx="11">
                  <c:v>4630</c:v>
                </c:pt>
                <c:pt idx="12">
                  <c:v>840</c:v>
                </c:pt>
                <c:pt idx="13">
                  <c:v>1980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474560"/>
        <c:axId val="217294528"/>
      </c:lineChart>
      <c:catAx>
        <c:axId val="21747456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7294528"/>
        <c:crosses val="autoZero"/>
        <c:auto val="1"/>
        <c:lblAlgn val="ctr"/>
        <c:lblOffset val="100"/>
        <c:noMultiLvlLbl val="0"/>
      </c:catAx>
      <c:valAx>
        <c:axId val="21729452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74745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'25'!$AD$6:$AD$20</c:f>
              <c:strCache>
                <c:ptCount val="1"/>
                <c:pt idx="0">
                  <c:v>0% 79% 0% 50% 42% 0% 0% 88% 92% 0% 50% 91% 25% 46%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'25'!$D$6:$D$20</c:f>
              <c:strCache>
                <c:ptCount val="15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'25'!$AD$6:$AD$20</c:f>
              <c:numCache>
                <c:formatCode>0%</c:formatCode>
                <c:ptCount val="15"/>
                <c:pt idx="0">
                  <c:v>0</c:v>
                </c:pt>
                <c:pt idx="1">
                  <c:v>0.79130043690567975</c:v>
                </c:pt>
                <c:pt idx="2">
                  <c:v>0</c:v>
                </c:pt>
                <c:pt idx="3">
                  <c:v>0.49905660377358491</c:v>
                </c:pt>
                <c:pt idx="4">
                  <c:v>0.41628959276018102</c:v>
                </c:pt>
                <c:pt idx="5">
                  <c:v>0</c:v>
                </c:pt>
                <c:pt idx="6">
                  <c:v>0</c:v>
                </c:pt>
                <c:pt idx="7">
                  <c:v>0.875</c:v>
                </c:pt>
                <c:pt idx="8">
                  <c:v>0.91666666666666663</c:v>
                </c:pt>
                <c:pt idx="9">
                  <c:v>0</c:v>
                </c:pt>
                <c:pt idx="10">
                  <c:v>0.49970414201183433</c:v>
                </c:pt>
                <c:pt idx="11">
                  <c:v>0.91488480921526283</c:v>
                </c:pt>
                <c:pt idx="12">
                  <c:v>0.24851190476190477</c:v>
                </c:pt>
                <c:pt idx="13">
                  <c:v>0.45787037037037037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'25'!$D$6:$D$20</c:f>
              <c:strCache>
                <c:ptCount val="15"/>
                <c:pt idx="0">
                  <c:v>STOPPER</c:v>
                </c:pt>
                <c:pt idx="1">
                  <c:v>LATCH</c:v>
                </c:pt>
                <c:pt idx="2">
                  <c:v>COVER</c:v>
                </c:pt>
                <c:pt idx="3">
                  <c:v>STOPPER</c:v>
                </c:pt>
                <c:pt idx="4">
                  <c:v>SHAFT</c:v>
                </c:pt>
                <c:pt idx="5">
                  <c:v>SLIDER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'25'!$AE$6:$AE$20</c:f>
              <c:numCache>
                <c:formatCode>0%</c:formatCode>
                <c:ptCount val="15"/>
                <c:pt idx="0">
                  <c:v>0.37461896843103232</c:v>
                </c:pt>
                <c:pt idx="1">
                  <c:v>0.37461896843103232</c:v>
                </c:pt>
                <c:pt idx="2">
                  <c:v>0.37461896843103232</c:v>
                </c:pt>
                <c:pt idx="3">
                  <c:v>0.37461896843103232</c:v>
                </c:pt>
                <c:pt idx="4">
                  <c:v>0.37461896843103232</c:v>
                </c:pt>
                <c:pt idx="5">
                  <c:v>0.37461896843103232</c:v>
                </c:pt>
                <c:pt idx="6">
                  <c:v>0.37461896843103232</c:v>
                </c:pt>
                <c:pt idx="7">
                  <c:v>0.37461896843103232</c:v>
                </c:pt>
                <c:pt idx="8">
                  <c:v>0.37461896843103232</c:v>
                </c:pt>
                <c:pt idx="9">
                  <c:v>0.37461896843103232</c:v>
                </c:pt>
                <c:pt idx="10">
                  <c:v>0.37461896843103232</c:v>
                </c:pt>
                <c:pt idx="11">
                  <c:v>0.37461896843103232</c:v>
                </c:pt>
                <c:pt idx="12">
                  <c:v>0.37461896843103232</c:v>
                </c:pt>
                <c:pt idx="13">
                  <c:v>0.37461896843103232</c:v>
                </c:pt>
                <c:pt idx="14">
                  <c:v>0.37461896843103232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475072"/>
        <c:axId val="217296256"/>
      </c:lineChart>
      <c:catAx>
        <c:axId val="217475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7296256"/>
        <c:crosses val="autoZero"/>
        <c:auto val="1"/>
        <c:lblAlgn val="ctr"/>
        <c:lblOffset val="100"/>
        <c:noMultiLvlLbl val="0"/>
      </c:catAx>
      <c:valAx>
        <c:axId val="21729625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74750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75584"/>
        <c:axId val="21729856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7475584"/>
        <c:axId val="217298560"/>
      </c:lineChart>
      <c:catAx>
        <c:axId val="217475584"/>
        <c:scaling>
          <c:orientation val="minMax"/>
        </c:scaling>
        <c:delete val="0"/>
        <c:axPos val="b"/>
        <c:majorTickMark val="out"/>
        <c:minorTickMark val="none"/>
        <c:tickLblPos val="nextTo"/>
        <c:crossAx val="217298560"/>
        <c:crosses val="autoZero"/>
        <c:auto val="1"/>
        <c:lblAlgn val="ctr"/>
        <c:lblOffset val="100"/>
        <c:noMultiLvlLbl val="0"/>
      </c:catAx>
      <c:valAx>
        <c:axId val="21729856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7475584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1">
                  <c:v>2503</c:v>
                </c:pt>
                <c:pt idx="3">
                  <c:v>2857</c:v>
                </c:pt>
                <c:pt idx="4">
                  <c:v>128128</c:v>
                </c:pt>
                <c:pt idx="5">
                  <c:v>2237</c:v>
                </c:pt>
                <c:pt idx="7">
                  <c:v>4269</c:v>
                </c:pt>
                <c:pt idx="8">
                  <c:v>4993</c:v>
                </c:pt>
                <c:pt idx="11">
                  <c:v>1747</c:v>
                </c:pt>
                <c:pt idx="12">
                  <c:v>297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2510</c:v>
                </c:pt>
                <c:pt idx="2">
                  <c:v>630</c:v>
                </c:pt>
                <c:pt idx="3">
                  <c:v>2860</c:v>
                </c:pt>
                <c:pt idx="4">
                  <c:v>128130</c:v>
                </c:pt>
                <c:pt idx="5">
                  <c:v>2240</c:v>
                </c:pt>
                <c:pt idx="6">
                  <c:v>570</c:v>
                </c:pt>
                <c:pt idx="7">
                  <c:v>4270</c:v>
                </c:pt>
                <c:pt idx="8">
                  <c:v>5000</c:v>
                </c:pt>
                <c:pt idx="9">
                  <c:v>4500</c:v>
                </c:pt>
                <c:pt idx="10">
                  <c:v>3380</c:v>
                </c:pt>
                <c:pt idx="11">
                  <c:v>1750</c:v>
                </c:pt>
                <c:pt idx="12">
                  <c:v>300</c:v>
                </c:pt>
                <c:pt idx="13">
                  <c:v>1980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1808"/>
        <c:axId val="16867904"/>
      </c:lineChart>
      <c:catAx>
        <c:axId val="1695180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6867904"/>
        <c:crosses val="autoZero"/>
        <c:auto val="1"/>
        <c:lblAlgn val="ctr"/>
        <c:lblOffset val="100"/>
        <c:noMultiLvlLbl val="0"/>
      </c:catAx>
      <c:valAx>
        <c:axId val="16867904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69518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"/>
                <c:pt idx="0">
                  <c:v>0% 75% 0% 79% 92% 58% 0% 100% 100% 0% 0% 37% 12%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0.7479083665338645</c:v>
                </c:pt>
                <c:pt idx="2">
                  <c:v>0</c:v>
                </c:pt>
                <c:pt idx="3">
                  <c:v>0.790836247086247</c:v>
                </c:pt>
                <c:pt idx="4">
                  <c:v>0.91665235828195324</c:v>
                </c:pt>
                <c:pt idx="5">
                  <c:v>0.5825520833333333</c:v>
                </c:pt>
                <c:pt idx="6">
                  <c:v>0</c:v>
                </c:pt>
                <c:pt idx="7">
                  <c:v>0.99976580796252923</c:v>
                </c:pt>
                <c:pt idx="8">
                  <c:v>0.99860000000000004</c:v>
                </c:pt>
                <c:pt idx="9">
                  <c:v>0</c:v>
                </c:pt>
                <c:pt idx="10">
                  <c:v>0</c:v>
                </c:pt>
                <c:pt idx="11">
                  <c:v>0.37435714285714289</c:v>
                </c:pt>
                <c:pt idx="12">
                  <c:v>0.12375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0.368961467070338</c:v>
                </c:pt>
                <c:pt idx="1">
                  <c:v>0.368961467070338</c:v>
                </c:pt>
                <c:pt idx="2">
                  <c:v>0.368961467070338</c:v>
                </c:pt>
                <c:pt idx="3">
                  <c:v>0.368961467070338</c:v>
                </c:pt>
                <c:pt idx="4">
                  <c:v>0.368961467070338</c:v>
                </c:pt>
                <c:pt idx="5">
                  <c:v>0.368961467070338</c:v>
                </c:pt>
                <c:pt idx="6">
                  <c:v>0.368961467070338</c:v>
                </c:pt>
                <c:pt idx="7">
                  <c:v>0.368961467070338</c:v>
                </c:pt>
                <c:pt idx="8">
                  <c:v>0.368961467070338</c:v>
                </c:pt>
                <c:pt idx="9">
                  <c:v>0.368961467070338</c:v>
                </c:pt>
                <c:pt idx="10">
                  <c:v>0.368961467070338</c:v>
                </c:pt>
                <c:pt idx="11">
                  <c:v>0.368961467070338</c:v>
                </c:pt>
                <c:pt idx="12">
                  <c:v>0.368961467070338</c:v>
                </c:pt>
                <c:pt idx="13">
                  <c:v>0.368961467070338</c:v>
                </c:pt>
                <c:pt idx="14">
                  <c:v>0.368961467070338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2832"/>
        <c:axId val="16869632"/>
      </c:lineChart>
      <c:catAx>
        <c:axId val="16952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6869632"/>
        <c:crosses val="autoZero"/>
        <c:auto val="1"/>
        <c:lblAlgn val="ctr"/>
        <c:lblOffset val="100"/>
        <c:noMultiLvlLbl val="0"/>
      </c:catAx>
      <c:valAx>
        <c:axId val="1686963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69528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'27'!$L$6:$L$20</c:f>
              <c:numCache>
                <c:formatCode>_(* #,##0_);_(* \(#,##0\);_(* "-"_);_(@_)</c:formatCode>
                <c:ptCount val="15"/>
                <c:pt idx="1">
                  <c:v>2503</c:v>
                </c:pt>
                <c:pt idx="3">
                  <c:v>2857</c:v>
                </c:pt>
                <c:pt idx="4">
                  <c:v>128128</c:v>
                </c:pt>
                <c:pt idx="5">
                  <c:v>2237</c:v>
                </c:pt>
                <c:pt idx="7">
                  <c:v>4269</c:v>
                </c:pt>
                <c:pt idx="8">
                  <c:v>4993</c:v>
                </c:pt>
                <c:pt idx="11">
                  <c:v>1747</c:v>
                </c:pt>
                <c:pt idx="12">
                  <c:v>297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'27'!$J$6:$J$20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2510</c:v>
                </c:pt>
                <c:pt idx="2">
                  <c:v>630</c:v>
                </c:pt>
                <c:pt idx="3">
                  <c:v>2860</c:v>
                </c:pt>
                <c:pt idx="4">
                  <c:v>128130</c:v>
                </c:pt>
                <c:pt idx="5">
                  <c:v>2240</c:v>
                </c:pt>
                <c:pt idx="6">
                  <c:v>570</c:v>
                </c:pt>
                <c:pt idx="7">
                  <c:v>4270</c:v>
                </c:pt>
                <c:pt idx="8">
                  <c:v>5000</c:v>
                </c:pt>
                <c:pt idx="9">
                  <c:v>4500</c:v>
                </c:pt>
                <c:pt idx="10">
                  <c:v>3380</c:v>
                </c:pt>
                <c:pt idx="11">
                  <c:v>1750</c:v>
                </c:pt>
                <c:pt idx="12">
                  <c:v>300</c:v>
                </c:pt>
                <c:pt idx="13">
                  <c:v>1980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522752"/>
        <c:axId val="16871936"/>
      </c:lineChart>
      <c:catAx>
        <c:axId val="216522752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6871936"/>
        <c:crosses val="autoZero"/>
        <c:auto val="1"/>
        <c:lblAlgn val="ctr"/>
        <c:lblOffset val="100"/>
        <c:noMultiLvlLbl val="0"/>
      </c:catAx>
      <c:valAx>
        <c:axId val="16871936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65227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'27'!$AD$6:$AD$20</c:f>
              <c:strCache>
                <c:ptCount val="1"/>
                <c:pt idx="0">
                  <c:v>0% 75% 0% 79% 92% 58% 0% 100% 100% 0% 0% 37% 12% 0%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'27'!$AD$6:$AD$20</c:f>
              <c:numCache>
                <c:formatCode>0%</c:formatCode>
                <c:ptCount val="15"/>
                <c:pt idx="0">
                  <c:v>0</c:v>
                </c:pt>
                <c:pt idx="1">
                  <c:v>0.7479083665338645</c:v>
                </c:pt>
                <c:pt idx="2">
                  <c:v>0</c:v>
                </c:pt>
                <c:pt idx="3">
                  <c:v>0.790836247086247</c:v>
                </c:pt>
                <c:pt idx="4">
                  <c:v>0.91665235828195324</c:v>
                </c:pt>
                <c:pt idx="5">
                  <c:v>0.5825520833333333</c:v>
                </c:pt>
                <c:pt idx="6">
                  <c:v>0</c:v>
                </c:pt>
                <c:pt idx="7">
                  <c:v>0.99976580796252923</c:v>
                </c:pt>
                <c:pt idx="8">
                  <c:v>0.99860000000000004</c:v>
                </c:pt>
                <c:pt idx="9">
                  <c:v>0</c:v>
                </c:pt>
                <c:pt idx="10">
                  <c:v>0</c:v>
                </c:pt>
                <c:pt idx="11">
                  <c:v>0.37435714285714289</c:v>
                </c:pt>
                <c:pt idx="12">
                  <c:v>0.12375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'27'!$D$6:$D$20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SHAFT</c:v>
                </c:pt>
                <c:pt idx="5">
                  <c:v>ACTUATOR</c:v>
                </c:pt>
                <c:pt idx="6">
                  <c:v>BODY</c:v>
                </c:pt>
                <c:pt idx="7">
                  <c:v>BODY</c:v>
                </c:pt>
                <c:pt idx="8">
                  <c:v>COVER</c:v>
                </c:pt>
                <c:pt idx="10">
                  <c:v>STOPPER</c:v>
                </c:pt>
                <c:pt idx="11">
                  <c:v>SAM</c:v>
                </c:pt>
                <c:pt idx="12">
                  <c:v>TOP</c:v>
                </c:pt>
                <c:pt idx="13">
                  <c:v>STOPPER</c:v>
                </c:pt>
                <c:pt idx="14">
                  <c:v>72P</c:v>
                </c:pt>
              </c:strCache>
            </c:strRef>
          </c:cat>
          <c:val>
            <c:numRef>
              <c:f>'27'!$AE$6:$AE$20</c:f>
              <c:numCache>
                <c:formatCode>0%</c:formatCode>
                <c:ptCount val="15"/>
                <c:pt idx="0">
                  <c:v>0.368961467070338</c:v>
                </c:pt>
                <c:pt idx="1">
                  <c:v>0.368961467070338</c:v>
                </c:pt>
                <c:pt idx="2">
                  <c:v>0.368961467070338</c:v>
                </c:pt>
                <c:pt idx="3">
                  <c:v>0.368961467070338</c:v>
                </c:pt>
                <c:pt idx="4">
                  <c:v>0.368961467070338</c:v>
                </c:pt>
                <c:pt idx="5">
                  <c:v>0.368961467070338</c:v>
                </c:pt>
                <c:pt idx="6">
                  <c:v>0.368961467070338</c:v>
                </c:pt>
                <c:pt idx="7">
                  <c:v>0.368961467070338</c:v>
                </c:pt>
                <c:pt idx="8">
                  <c:v>0.368961467070338</c:v>
                </c:pt>
                <c:pt idx="9">
                  <c:v>0.368961467070338</c:v>
                </c:pt>
                <c:pt idx="10">
                  <c:v>0.368961467070338</c:v>
                </c:pt>
                <c:pt idx="11">
                  <c:v>0.368961467070338</c:v>
                </c:pt>
                <c:pt idx="12">
                  <c:v>0.368961467070338</c:v>
                </c:pt>
                <c:pt idx="13">
                  <c:v>0.368961467070338</c:v>
                </c:pt>
                <c:pt idx="14">
                  <c:v>0.368961467070338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524288"/>
        <c:axId val="16873664"/>
      </c:lineChart>
      <c:catAx>
        <c:axId val="2165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6873664"/>
        <c:crosses val="autoZero"/>
        <c:auto val="1"/>
        <c:lblAlgn val="ctr"/>
        <c:lblOffset val="100"/>
        <c:noMultiLvlLbl val="0"/>
      </c:catAx>
      <c:valAx>
        <c:axId val="168736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65242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524800"/>
        <c:axId val="2165315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524800"/>
        <c:axId val="216531520"/>
      </c:lineChart>
      <c:catAx>
        <c:axId val="216524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6531520"/>
        <c:crosses val="autoZero"/>
        <c:auto val="1"/>
        <c:lblAlgn val="ctr"/>
        <c:lblOffset val="100"/>
        <c:noMultiLvlLbl val="0"/>
      </c:catAx>
      <c:valAx>
        <c:axId val="2165315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6524800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BASE/UNDER</c:v>
                </c:pt>
                <c:pt idx="8">
                  <c:v>COVER</c:v>
                </c:pt>
                <c:pt idx="10">
                  <c:v>COVER</c:v>
                </c:pt>
                <c:pt idx="11">
                  <c:v>LEAD IN</c:v>
                </c:pt>
                <c:pt idx="12">
                  <c:v>TOP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3695</c:v>
                </c:pt>
                <c:pt idx="3">
                  <c:v>3325</c:v>
                </c:pt>
                <c:pt idx="4">
                  <c:v>3698</c:v>
                </c:pt>
                <c:pt idx="7">
                  <c:v>1424</c:v>
                </c:pt>
                <c:pt idx="8">
                  <c:v>5196</c:v>
                </c:pt>
                <c:pt idx="10">
                  <c:v>3264</c:v>
                </c:pt>
                <c:pt idx="11">
                  <c:v>4776</c:v>
                </c:pt>
                <c:pt idx="12">
                  <c:v>922</c:v>
                </c:pt>
                <c:pt idx="13">
                  <c:v>2783</c:v>
                </c:pt>
                <c:pt idx="14">
                  <c:v>3980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BASE/UNDER</c:v>
                </c:pt>
                <c:pt idx="8">
                  <c:v>COVER</c:v>
                </c:pt>
                <c:pt idx="10">
                  <c:v>COVER</c:v>
                </c:pt>
                <c:pt idx="11">
                  <c:v>LEAD IN</c:v>
                </c:pt>
                <c:pt idx="12">
                  <c:v>TOP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3700</c:v>
                </c:pt>
                <c:pt idx="2">
                  <c:v>630</c:v>
                </c:pt>
                <c:pt idx="3">
                  <c:v>3330</c:v>
                </c:pt>
                <c:pt idx="4">
                  <c:v>3700</c:v>
                </c:pt>
                <c:pt idx="5">
                  <c:v>2240</c:v>
                </c:pt>
                <c:pt idx="6">
                  <c:v>570</c:v>
                </c:pt>
                <c:pt idx="7">
                  <c:v>1430</c:v>
                </c:pt>
                <c:pt idx="8">
                  <c:v>5200</c:v>
                </c:pt>
                <c:pt idx="9">
                  <c:v>4500</c:v>
                </c:pt>
                <c:pt idx="10">
                  <c:v>3270</c:v>
                </c:pt>
                <c:pt idx="11">
                  <c:v>4780</c:v>
                </c:pt>
                <c:pt idx="12">
                  <c:v>930</c:v>
                </c:pt>
                <c:pt idx="13">
                  <c:v>2790</c:v>
                </c:pt>
                <c:pt idx="14">
                  <c:v>3980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86784"/>
        <c:axId val="216534400"/>
      </c:lineChart>
      <c:catAx>
        <c:axId val="21848678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6534400"/>
        <c:crosses val="autoZero"/>
        <c:auto val="1"/>
        <c:lblAlgn val="ctr"/>
        <c:lblOffset val="100"/>
        <c:noMultiLvlLbl val="0"/>
      </c:catAx>
      <c:valAx>
        <c:axId val="2165344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848678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"/>
                <c:pt idx="0">
                  <c:v>0% 92% 0% 83% 87% 0% 0% 41% 100% 0% 79% 100% 25% 71%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BASE/UNDER</c:v>
                </c:pt>
                <c:pt idx="8">
                  <c:v>COVER</c:v>
                </c:pt>
                <c:pt idx="10">
                  <c:v>COVER</c:v>
                </c:pt>
                <c:pt idx="11">
                  <c:v>LEAD IN</c:v>
                </c:pt>
                <c:pt idx="12">
                  <c:v>TOP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0.91542792792792793</c:v>
                </c:pt>
                <c:pt idx="2">
                  <c:v>0</c:v>
                </c:pt>
                <c:pt idx="3">
                  <c:v>0.83208208208208212</c:v>
                </c:pt>
                <c:pt idx="4">
                  <c:v>0.874527027027027</c:v>
                </c:pt>
                <c:pt idx="5">
                  <c:v>0</c:v>
                </c:pt>
                <c:pt idx="6">
                  <c:v>0</c:v>
                </c:pt>
                <c:pt idx="7">
                  <c:v>0.41491841491841491</c:v>
                </c:pt>
                <c:pt idx="8">
                  <c:v>0.99923076923076926</c:v>
                </c:pt>
                <c:pt idx="9">
                  <c:v>0</c:v>
                </c:pt>
                <c:pt idx="10">
                  <c:v>0.79021406727828747</c:v>
                </c:pt>
                <c:pt idx="11">
                  <c:v>0.99916317991631798</c:v>
                </c:pt>
                <c:pt idx="12">
                  <c:v>0.24784946236559141</c:v>
                </c:pt>
                <c:pt idx="13">
                  <c:v>0.70655615292712071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BASE/UNDER</c:v>
                </c:pt>
                <c:pt idx="8">
                  <c:v>COVER</c:v>
                </c:pt>
                <c:pt idx="10">
                  <c:v>COVER</c:v>
                </c:pt>
                <c:pt idx="11">
                  <c:v>LEAD IN</c:v>
                </c:pt>
                <c:pt idx="12">
                  <c:v>TOP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0.51310905002268037</c:v>
                </c:pt>
                <c:pt idx="1">
                  <c:v>0.51310905002268037</c:v>
                </c:pt>
                <c:pt idx="2">
                  <c:v>0.51310905002268037</c:v>
                </c:pt>
                <c:pt idx="3">
                  <c:v>0.51310905002268037</c:v>
                </c:pt>
                <c:pt idx="4">
                  <c:v>0.51310905002268037</c:v>
                </c:pt>
                <c:pt idx="5">
                  <c:v>0.51310905002268037</c:v>
                </c:pt>
                <c:pt idx="6">
                  <c:v>0.51310905002268037</c:v>
                </c:pt>
                <c:pt idx="7">
                  <c:v>0.51310905002268037</c:v>
                </c:pt>
                <c:pt idx="8">
                  <c:v>0.51310905002268037</c:v>
                </c:pt>
                <c:pt idx="9">
                  <c:v>0.51310905002268037</c:v>
                </c:pt>
                <c:pt idx="10">
                  <c:v>0.51310905002268037</c:v>
                </c:pt>
                <c:pt idx="11">
                  <c:v>0.51310905002268037</c:v>
                </c:pt>
                <c:pt idx="12">
                  <c:v>0.51310905002268037</c:v>
                </c:pt>
                <c:pt idx="13">
                  <c:v>0.51310905002268037</c:v>
                </c:pt>
                <c:pt idx="14">
                  <c:v>0.51310905002268037</c:v>
                </c:pt>
                <c:pt idx="15">
                  <c:v>0.51310905002268037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488320"/>
        <c:axId val="216536128"/>
      </c:lineChart>
      <c:catAx>
        <c:axId val="218488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6536128"/>
        <c:crosses val="autoZero"/>
        <c:auto val="1"/>
        <c:lblAlgn val="ctr"/>
        <c:lblOffset val="100"/>
        <c:noMultiLvlLbl val="0"/>
      </c:catAx>
      <c:valAx>
        <c:axId val="216536128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84883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'28'!$D$6:$D$21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BASE/UNDER</c:v>
                </c:pt>
                <c:pt idx="8">
                  <c:v>COVER</c:v>
                </c:pt>
                <c:pt idx="10">
                  <c:v>COVER</c:v>
                </c:pt>
                <c:pt idx="11">
                  <c:v>LEAD IN</c:v>
                </c:pt>
                <c:pt idx="12">
                  <c:v>TOP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'28'!$L$6:$L$21</c:f>
              <c:numCache>
                <c:formatCode>_(* #,##0_);_(* \(#,##0\);_(* "-"_);_(@_)</c:formatCode>
                <c:ptCount val="16"/>
                <c:pt idx="0">
                  <c:v>0</c:v>
                </c:pt>
                <c:pt idx="1">
                  <c:v>3695</c:v>
                </c:pt>
                <c:pt idx="3">
                  <c:v>3325</c:v>
                </c:pt>
                <c:pt idx="4">
                  <c:v>3698</c:v>
                </c:pt>
                <c:pt idx="7">
                  <c:v>1424</c:v>
                </c:pt>
                <c:pt idx="8">
                  <c:v>5196</c:v>
                </c:pt>
                <c:pt idx="10">
                  <c:v>3264</c:v>
                </c:pt>
                <c:pt idx="11">
                  <c:v>4776</c:v>
                </c:pt>
                <c:pt idx="12">
                  <c:v>922</c:v>
                </c:pt>
                <c:pt idx="13">
                  <c:v>2783</c:v>
                </c:pt>
                <c:pt idx="14">
                  <c:v>3980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'28'!$D$6:$D$21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BASE/UNDER</c:v>
                </c:pt>
                <c:pt idx="8">
                  <c:v>COVER</c:v>
                </c:pt>
                <c:pt idx="10">
                  <c:v>COVER</c:v>
                </c:pt>
                <c:pt idx="11">
                  <c:v>LEAD IN</c:v>
                </c:pt>
                <c:pt idx="12">
                  <c:v>TOP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'28'!$J$6:$J$21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3700</c:v>
                </c:pt>
                <c:pt idx="2">
                  <c:v>630</c:v>
                </c:pt>
                <c:pt idx="3">
                  <c:v>3330</c:v>
                </c:pt>
                <c:pt idx="4">
                  <c:v>3700</c:v>
                </c:pt>
                <c:pt idx="5">
                  <c:v>2240</c:v>
                </c:pt>
                <c:pt idx="6">
                  <c:v>570</c:v>
                </c:pt>
                <c:pt idx="7">
                  <c:v>1430</c:v>
                </c:pt>
                <c:pt idx="8">
                  <c:v>5200</c:v>
                </c:pt>
                <c:pt idx="9">
                  <c:v>4500</c:v>
                </c:pt>
                <c:pt idx="10">
                  <c:v>3270</c:v>
                </c:pt>
                <c:pt idx="11">
                  <c:v>4780</c:v>
                </c:pt>
                <c:pt idx="12">
                  <c:v>930</c:v>
                </c:pt>
                <c:pt idx="13">
                  <c:v>2790</c:v>
                </c:pt>
                <c:pt idx="14">
                  <c:v>3980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558464"/>
        <c:axId val="216538432"/>
      </c:lineChart>
      <c:catAx>
        <c:axId val="21855846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6538432"/>
        <c:crosses val="autoZero"/>
        <c:auto val="1"/>
        <c:lblAlgn val="ctr"/>
        <c:lblOffset val="100"/>
        <c:noMultiLvlLbl val="0"/>
      </c:catAx>
      <c:valAx>
        <c:axId val="216538432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855846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'28'!$AD$6:$AD$21</c:f>
              <c:strCache>
                <c:ptCount val="1"/>
                <c:pt idx="0">
                  <c:v>0% 92% 0% 83% 87% 0% 0% 41% 100% 0% 79% 100% 25% 71% 92%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'28'!$D$6:$D$21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BASE/UNDER</c:v>
                </c:pt>
                <c:pt idx="8">
                  <c:v>COVER</c:v>
                </c:pt>
                <c:pt idx="10">
                  <c:v>COVER</c:v>
                </c:pt>
                <c:pt idx="11">
                  <c:v>LEAD IN</c:v>
                </c:pt>
                <c:pt idx="12">
                  <c:v>TOP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'28'!$AD$6:$AD$21</c:f>
              <c:numCache>
                <c:formatCode>0%</c:formatCode>
                <c:ptCount val="16"/>
                <c:pt idx="0">
                  <c:v>0</c:v>
                </c:pt>
                <c:pt idx="1">
                  <c:v>0.91542792792792793</c:v>
                </c:pt>
                <c:pt idx="2">
                  <c:v>0</c:v>
                </c:pt>
                <c:pt idx="3">
                  <c:v>0.83208208208208212</c:v>
                </c:pt>
                <c:pt idx="4">
                  <c:v>0.874527027027027</c:v>
                </c:pt>
                <c:pt idx="5">
                  <c:v>0</c:v>
                </c:pt>
                <c:pt idx="6">
                  <c:v>0</c:v>
                </c:pt>
                <c:pt idx="7">
                  <c:v>0.41491841491841491</c:v>
                </c:pt>
                <c:pt idx="8">
                  <c:v>0.99923076923076926</c:v>
                </c:pt>
                <c:pt idx="9">
                  <c:v>0</c:v>
                </c:pt>
                <c:pt idx="10">
                  <c:v>0.79021406727828747</c:v>
                </c:pt>
                <c:pt idx="11">
                  <c:v>0.99916317991631798</c:v>
                </c:pt>
                <c:pt idx="12">
                  <c:v>0.24784946236559141</c:v>
                </c:pt>
                <c:pt idx="13">
                  <c:v>0.70655615292712071</c:v>
                </c:pt>
                <c:pt idx="14">
                  <c:v>0.91666666666666663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'28'!$D$6:$D$21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BASE/UNDER</c:v>
                </c:pt>
                <c:pt idx="8">
                  <c:v>COVER</c:v>
                </c:pt>
                <c:pt idx="10">
                  <c:v>COVER</c:v>
                </c:pt>
                <c:pt idx="11">
                  <c:v>LEAD IN</c:v>
                </c:pt>
                <c:pt idx="12">
                  <c:v>TOP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'28'!$AE$6:$AE$21</c:f>
              <c:numCache>
                <c:formatCode>0%</c:formatCode>
                <c:ptCount val="16"/>
                <c:pt idx="0">
                  <c:v>0.51310905002268037</c:v>
                </c:pt>
                <c:pt idx="1">
                  <c:v>0.51310905002268037</c:v>
                </c:pt>
                <c:pt idx="2">
                  <c:v>0.51310905002268037</c:v>
                </c:pt>
                <c:pt idx="3">
                  <c:v>0.51310905002268037</c:v>
                </c:pt>
                <c:pt idx="4">
                  <c:v>0.51310905002268037</c:v>
                </c:pt>
                <c:pt idx="5">
                  <c:v>0.51310905002268037</c:v>
                </c:pt>
                <c:pt idx="6">
                  <c:v>0.51310905002268037</c:v>
                </c:pt>
                <c:pt idx="7">
                  <c:v>0.51310905002268037</c:v>
                </c:pt>
                <c:pt idx="8">
                  <c:v>0.51310905002268037</c:v>
                </c:pt>
                <c:pt idx="9">
                  <c:v>0.51310905002268037</c:v>
                </c:pt>
                <c:pt idx="10">
                  <c:v>0.51310905002268037</c:v>
                </c:pt>
                <c:pt idx="11">
                  <c:v>0.51310905002268037</c:v>
                </c:pt>
                <c:pt idx="12">
                  <c:v>0.51310905002268037</c:v>
                </c:pt>
                <c:pt idx="13">
                  <c:v>0.51310905002268037</c:v>
                </c:pt>
                <c:pt idx="14">
                  <c:v>0.51310905002268037</c:v>
                </c:pt>
                <c:pt idx="15">
                  <c:v>0.51310905002268037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559488"/>
        <c:axId val="218662016"/>
      </c:lineChart>
      <c:catAx>
        <c:axId val="218559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8662016"/>
        <c:crosses val="autoZero"/>
        <c:auto val="1"/>
        <c:lblAlgn val="ctr"/>
        <c:lblOffset val="100"/>
        <c:noMultiLvlLbl val="0"/>
      </c:catAx>
      <c:valAx>
        <c:axId val="21866201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85594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6525312"/>
        <c:axId val="2186643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6525312"/>
        <c:axId val="218664320"/>
      </c:lineChart>
      <c:catAx>
        <c:axId val="216525312"/>
        <c:scaling>
          <c:orientation val="minMax"/>
        </c:scaling>
        <c:delete val="0"/>
        <c:axPos val="b"/>
        <c:majorTickMark val="out"/>
        <c:minorTickMark val="none"/>
        <c:tickLblPos val="nextTo"/>
        <c:crossAx val="218664320"/>
        <c:crosses val="autoZero"/>
        <c:auto val="1"/>
        <c:lblAlgn val="ctr"/>
        <c:lblOffset val="100"/>
        <c:noMultiLvlLbl val="0"/>
      </c:catAx>
      <c:valAx>
        <c:axId val="2186643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6525312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1">
                  <c:v>2071</c:v>
                </c:pt>
                <c:pt idx="3">
                  <c:v>4387</c:v>
                </c:pt>
                <c:pt idx="4">
                  <c:v>1484</c:v>
                </c:pt>
                <c:pt idx="7">
                  <c:v>3627</c:v>
                </c:pt>
                <c:pt idx="8">
                  <c:v>5026</c:v>
                </c:pt>
                <c:pt idx="10">
                  <c:v>489</c:v>
                </c:pt>
                <c:pt idx="11">
                  <c:v>2929</c:v>
                </c:pt>
                <c:pt idx="12">
                  <c:v>3365</c:v>
                </c:pt>
                <c:pt idx="13">
                  <c:v>1810</c:v>
                </c:pt>
                <c:pt idx="14">
                  <c:v>3244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2080</c:v>
                </c:pt>
                <c:pt idx="2">
                  <c:v>630</c:v>
                </c:pt>
                <c:pt idx="3">
                  <c:v>4390</c:v>
                </c:pt>
                <c:pt idx="4">
                  <c:v>1490</c:v>
                </c:pt>
                <c:pt idx="5">
                  <c:v>2240</c:v>
                </c:pt>
                <c:pt idx="6">
                  <c:v>570</c:v>
                </c:pt>
                <c:pt idx="7">
                  <c:v>3630</c:v>
                </c:pt>
                <c:pt idx="8">
                  <c:v>5030</c:v>
                </c:pt>
                <c:pt idx="9">
                  <c:v>4500</c:v>
                </c:pt>
                <c:pt idx="10">
                  <c:v>490</c:v>
                </c:pt>
                <c:pt idx="11">
                  <c:v>2930</c:v>
                </c:pt>
                <c:pt idx="12">
                  <c:v>3370</c:v>
                </c:pt>
                <c:pt idx="13">
                  <c:v>1810</c:v>
                </c:pt>
                <c:pt idx="14">
                  <c:v>3250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007488"/>
        <c:axId val="218667200"/>
      </c:lineChart>
      <c:catAx>
        <c:axId val="2190074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8667200"/>
        <c:crosses val="autoZero"/>
        <c:auto val="1"/>
        <c:lblAlgn val="ctr"/>
        <c:lblOffset val="100"/>
        <c:noMultiLvlLbl val="0"/>
      </c:catAx>
      <c:valAx>
        <c:axId val="21866720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90074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"/>
                <c:pt idx="0">
                  <c:v>0% 46% 0% 92% 33% 0% 0% 79% 100% 0% 12% 67% 62% 33% 75%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0.45635016025641023</c:v>
                </c:pt>
                <c:pt idx="2">
                  <c:v>0</c:v>
                </c:pt>
                <c:pt idx="3">
                  <c:v>0.91604024297646158</c:v>
                </c:pt>
                <c:pt idx="4">
                  <c:v>0.33199105145413865</c:v>
                </c:pt>
                <c:pt idx="5">
                  <c:v>0</c:v>
                </c:pt>
                <c:pt idx="6">
                  <c:v>0</c:v>
                </c:pt>
                <c:pt idx="7">
                  <c:v>0.79101239669421486</c:v>
                </c:pt>
                <c:pt idx="8">
                  <c:v>0.99920477137176933</c:v>
                </c:pt>
                <c:pt idx="9">
                  <c:v>0</c:v>
                </c:pt>
                <c:pt idx="10">
                  <c:v>0.12474489795918367</c:v>
                </c:pt>
                <c:pt idx="11">
                  <c:v>0.66643913538111488</c:v>
                </c:pt>
                <c:pt idx="12">
                  <c:v>0.62407270029673589</c:v>
                </c:pt>
                <c:pt idx="13">
                  <c:v>0.33333333333333331</c:v>
                </c:pt>
                <c:pt idx="14">
                  <c:v>0.74861538461538468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0.39945360495591647</c:v>
                </c:pt>
                <c:pt idx="1">
                  <c:v>0.39945360495591647</c:v>
                </c:pt>
                <c:pt idx="2">
                  <c:v>0.39945360495591647</c:v>
                </c:pt>
                <c:pt idx="3">
                  <c:v>0.39945360495591647</c:v>
                </c:pt>
                <c:pt idx="4">
                  <c:v>0.39945360495591647</c:v>
                </c:pt>
                <c:pt idx="5">
                  <c:v>0.39945360495591647</c:v>
                </c:pt>
                <c:pt idx="6">
                  <c:v>0.39945360495591647</c:v>
                </c:pt>
                <c:pt idx="7">
                  <c:v>0.39945360495591647</c:v>
                </c:pt>
                <c:pt idx="8">
                  <c:v>0.39945360495591647</c:v>
                </c:pt>
                <c:pt idx="9">
                  <c:v>0.39945360495591647</c:v>
                </c:pt>
                <c:pt idx="10">
                  <c:v>0.39945360495591647</c:v>
                </c:pt>
                <c:pt idx="11">
                  <c:v>0.39945360495591647</c:v>
                </c:pt>
                <c:pt idx="12">
                  <c:v>0.39945360495591647</c:v>
                </c:pt>
                <c:pt idx="13">
                  <c:v>0.39945360495591647</c:v>
                </c:pt>
                <c:pt idx="14">
                  <c:v>0.39945360495591647</c:v>
                </c:pt>
                <c:pt idx="15">
                  <c:v>0.39945360495591647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017728"/>
        <c:axId val="216776704"/>
      </c:lineChart>
      <c:catAx>
        <c:axId val="219017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6776704"/>
        <c:crosses val="autoZero"/>
        <c:auto val="1"/>
        <c:lblAlgn val="ctr"/>
        <c:lblOffset val="100"/>
        <c:noMultiLvlLbl val="0"/>
      </c:catAx>
      <c:valAx>
        <c:axId val="21677670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90177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'29'!$D$6:$D$21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'29'!$L$6:$L$21</c:f>
              <c:numCache>
                <c:formatCode>_(* #,##0_);_(* \(#,##0\);_(* "-"_);_(@_)</c:formatCode>
                <c:ptCount val="16"/>
                <c:pt idx="1">
                  <c:v>2071</c:v>
                </c:pt>
                <c:pt idx="3">
                  <c:v>4387</c:v>
                </c:pt>
                <c:pt idx="4">
                  <c:v>1484</c:v>
                </c:pt>
                <c:pt idx="7">
                  <c:v>3627</c:v>
                </c:pt>
                <c:pt idx="8">
                  <c:v>5026</c:v>
                </c:pt>
                <c:pt idx="10">
                  <c:v>489</c:v>
                </c:pt>
                <c:pt idx="11">
                  <c:v>2929</c:v>
                </c:pt>
                <c:pt idx="12">
                  <c:v>3365</c:v>
                </c:pt>
                <c:pt idx="13">
                  <c:v>1810</c:v>
                </c:pt>
                <c:pt idx="14">
                  <c:v>3244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'29'!$D$6:$D$21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'29'!$J$6:$J$21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2080</c:v>
                </c:pt>
                <c:pt idx="2">
                  <c:v>630</c:v>
                </c:pt>
                <c:pt idx="3">
                  <c:v>4390</c:v>
                </c:pt>
                <c:pt idx="4">
                  <c:v>1490</c:v>
                </c:pt>
                <c:pt idx="5">
                  <c:v>2240</c:v>
                </c:pt>
                <c:pt idx="6">
                  <c:v>570</c:v>
                </c:pt>
                <c:pt idx="7">
                  <c:v>3630</c:v>
                </c:pt>
                <c:pt idx="8">
                  <c:v>5030</c:v>
                </c:pt>
                <c:pt idx="9">
                  <c:v>4500</c:v>
                </c:pt>
                <c:pt idx="10">
                  <c:v>490</c:v>
                </c:pt>
                <c:pt idx="11">
                  <c:v>2930</c:v>
                </c:pt>
                <c:pt idx="12">
                  <c:v>3370</c:v>
                </c:pt>
                <c:pt idx="13">
                  <c:v>1810</c:v>
                </c:pt>
                <c:pt idx="14">
                  <c:v>3250</c:v>
                </c:pt>
                <c:pt idx="15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018240"/>
        <c:axId val="216779008"/>
      </c:lineChart>
      <c:catAx>
        <c:axId val="21901824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16779008"/>
        <c:crosses val="autoZero"/>
        <c:auto val="1"/>
        <c:lblAlgn val="ctr"/>
        <c:lblOffset val="100"/>
        <c:noMultiLvlLbl val="0"/>
      </c:catAx>
      <c:valAx>
        <c:axId val="21677900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9018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'29'!$AD$6:$AD$21</c:f>
              <c:strCache>
                <c:ptCount val="1"/>
                <c:pt idx="0">
                  <c:v>0% 46% 0% 92% 33% 0% 0% 79% 100% 0% 12% 67% 62% 33% 75% 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'29'!$D$6:$D$21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'29'!$AD$6:$AD$21</c:f>
              <c:numCache>
                <c:formatCode>0%</c:formatCode>
                <c:ptCount val="16"/>
                <c:pt idx="0">
                  <c:v>0</c:v>
                </c:pt>
                <c:pt idx="1">
                  <c:v>0.45635016025641023</c:v>
                </c:pt>
                <c:pt idx="2">
                  <c:v>0</c:v>
                </c:pt>
                <c:pt idx="3">
                  <c:v>0.91604024297646158</c:v>
                </c:pt>
                <c:pt idx="4">
                  <c:v>0.33199105145413865</c:v>
                </c:pt>
                <c:pt idx="5">
                  <c:v>0</c:v>
                </c:pt>
                <c:pt idx="6">
                  <c:v>0</c:v>
                </c:pt>
                <c:pt idx="7">
                  <c:v>0.79101239669421486</c:v>
                </c:pt>
                <c:pt idx="8">
                  <c:v>0.99920477137176933</c:v>
                </c:pt>
                <c:pt idx="9">
                  <c:v>0</c:v>
                </c:pt>
                <c:pt idx="10">
                  <c:v>0.12474489795918367</c:v>
                </c:pt>
                <c:pt idx="11">
                  <c:v>0.66643913538111488</c:v>
                </c:pt>
                <c:pt idx="12">
                  <c:v>0.62407270029673589</c:v>
                </c:pt>
                <c:pt idx="13">
                  <c:v>0.33333333333333331</c:v>
                </c:pt>
                <c:pt idx="14">
                  <c:v>0.74861538461538468</c:v>
                </c:pt>
                <c:pt idx="15">
                  <c:v>0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'29'!$D$6:$D$21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HOLDER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COVER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LEAD GUIDE</c:v>
                </c:pt>
                <c:pt idx="14">
                  <c:v>STOPPER</c:v>
                </c:pt>
                <c:pt idx="15">
                  <c:v>72P</c:v>
                </c:pt>
              </c:strCache>
            </c:strRef>
          </c:cat>
          <c:val>
            <c:numRef>
              <c:f>'29'!$AE$6:$AE$21</c:f>
              <c:numCache>
                <c:formatCode>0%</c:formatCode>
                <c:ptCount val="16"/>
                <c:pt idx="0">
                  <c:v>0.39945360495591647</c:v>
                </c:pt>
                <c:pt idx="1">
                  <c:v>0.39945360495591647</c:v>
                </c:pt>
                <c:pt idx="2">
                  <c:v>0.39945360495591647</c:v>
                </c:pt>
                <c:pt idx="3">
                  <c:v>0.39945360495591647</c:v>
                </c:pt>
                <c:pt idx="4">
                  <c:v>0.39945360495591647</c:v>
                </c:pt>
                <c:pt idx="5">
                  <c:v>0.39945360495591647</c:v>
                </c:pt>
                <c:pt idx="6">
                  <c:v>0.39945360495591647</c:v>
                </c:pt>
                <c:pt idx="7">
                  <c:v>0.39945360495591647</c:v>
                </c:pt>
                <c:pt idx="8">
                  <c:v>0.39945360495591647</c:v>
                </c:pt>
                <c:pt idx="9">
                  <c:v>0.39945360495591647</c:v>
                </c:pt>
                <c:pt idx="10">
                  <c:v>0.39945360495591647</c:v>
                </c:pt>
                <c:pt idx="11">
                  <c:v>0.39945360495591647</c:v>
                </c:pt>
                <c:pt idx="12">
                  <c:v>0.39945360495591647</c:v>
                </c:pt>
                <c:pt idx="13">
                  <c:v>0.39945360495591647</c:v>
                </c:pt>
                <c:pt idx="14">
                  <c:v>0.39945360495591647</c:v>
                </c:pt>
                <c:pt idx="15">
                  <c:v>0.39945360495591647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9019264"/>
        <c:axId val="216780736"/>
      </c:lineChart>
      <c:catAx>
        <c:axId val="219019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16780736"/>
        <c:crosses val="autoZero"/>
        <c:auto val="1"/>
        <c:lblAlgn val="ctr"/>
        <c:lblOffset val="100"/>
        <c:noMultiLvlLbl val="0"/>
      </c:catAx>
      <c:valAx>
        <c:axId val="216780736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9019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8062848"/>
        <c:axId val="21678304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8062848"/>
        <c:axId val="216783040"/>
      </c:lineChart>
      <c:catAx>
        <c:axId val="218062848"/>
        <c:scaling>
          <c:orientation val="minMax"/>
        </c:scaling>
        <c:delete val="0"/>
        <c:axPos val="b"/>
        <c:majorTickMark val="out"/>
        <c:minorTickMark val="none"/>
        <c:tickLblPos val="nextTo"/>
        <c:crossAx val="216783040"/>
        <c:crosses val="autoZero"/>
        <c:auto val="1"/>
        <c:lblAlgn val="ctr"/>
        <c:lblOffset val="100"/>
        <c:noMultiLvlLbl val="0"/>
      </c:catAx>
      <c:valAx>
        <c:axId val="21678304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806284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STOPPER</c:v>
                </c:pt>
                <c:pt idx="14">
                  <c:v>24P(구형)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2046</c:v>
                </c:pt>
                <c:pt idx="3">
                  <c:v>1493</c:v>
                </c:pt>
                <c:pt idx="4">
                  <c:v>746</c:v>
                </c:pt>
                <c:pt idx="7">
                  <c:v>1024</c:v>
                </c:pt>
                <c:pt idx="8">
                  <c:v>191</c:v>
                </c:pt>
                <c:pt idx="9">
                  <c:v>5408</c:v>
                </c:pt>
                <c:pt idx="11">
                  <c:v>2877</c:v>
                </c:pt>
                <c:pt idx="12">
                  <c:v>3331</c:v>
                </c:pt>
                <c:pt idx="14">
                  <c:v>16317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STOPPER</c:v>
                </c:pt>
                <c:pt idx="14">
                  <c:v>24P(구형)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2050</c:v>
                </c:pt>
                <c:pt idx="3">
                  <c:v>1500</c:v>
                </c:pt>
                <c:pt idx="4">
                  <c:v>750</c:v>
                </c:pt>
                <c:pt idx="5">
                  <c:v>2240</c:v>
                </c:pt>
                <c:pt idx="6">
                  <c:v>570</c:v>
                </c:pt>
                <c:pt idx="7">
                  <c:v>1030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2880</c:v>
                </c:pt>
                <c:pt idx="12">
                  <c:v>3340</c:v>
                </c:pt>
                <c:pt idx="13">
                  <c:v>3250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68480"/>
        <c:axId val="138637248"/>
      </c:lineChart>
      <c:catAx>
        <c:axId val="138068480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38637248"/>
        <c:crosses val="autoZero"/>
        <c:auto val="1"/>
        <c:lblAlgn val="ctr"/>
        <c:lblOffset val="100"/>
        <c:noMultiLvlLbl val="0"/>
      </c:catAx>
      <c:valAx>
        <c:axId val="138637248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380684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0% 0% 50% 33% 21% 0% 0% 25% 17% 25% 0% 62% 66% 0% 29%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STOPPER</c:v>
                </c:pt>
                <c:pt idx="14">
                  <c:v>24P(구형)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0.49902439024390244</c:v>
                </c:pt>
                <c:pt idx="3">
                  <c:v>0.33177777777777773</c:v>
                </c:pt>
                <c:pt idx="4">
                  <c:v>0.20722222222222222</c:v>
                </c:pt>
                <c:pt idx="5">
                  <c:v>0</c:v>
                </c:pt>
                <c:pt idx="6">
                  <c:v>0</c:v>
                </c:pt>
                <c:pt idx="7">
                  <c:v>0.24854368932038834</c:v>
                </c:pt>
                <c:pt idx="8">
                  <c:v>0.16666666666666666</c:v>
                </c:pt>
                <c:pt idx="9">
                  <c:v>0.24990757855822551</c:v>
                </c:pt>
                <c:pt idx="10">
                  <c:v>0</c:v>
                </c:pt>
                <c:pt idx="11">
                  <c:v>0.62434895833333326</c:v>
                </c:pt>
                <c:pt idx="12">
                  <c:v>0.66487025948103784</c:v>
                </c:pt>
                <c:pt idx="13">
                  <c:v>0</c:v>
                </c:pt>
                <c:pt idx="14">
                  <c:v>0.2851027397260274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STOPPER</c:v>
                </c:pt>
                <c:pt idx="14">
                  <c:v>24P(구형)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0.21849761882197208</c:v>
                </c:pt>
                <c:pt idx="1">
                  <c:v>0.21849761882197208</c:v>
                </c:pt>
                <c:pt idx="2">
                  <c:v>0.21849761882197208</c:v>
                </c:pt>
                <c:pt idx="3">
                  <c:v>0.21849761882197208</c:v>
                </c:pt>
                <c:pt idx="4">
                  <c:v>0.21849761882197208</c:v>
                </c:pt>
                <c:pt idx="5">
                  <c:v>0.21849761882197208</c:v>
                </c:pt>
                <c:pt idx="6">
                  <c:v>0.21849761882197208</c:v>
                </c:pt>
                <c:pt idx="7">
                  <c:v>0.21849761882197208</c:v>
                </c:pt>
                <c:pt idx="8">
                  <c:v>0.21849761882197208</c:v>
                </c:pt>
                <c:pt idx="9">
                  <c:v>0.21849761882197208</c:v>
                </c:pt>
                <c:pt idx="10">
                  <c:v>0.21849761882197208</c:v>
                </c:pt>
                <c:pt idx="11">
                  <c:v>0.21849761882197208</c:v>
                </c:pt>
                <c:pt idx="12">
                  <c:v>0.21849761882197208</c:v>
                </c:pt>
                <c:pt idx="13">
                  <c:v>0.21849761882197208</c:v>
                </c:pt>
                <c:pt idx="14">
                  <c:v>0.21849761882197208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68992"/>
        <c:axId val="138639552"/>
      </c:lineChart>
      <c:catAx>
        <c:axId val="138068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38639552"/>
        <c:crosses val="autoZero"/>
        <c:auto val="1"/>
        <c:lblAlgn val="ctr"/>
        <c:lblOffset val="100"/>
        <c:noMultiLvlLbl val="0"/>
      </c:catAx>
      <c:valAx>
        <c:axId val="138639552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3806899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'30'!$D$6:$D$20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STOPPER</c:v>
                </c:pt>
                <c:pt idx="14">
                  <c:v>24P(구형)</c:v>
                </c:pt>
              </c:strCache>
            </c:strRef>
          </c:cat>
          <c:val>
            <c:numRef>
              <c:f>'30'!$L$6:$L$20</c:f>
              <c:numCache>
                <c:formatCode>_(* #,##0_);_(* \(#,##0\);_(* "-"_);_(@_)</c:formatCode>
                <c:ptCount val="15"/>
                <c:pt idx="2">
                  <c:v>2046</c:v>
                </c:pt>
                <c:pt idx="3">
                  <c:v>1493</c:v>
                </c:pt>
                <c:pt idx="4">
                  <c:v>746</c:v>
                </c:pt>
                <c:pt idx="7">
                  <c:v>1024</c:v>
                </c:pt>
                <c:pt idx="8">
                  <c:v>191</c:v>
                </c:pt>
                <c:pt idx="9">
                  <c:v>5408</c:v>
                </c:pt>
                <c:pt idx="11">
                  <c:v>2877</c:v>
                </c:pt>
                <c:pt idx="12">
                  <c:v>3331</c:v>
                </c:pt>
                <c:pt idx="14">
                  <c:v>16317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'30'!$D$6:$D$20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STOPPER</c:v>
                </c:pt>
                <c:pt idx="14">
                  <c:v>24P(구형)</c:v>
                </c:pt>
              </c:strCache>
            </c:strRef>
          </c:cat>
          <c:val>
            <c:numRef>
              <c:f>'30'!$J$6:$J$20</c:f>
              <c:numCache>
                <c:formatCode>_(* #,##0_);_(* \(#,##0\);_(* "-"_);_(@_)</c:formatCode>
                <c:ptCount val="15"/>
                <c:pt idx="0">
                  <c:v>1600</c:v>
                </c:pt>
                <c:pt idx="1">
                  <c:v>2080</c:v>
                </c:pt>
                <c:pt idx="2">
                  <c:v>2050</c:v>
                </c:pt>
                <c:pt idx="3">
                  <c:v>1500</c:v>
                </c:pt>
                <c:pt idx="4">
                  <c:v>750</c:v>
                </c:pt>
                <c:pt idx="5">
                  <c:v>2240</c:v>
                </c:pt>
                <c:pt idx="6">
                  <c:v>570</c:v>
                </c:pt>
                <c:pt idx="7">
                  <c:v>1030</c:v>
                </c:pt>
                <c:pt idx="8">
                  <c:v>191</c:v>
                </c:pt>
                <c:pt idx="9">
                  <c:v>5410</c:v>
                </c:pt>
                <c:pt idx="10">
                  <c:v>490</c:v>
                </c:pt>
                <c:pt idx="11">
                  <c:v>2880</c:v>
                </c:pt>
                <c:pt idx="12">
                  <c:v>3340</c:v>
                </c:pt>
                <c:pt idx="13">
                  <c:v>3250</c:v>
                </c:pt>
                <c:pt idx="14">
                  <c:v>35770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69504"/>
        <c:axId val="164832960"/>
      </c:lineChart>
      <c:catAx>
        <c:axId val="138069504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164832960"/>
        <c:crosses val="autoZero"/>
        <c:auto val="1"/>
        <c:lblAlgn val="ctr"/>
        <c:lblOffset val="100"/>
        <c:noMultiLvlLbl val="0"/>
      </c:catAx>
      <c:valAx>
        <c:axId val="16483296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13806950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'30'!$AD$6:$AD$20</c:f>
              <c:strCache>
                <c:ptCount val="1"/>
                <c:pt idx="0">
                  <c:v>0% 0% 50% 33% 21% 0% 0% 25% 17% 25% 0% 62% 66% 0% 29%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'30'!$D$6:$D$20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STOPPER</c:v>
                </c:pt>
                <c:pt idx="14">
                  <c:v>24P(구형)</c:v>
                </c:pt>
              </c:strCache>
            </c:strRef>
          </c:cat>
          <c:val>
            <c:numRef>
              <c:f>'30'!$AD$6:$AD$20</c:f>
              <c:numCache>
                <c:formatCode>0%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0.49902439024390244</c:v>
                </c:pt>
                <c:pt idx="3">
                  <c:v>0.33177777777777773</c:v>
                </c:pt>
                <c:pt idx="4">
                  <c:v>0.20722222222222222</c:v>
                </c:pt>
                <c:pt idx="5">
                  <c:v>0</c:v>
                </c:pt>
                <c:pt idx="6">
                  <c:v>0</c:v>
                </c:pt>
                <c:pt idx="7">
                  <c:v>0.24854368932038834</c:v>
                </c:pt>
                <c:pt idx="8">
                  <c:v>0.16666666666666666</c:v>
                </c:pt>
                <c:pt idx="9">
                  <c:v>0.24990757855822551</c:v>
                </c:pt>
                <c:pt idx="10">
                  <c:v>0</c:v>
                </c:pt>
                <c:pt idx="11">
                  <c:v>0.62434895833333326</c:v>
                </c:pt>
                <c:pt idx="12">
                  <c:v>0.66487025948103784</c:v>
                </c:pt>
                <c:pt idx="13">
                  <c:v>0</c:v>
                </c:pt>
                <c:pt idx="14">
                  <c:v>0.2851027397260274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'30'!$D$6:$D$20</c:f>
              <c:strCache>
                <c:ptCount val="15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7">
                  <c:v>BASE</c:v>
                </c:pt>
                <c:pt idx="8">
                  <c:v>BASE</c:v>
                </c:pt>
                <c:pt idx="10">
                  <c:v>COVER</c:v>
                </c:pt>
                <c:pt idx="11">
                  <c:v>IC GUIDE</c:v>
                </c:pt>
                <c:pt idx="12">
                  <c:v>FLOAT</c:v>
                </c:pt>
                <c:pt idx="13">
                  <c:v>STOPPER</c:v>
                </c:pt>
                <c:pt idx="14">
                  <c:v>24P(구형)</c:v>
                </c:pt>
              </c:strCache>
            </c:strRef>
          </c:cat>
          <c:val>
            <c:numRef>
              <c:f>'30'!$AE$6:$AE$20</c:f>
              <c:numCache>
                <c:formatCode>0%</c:formatCode>
                <c:ptCount val="15"/>
                <c:pt idx="0">
                  <c:v>0.21849761882197208</c:v>
                </c:pt>
                <c:pt idx="1">
                  <c:v>0.21849761882197208</c:v>
                </c:pt>
                <c:pt idx="2">
                  <c:v>0.21849761882197208</c:v>
                </c:pt>
                <c:pt idx="3">
                  <c:v>0.21849761882197208</c:v>
                </c:pt>
                <c:pt idx="4">
                  <c:v>0.21849761882197208</c:v>
                </c:pt>
                <c:pt idx="5">
                  <c:v>0.21849761882197208</c:v>
                </c:pt>
                <c:pt idx="6">
                  <c:v>0.21849761882197208</c:v>
                </c:pt>
                <c:pt idx="7">
                  <c:v>0.21849761882197208</c:v>
                </c:pt>
                <c:pt idx="8">
                  <c:v>0.21849761882197208</c:v>
                </c:pt>
                <c:pt idx="9">
                  <c:v>0.21849761882197208</c:v>
                </c:pt>
                <c:pt idx="10">
                  <c:v>0.21849761882197208</c:v>
                </c:pt>
                <c:pt idx="11">
                  <c:v>0.21849761882197208</c:v>
                </c:pt>
                <c:pt idx="12">
                  <c:v>0.21849761882197208</c:v>
                </c:pt>
                <c:pt idx="13">
                  <c:v>0.21849761882197208</c:v>
                </c:pt>
                <c:pt idx="14">
                  <c:v>0.21849761882197208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8071552"/>
        <c:axId val="164835264"/>
      </c:lineChart>
      <c:catAx>
        <c:axId val="13807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164835264"/>
        <c:crosses val="autoZero"/>
        <c:auto val="1"/>
        <c:lblAlgn val="ctr"/>
        <c:lblOffset val="100"/>
        <c:noMultiLvlLbl val="0"/>
      </c:catAx>
      <c:valAx>
        <c:axId val="16483526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1380715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4813696"/>
        <c:axId val="164838720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813696"/>
        <c:axId val="164838720"/>
      </c:lineChart>
      <c:catAx>
        <c:axId val="5481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64838720"/>
        <c:crosses val="autoZero"/>
        <c:auto val="1"/>
        <c:lblAlgn val="ctr"/>
        <c:lblOffset val="100"/>
        <c:noMultiLvlLbl val="0"/>
      </c:catAx>
      <c:valAx>
        <c:axId val="164838720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4813696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charts/chart1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STOPPER</c:v>
                </c:pt>
                <c:pt idx="15">
                  <c:v>24P(구형)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2">
                  <c:v>2448</c:v>
                </c:pt>
                <c:pt idx="3">
                  <c:v>2171</c:v>
                </c:pt>
                <c:pt idx="4">
                  <c:v>1650</c:v>
                </c:pt>
                <c:pt idx="5">
                  <c:v>710</c:v>
                </c:pt>
                <c:pt idx="6">
                  <c:v>782</c:v>
                </c:pt>
                <c:pt idx="7">
                  <c:v>300</c:v>
                </c:pt>
                <c:pt idx="8">
                  <c:v>1943</c:v>
                </c:pt>
                <c:pt idx="12">
                  <c:v>2911</c:v>
                </c:pt>
                <c:pt idx="13">
                  <c:v>380</c:v>
                </c:pt>
                <c:pt idx="15">
                  <c:v>14310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STOPPER</c:v>
                </c:pt>
                <c:pt idx="15">
                  <c:v>24P(구형)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2080</c:v>
                </c:pt>
                <c:pt idx="2">
                  <c:v>2450</c:v>
                </c:pt>
                <c:pt idx="3">
                  <c:v>2180</c:v>
                </c:pt>
                <c:pt idx="4">
                  <c:v>1650</c:v>
                </c:pt>
                <c:pt idx="5">
                  <c:v>710</c:v>
                </c:pt>
                <c:pt idx="6">
                  <c:v>790</c:v>
                </c:pt>
                <c:pt idx="7">
                  <c:v>300</c:v>
                </c:pt>
                <c:pt idx="8">
                  <c:v>1950</c:v>
                </c:pt>
                <c:pt idx="9">
                  <c:v>191</c:v>
                </c:pt>
                <c:pt idx="10">
                  <c:v>5410</c:v>
                </c:pt>
                <c:pt idx="11">
                  <c:v>490</c:v>
                </c:pt>
                <c:pt idx="12">
                  <c:v>2920</c:v>
                </c:pt>
                <c:pt idx="13">
                  <c:v>380</c:v>
                </c:pt>
                <c:pt idx="14">
                  <c:v>3250</c:v>
                </c:pt>
                <c:pt idx="15">
                  <c:v>14310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48736"/>
        <c:axId val="234987520"/>
      </c:lineChart>
      <c:catAx>
        <c:axId val="212148736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4987520"/>
        <c:crosses val="autoZero"/>
        <c:auto val="1"/>
        <c:lblAlgn val="ctr"/>
        <c:lblOffset val="100"/>
        <c:noMultiLvlLbl val="0"/>
      </c:catAx>
      <c:valAx>
        <c:axId val="23498752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21487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"/>
                <c:pt idx="0">
                  <c:v>0% 0% 58% 50% 33% 21% 25% 17% 50% 0% 0% 0% 62% 17% 0% 50%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STOPPER</c:v>
                </c:pt>
                <c:pt idx="15">
                  <c:v>24P(구형)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0.58285714285714285</c:v>
                </c:pt>
                <c:pt idx="3">
                  <c:v>0.49793577981651377</c:v>
                </c:pt>
                <c:pt idx="4">
                  <c:v>0.33333333333333331</c:v>
                </c:pt>
                <c:pt idx="5">
                  <c:v>0.20833333333333334</c:v>
                </c:pt>
                <c:pt idx="6">
                  <c:v>0.24746835443037973</c:v>
                </c:pt>
                <c:pt idx="7">
                  <c:v>0.16666666666666666</c:v>
                </c:pt>
                <c:pt idx="8">
                  <c:v>0.49820512820512819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0.62307363013698636</c:v>
                </c:pt>
                <c:pt idx="13">
                  <c:v>0.16666666666666666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STOPPER</c:v>
                </c:pt>
                <c:pt idx="15">
                  <c:v>24P(구형)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0.25496933569641006</c:v>
                </c:pt>
                <c:pt idx="1">
                  <c:v>0.25496933569641006</c:v>
                </c:pt>
                <c:pt idx="2">
                  <c:v>0.25496933569641006</c:v>
                </c:pt>
                <c:pt idx="3">
                  <c:v>0.25496933569641006</c:v>
                </c:pt>
                <c:pt idx="4">
                  <c:v>0.25496933569641006</c:v>
                </c:pt>
                <c:pt idx="5">
                  <c:v>0.25496933569641006</c:v>
                </c:pt>
                <c:pt idx="6">
                  <c:v>0.25496933569641006</c:v>
                </c:pt>
                <c:pt idx="7">
                  <c:v>0.25496933569641006</c:v>
                </c:pt>
                <c:pt idx="8">
                  <c:v>0.25496933569641006</c:v>
                </c:pt>
                <c:pt idx="9">
                  <c:v>0.25496933569641006</c:v>
                </c:pt>
                <c:pt idx="10">
                  <c:v>0.25496933569641006</c:v>
                </c:pt>
                <c:pt idx="11">
                  <c:v>0.25496933569641006</c:v>
                </c:pt>
                <c:pt idx="12">
                  <c:v>0.25496933569641006</c:v>
                </c:pt>
                <c:pt idx="13">
                  <c:v>0.25496933569641006</c:v>
                </c:pt>
                <c:pt idx="14">
                  <c:v>0.25496933569641006</c:v>
                </c:pt>
                <c:pt idx="15">
                  <c:v>0.25496933569641006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318656"/>
        <c:axId val="234989824"/>
      </c:lineChart>
      <c:catAx>
        <c:axId val="213318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4989824"/>
        <c:crosses val="autoZero"/>
        <c:auto val="1"/>
        <c:lblAlgn val="ctr"/>
        <c:lblOffset val="100"/>
        <c:noMultiLvlLbl val="0"/>
      </c:catAx>
      <c:valAx>
        <c:axId val="23498982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33186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33"/>
        </c:manualLayout>
      </c:layout>
      <c:lineChart>
        <c:grouping val="standard"/>
        <c:varyColors val="0"/>
        <c:ser>
          <c:idx val="0"/>
          <c:order val="0"/>
          <c:tx>
            <c:v>실적</c:v>
          </c:tx>
          <c:cat>
            <c:strRef>
              <c:f>'31'!$D$6:$D$21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STOPPER</c:v>
                </c:pt>
                <c:pt idx="15">
                  <c:v>24P(구형)</c:v>
                </c:pt>
              </c:strCache>
            </c:strRef>
          </c:cat>
          <c:val>
            <c:numRef>
              <c:f>'31'!$L$6:$L$21</c:f>
              <c:numCache>
                <c:formatCode>_(* #,##0_);_(* \(#,##0\);_(* "-"_);_(@_)</c:formatCode>
                <c:ptCount val="16"/>
                <c:pt idx="2">
                  <c:v>2448</c:v>
                </c:pt>
                <c:pt idx="3">
                  <c:v>2171</c:v>
                </c:pt>
                <c:pt idx="4">
                  <c:v>1650</c:v>
                </c:pt>
                <c:pt idx="5">
                  <c:v>710</c:v>
                </c:pt>
                <c:pt idx="6">
                  <c:v>782</c:v>
                </c:pt>
                <c:pt idx="7">
                  <c:v>300</c:v>
                </c:pt>
                <c:pt idx="8">
                  <c:v>1943</c:v>
                </c:pt>
                <c:pt idx="12">
                  <c:v>2911</c:v>
                </c:pt>
                <c:pt idx="13">
                  <c:v>380</c:v>
                </c:pt>
                <c:pt idx="15">
                  <c:v>14310</c:v>
                </c:pt>
              </c:numCache>
            </c:numRef>
          </c:val>
          <c:smooth val="0"/>
        </c:ser>
        <c:ser>
          <c:idx val="1"/>
          <c:order val="1"/>
          <c:tx>
            <c:v>계획</c:v>
          </c:tx>
          <c:cat>
            <c:strRef>
              <c:f>'31'!$D$6:$D$21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STOPPER</c:v>
                </c:pt>
                <c:pt idx="15">
                  <c:v>24P(구형)</c:v>
                </c:pt>
              </c:strCache>
            </c:strRef>
          </c:cat>
          <c:val>
            <c:numRef>
              <c:f>'31'!$J$6:$J$21</c:f>
              <c:numCache>
                <c:formatCode>_(* #,##0_);_(* \(#,##0\);_(* "-"_);_(@_)</c:formatCode>
                <c:ptCount val="16"/>
                <c:pt idx="0">
                  <c:v>1600</c:v>
                </c:pt>
                <c:pt idx="1">
                  <c:v>2080</c:v>
                </c:pt>
                <c:pt idx="2">
                  <c:v>2450</c:v>
                </c:pt>
                <c:pt idx="3">
                  <c:v>2180</c:v>
                </c:pt>
                <c:pt idx="4">
                  <c:v>1650</c:v>
                </c:pt>
                <c:pt idx="5">
                  <c:v>710</c:v>
                </c:pt>
                <c:pt idx="6">
                  <c:v>790</c:v>
                </c:pt>
                <c:pt idx="7">
                  <c:v>300</c:v>
                </c:pt>
                <c:pt idx="8">
                  <c:v>1950</c:v>
                </c:pt>
                <c:pt idx="9">
                  <c:v>191</c:v>
                </c:pt>
                <c:pt idx="10">
                  <c:v>5410</c:v>
                </c:pt>
                <c:pt idx="11">
                  <c:v>490</c:v>
                </c:pt>
                <c:pt idx="12">
                  <c:v>2920</c:v>
                </c:pt>
                <c:pt idx="13">
                  <c:v>380</c:v>
                </c:pt>
                <c:pt idx="14">
                  <c:v>3250</c:v>
                </c:pt>
                <c:pt idx="15">
                  <c:v>14310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3888"/>
        <c:axId val="234993280"/>
      </c:lineChart>
      <c:catAx>
        <c:axId val="213413888"/>
        <c:scaling>
          <c:orientation val="minMax"/>
        </c:scaling>
        <c:delete val="0"/>
        <c:axPos val="b"/>
        <c:numFmt formatCode="_(* #,##0_);_(* \(#,##0\);_(* &quot;-&quot;_);_(@_)" sourceLinked="1"/>
        <c:majorTickMark val="out"/>
        <c:minorTickMark val="none"/>
        <c:tickLblPos val="nextTo"/>
        <c:crossAx val="234993280"/>
        <c:crosses val="autoZero"/>
        <c:auto val="1"/>
        <c:lblAlgn val="ctr"/>
        <c:lblOffset val="100"/>
        <c:noMultiLvlLbl val="0"/>
      </c:catAx>
      <c:valAx>
        <c:axId val="234993280"/>
        <c:scaling>
          <c:orientation val="minMax"/>
        </c:scaling>
        <c:delete val="0"/>
        <c:axPos val="l"/>
        <c:numFmt formatCode="_(* #,##0_);_(* \(#,##0\);_(* &quot;-&quot;_);_(@_)" sourceLinked="1"/>
        <c:majorTickMark val="out"/>
        <c:minorTickMark val="none"/>
        <c:tickLblPos val="nextTo"/>
        <c:crossAx val="21341388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2164614907007592"/>
          <c:y val="0.23466075538211684"/>
          <c:w val="7.1440220510070707E-2"/>
          <c:h val="0.33479360534478642"/>
        </c:manualLayout>
      </c:layout>
      <c:overlay val="0"/>
    </c:legend>
    <c:plotVisOnly val="1"/>
    <c:dispBlanksAs val="gap"/>
    <c:showDLblsOverMax val="0"/>
  </c:chart>
  <c:spPr>
    <a:ln>
      <a:solidFill>
        <a:schemeClr val="tx1"/>
      </a:solidFill>
    </a:ln>
  </c:spPr>
  <c:txPr>
    <a:bodyPr/>
    <a:lstStyle/>
    <a:p>
      <a:pPr>
        <a:defRPr sz="800"/>
      </a:pPr>
      <a:endParaRPr lang="ko-KR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814074597350014E-2"/>
          <c:y val="3.8096890095003111E-2"/>
          <c:w val="0.88987728486109241"/>
          <c:h val="0.85044913164641656"/>
        </c:manualLayout>
      </c:layout>
      <c:lineChart>
        <c:grouping val="standard"/>
        <c:varyColors val="0"/>
        <c:ser>
          <c:idx val="1"/>
          <c:order val="0"/>
          <c:tx>
            <c:strRef>
              <c:f>'31'!$AD$6:$AD$21</c:f>
              <c:strCache>
                <c:ptCount val="1"/>
                <c:pt idx="0">
                  <c:v>0% 0% 58% 50% 33% 21% 25% 17% 50% 0% 0% 0% 62% 17% 0% 50%</c:v>
                </c:pt>
              </c:strCache>
            </c:strRef>
          </c:tx>
          <c:dLbls>
            <c:txPr>
              <a:bodyPr/>
              <a:lstStyle/>
              <a:p>
                <a:pPr>
                  <a:defRPr sz="1400" b="1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'31'!$D$6:$D$21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STOPPER</c:v>
                </c:pt>
                <c:pt idx="15">
                  <c:v>24P(구형)</c:v>
                </c:pt>
              </c:strCache>
            </c:strRef>
          </c:cat>
          <c:val>
            <c:numRef>
              <c:f>'31'!$AD$6:$AD$21</c:f>
              <c:numCache>
                <c:formatCode>0%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0.58285714285714285</c:v>
                </c:pt>
                <c:pt idx="3">
                  <c:v>0.49793577981651377</c:v>
                </c:pt>
                <c:pt idx="4">
                  <c:v>0.33333333333333331</c:v>
                </c:pt>
                <c:pt idx="5">
                  <c:v>0.20833333333333334</c:v>
                </c:pt>
                <c:pt idx="6">
                  <c:v>0.24746835443037973</c:v>
                </c:pt>
                <c:pt idx="7">
                  <c:v>0.16666666666666666</c:v>
                </c:pt>
                <c:pt idx="8">
                  <c:v>0.49820512820512819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0.62307363013698636</c:v>
                </c:pt>
                <c:pt idx="13">
                  <c:v>0.16666666666666666</c:v>
                </c:pt>
                <c:pt idx="14">
                  <c:v>0</c:v>
                </c:pt>
                <c:pt idx="15">
                  <c:v>0.5</c:v>
                </c:pt>
              </c:numCache>
            </c:numRef>
          </c:val>
          <c:smooth val="0"/>
        </c:ser>
        <c:ser>
          <c:idx val="0"/>
          <c:order val="1"/>
          <c:marker>
            <c:symbol val="none"/>
          </c:marker>
          <c:dLbls>
            <c:dLbl>
              <c:idx val="13"/>
              <c:layout>
                <c:manualLayout>
                  <c:x val="0.16601913738719118"/>
                  <c:y val="-0.15013287707631948"/>
                </c:manualLayout>
              </c:layout>
              <c:spPr/>
              <c:txPr>
                <a:bodyPr/>
                <a:lstStyle/>
                <a:p>
                  <a:pPr>
                    <a:defRPr sz="3200" b="1"/>
                  </a:pPr>
                  <a:endParaRPr lang="ko-K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'31'!$D$6:$D$21</c:f>
              <c:strCache>
                <c:ptCount val="16"/>
                <c:pt idx="0">
                  <c:v>STOPPER</c:v>
                </c:pt>
                <c:pt idx="1">
                  <c:v>BODY</c:v>
                </c:pt>
                <c:pt idx="2">
                  <c:v>COVER</c:v>
                </c:pt>
                <c:pt idx="3">
                  <c:v>SLIDER</c:v>
                </c:pt>
                <c:pt idx="4">
                  <c:v>BODY</c:v>
                </c:pt>
                <c:pt idx="5">
                  <c:v>ACTUATOR</c:v>
                </c:pt>
                <c:pt idx="6">
                  <c:v>BODY</c:v>
                </c:pt>
                <c:pt idx="9">
                  <c:v>BASE</c:v>
                </c:pt>
                <c:pt idx="11">
                  <c:v>COVER</c:v>
                </c:pt>
                <c:pt idx="12">
                  <c:v>IC GUIDE</c:v>
                </c:pt>
                <c:pt idx="13">
                  <c:v>BODY</c:v>
                </c:pt>
                <c:pt idx="14">
                  <c:v>STOPPER</c:v>
                </c:pt>
                <c:pt idx="15">
                  <c:v>24P(구형)</c:v>
                </c:pt>
              </c:strCache>
            </c:strRef>
          </c:cat>
          <c:val>
            <c:numRef>
              <c:f>'31'!$AE$6:$AE$21</c:f>
              <c:numCache>
                <c:formatCode>0%</c:formatCode>
                <c:ptCount val="16"/>
                <c:pt idx="0">
                  <c:v>0.25496933569641006</c:v>
                </c:pt>
                <c:pt idx="1">
                  <c:v>0.25496933569641006</c:v>
                </c:pt>
                <c:pt idx="2">
                  <c:v>0.25496933569641006</c:v>
                </c:pt>
                <c:pt idx="3">
                  <c:v>0.25496933569641006</c:v>
                </c:pt>
                <c:pt idx="4">
                  <c:v>0.25496933569641006</c:v>
                </c:pt>
                <c:pt idx="5">
                  <c:v>0.25496933569641006</c:v>
                </c:pt>
                <c:pt idx="6">
                  <c:v>0.25496933569641006</c:v>
                </c:pt>
                <c:pt idx="7">
                  <c:v>0.25496933569641006</c:v>
                </c:pt>
                <c:pt idx="8">
                  <c:v>0.25496933569641006</c:v>
                </c:pt>
                <c:pt idx="9">
                  <c:v>0.25496933569641006</c:v>
                </c:pt>
                <c:pt idx="10">
                  <c:v>0.25496933569641006</c:v>
                </c:pt>
                <c:pt idx="11">
                  <c:v>0.25496933569641006</c:v>
                </c:pt>
                <c:pt idx="12">
                  <c:v>0.25496933569641006</c:v>
                </c:pt>
                <c:pt idx="13">
                  <c:v>0.25496933569641006</c:v>
                </c:pt>
                <c:pt idx="14">
                  <c:v>0.25496933569641006</c:v>
                </c:pt>
                <c:pt idx="15">
                  <c:v>0.25496933569641006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463104"/>
        <c:axId val="235126784"/>
      </c:lineChart>
      <c:catAx>
        <c:axId val="212463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900"/>
            </a:pPr>
            <a:endParaRPr lang="ko-KR"/>
          </a:p>
        </c:txPr>
        <c:crossAx val="235126784"/>
        <c:crosses val="autoZero"/>
        <c:auto val="1"/>
        <c:lblAlgn val="ctr"/>
        <c:lblOffset val="100"/>
        <c:noMultiLvlLbl val="0"/>
      </c:catAx>
      <c:valAx>
        <c:axId val="235126784"/>
        <c:scaling>
          <c:orientation val="minMax"/>
        </c:scaling>
        <c:delete val="0"/>
        <c:axPos val="l"/>
        <c:numFmt formatCode="0%" sourceLinked="1"/>
        <c:majorTickMark val="out"/>
        <c:minorTickMark val="none"/>
        <c:tickLblPos val="nextTo"/>
        <c:crossAx val="2124631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1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800" baseline="0">
                <a:latin typeface="굴림체" pitchFamily="49" charset="-127"/>
                <a:ea typeface="굴림체" pitchFamily="49" charset="-127"/>
              </a:defRPr>
            </a:pPr>
            <a:r>
              <a:rPr lang="en-US" altLang="ko-KR" sz="2800" baseline="0">
                <a:latin typeface="굴림체" pitchFamily="49" charset="-127"/>
                <a:ea typeface="굴림체" pitchFamily="49" charset="-127"/>
              </a:rPr>
              <a:t>03</a:t>
            </a:r>
            <a:r>
              <a:rPr lang="ko-KR" altLang="en-US" sz="2800" baseline="0">
                <a:latin typeface="굴림체" pitchFamily="49" charset="-127"/>
                <a:ea typeface="굴림체" pitchFamily="49" charset="-127"/>
              </a:rPr>
              <a:t>월 일별 가동현황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총괄!$A$18</c:f>
              <c:strCache>
                <c:ptCount val="1"/>
                <c:pt idx="0">
                  <c:v>평균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60325"/>
          </c:spPr>
          <c:invertIfNegative val="0"/>
          <c:dLbls>
            <c:dLbl>
              <c:idx val="31"/>
              <c:spPr/>
              <c:txPr>
                <a:bodyPr/>
                <a:lstStyle/>
                <a:p>
                  <a:pPr>
                    <a:defRPr sz="14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txPr>
              <a:bodyPr/>
              <a:lstStyle/>
              <a:p>
                <a:pPr>
                  <a:defRPr sz="1400"/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총괄!$B$2:$AG$2</c:f>
              <c:strCache>
                <c:ptCount val="32"/>
                <c:pt idx="0">
                  <c:v>1일</c:v>
                </c:pt>
                <c:pt idx="1">
                  <c:v>2일</c:v>
                </c:pt>
                <c:pt idx="2">
                  <c:v>3일</c:v>
                </c:pt>
                <c:pt idx="3">
                  <c:v>4일</c:v>
                </c:pt>
                <c:pt idx="4">
                  <c:v>5일</c:v>
                </c:pt>
                <c:pt idx="5">
                  <c:v>6일</c:v>
                </c:pt>
                <c:pt idx="6">
                  <c:v>7일</c:v>
                </c:pt>
                <c:pt idx="7">
                  <c:v>8일</c:v>
                </c:pt>
                <c:pt idx="8">
                  <c:v>9일</c:v>
                </c:pt>
                <c:pt idx="9">
                  <c:v>10일</c:v>
                </c:pt>
                <c:pt idx="10">
                  <c:v>11일</c:v>
                </c:pt>
                <c:pt idx="11">
                  <c:v>12일</c:v>
                </c:pt>
                <c:pt idx="12">
                  <c:v>13일</c:v>
                </c:pt>
                <c:pt idx="13">
                  <c:v>14일</c:v>
                </c:pt>
                <c:pt idx="14">
                  <c:v>15일</c:v>
                </c:pt>
                <c:pt idx="15">
                  <c:v>16일</c:v>
                </c:pt>
                <c:pt idx="16">
                  <c:v>17일</c:v>
                </c:pt>
                <c:pt idx="17">
                  <c:v>18일</c:v>
                </c:pt>
                <c:pt idx="18">
                  <c:v>19일</c:v>
                </c:pt>
                <c:pt idx="19">
                  <c:v>20일</c:v>
                </c:pt>
                <c:pt idx="20">
                  <c:v>21일</c:v>
                </c:pt>
                <c:pt idx="21">
                  <c:v>22일</c:v>
                </c:pt>
                <c:pt idx="22">
                  <c:v>23일</c:v>
                </c:pt>
                <c:pt idx="23">
                  <c:v>24일</c:v>
                </c:pt>
                <c:pt idx="24">
                  <c:v>25일</c:v>
                </c:pt>
                <c:pt idx="25">
                  <c:v>26일</c:v>
                </c:pt>
                <c:pt idx="26">
                  <c:v>27일</c:v>
                </c:pt>
                <c:pt idx="27">
                  <c:v>28일</c:v>
                </c:pt>
                <c:pt idx="28">
                  <c:v>29일</c:v>
                </c:pt>
                <c:pt idx="29">
                  <c:v>30일</c:v>
                </c:pt>
                <c:pt idx="30">
                  <c:v>31일</c:v>
                </c:pt>
                <c:pt idx="31">
                  <c:v>평균</c:v>
                </c:pt>
              </c:strCache>
            </c:strRef>
          </c:cat>
          <c:val>
            <c:numRef>
              <c:f>총괄!$B$18:$AG$18</c:f>
              <c:numCache>
                <c:formatCode>0%</c:formatCode>
                <c:ptCount val="32"/>
                <c:pt idx="0">
                  <c:v>0.7022253123920249</c:v>
                </c:pt>
                <c:pt idx="1">
                  <c:v>0.66873979524029481</c:v>
                </c:pt>
                <c:pt idx="2">
                  <c:v>0.4935788541670475</c:v>
                </c:pt>
                <c:pt idx="3">
                  <c:v>0.50640788366819656</c:v>
                </c:pt>
                <c:pt idx="4">
                  <c:v>0.41644042246165092</c:v>
                </c:pt>
                <c:pt idx="5">
                  <c:v>0.39396706026129263</c:v>
                </c:pt>
                <c:pt idx="6">
                  <c:v>0.49660187825256891</c:v>
                </c:pt>
                <c:pt idx="7">
                  <c:v>0.47744017444296155</c:v>
                </c:pt>
                <c:pt idx="8">
                  <c:v>0.54097993096947516</c:v>
                </c:pt>
                <c:pt idx="9">
                  <c:v>0.48417465474667282</c:v>
                </c:pt>
                <c:pt idx="10">
                  <c:v>0.34105083072442732</c:v>
                </c:pt>
                <c:pt idx="12">
                  <c:v>0.43551327947985108</c:v>
                </c:pt>
                <c:pt idx="13">
                  <c:v>0.55782522068857143</c:v>
                </c:pt>
                <c:pt idx="14">
                  <c:v>0.41945939047855368</c:v>
                </c:pt>
                <c:pt idx="15">
                  <c:v>0.5051643869182274</c:v>
                </c:pt>
                <c:pt idx="16">
                  <c:v>0.4714943626157248</c:v>
                </c:pt>
                <c:pt idx="19">
                  <c:v>0.38569494809102695</c:v>
                </c:pt>
                <c:pt idx="20">
                  <c:v>0.34888629928344439</c:v>
                </c:pt>
                <c:pt idx="21">
                  <c:v>0.27447948879289991</c:v>
                </c:pt>
                <c:pt idx="22">
                  <c:v>0.34116709689780461</c:v>
                </c:pt>
                <c:pt idx="23">
                  <c:v>0.34384575152629548</c:v>
                </c:pt>
                <c:pt idx="24">
                  <c:v>0.37461896843103232</c:v>
                </c:pt>
                <c:pt idx="26">
                  <c:v>0.368961467070338</c:v>
                </c:pt>
                <c:pt idx="27">
                  <c:v>0.51310905002268037</c:v>
                </c:pt>
                <c:pt idx="28">
                  <c:v>0.39945360495591647</c:v>
                </c:pt>
                <c:pt idx="29">
                  <c:v>0.21849761882197208</c:v>
                </c:pt>
                <c:pt idx="30">
                  <c:v>0.25496933569641006</c:v>
                </c:pt>
                <c:pt idx="31">
                  <c:v>0.37854022797088266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855168"/>
        <c:axId val="235130816"/>
      </c:barChart>
      <c:lineChart>
        <c:grouping val="standard"/>
        <c:varyColors val="0"/>
        <c:ser>
          <c:idx val="1"/>
          <c:order val="1"/>
          <c:tx>
            <c:v>목표</c:v>
          </c:tx>
          <c:spPr>
            <a:ln>
              <a:solidFill>
                <a:srgbClr val="FF0000"/>
              </a:solidFill>
            </a:ln>
          </c:spPr>
          <c:marker>
            <c:symbol val="dash"/>
            <c:size val="2"/>
            <c:spPr>
              <a:solidFill>
                <a:srgbClr val="FF0000"/>
              </a:solidFill>
            </c:spPr>
          </c:marker>
          <c:dLbls>
            <c:dLbl>
              <c:idx val="31"/>
              <c:layout>
                <c:manualLayout>
                  <c:x val="-1.3835700601430825E-2"/>
                  <c:y val="-0.13579096299980958"/>
                </c:manualLayout>
              </c:layout>
              <c:spPr/>
              <c:txPr>
                <a:bodyPr/>
                <a:lstStyle/>
                <a:p>
                  <a:pPr>
                    <a:defRPr sz="2000" b="1"/>
                  </a:pPr>
                  <a:endParaRPr lang="ko-KR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val>
            <c:numRef>
              <c:f>총괄!$B$19:$AG$19</c:f>
              <c:numCache>
                <c:formatCode>0%</c:formatCode>
                <c:ptCount val="32"/>
                <c:pt idx="0">
                  <c:v>0.7</c:v>
                </c:pt>
                <c:pt idx="1">
                  <c:v>0.7</c:v>
                </c:pt>
                <c:pt idx="2">
                  <c:v>0.7</c:v>
                </c:pt>
                <c:pt idx="3">
                  <c:v>0.7</c:v>
                </c:pt>
                <c:pt idx="4">
                  <c:v>0.7</c:v>
                </c:pt>
                <c:pt idx="5">
                  <c:v>0.7</c:v>
                </c:pt>
                <c:pt idx="6">
                  <c:v>0.7</c:v>
                </c:pt>
                <c:pt idx="7">
                  <c:v>0.7</c:v>
                </c:pt>
                <c:pt idx="8">
                  <c:v>0.7</c:v>
                </c:pt>
                <c:pt idx="9">
                  <c:v>0.7</c:v>
                </c:pt>
                <c:pt idx="10">
                  <c:v>0.7</c:v>
                </c:pt>
                <c:pt idx="11">
                  <c:v>0.7</c:v>
                </c:pt>
                <c:pt idx="12">
                  <c:v>0.7</c:v>
                </c:pt>
                <c:pt idx="13">
                  <c:v>0.7</c:v>
                </c:pt>
                <c:pt idx="14">
                  <c:v>0.7</c:v>
                </c:pt>
                <c:pt idx="15">
                  <c:v>0.7</c:v>
                </c:pt>
                <c:pt idx="16">
                  <c:v>0.7</c:v>
                </c:pt>
                <c:pt idx="17">
                  <c:v>0.7</c:v>
                </c:pt>
                <c:pt idx="18">
                  <c:v>0.7</c:v>
                </c:pt>
                <c:pt idx="19">
                  <c:v>0.7</c:v>
                </c:pt>
                <c:pt idx="20">
                  <c:v>0.7</c:v>
                </c:pt>
                <c:pt idx="21">
                  <c:v>0.7</c:v>
                </c:pt>
                <c:pt idx="22">
                  <c:v>0.7</c:v>
                </c:pt>
                <c:pt idx="23">
                  <c:v>0.7</c:v>
                </c:pt>
                <c:pt idx="24">
                  <c:v>0.7</c:v>
                </c:pt>
                <c:pt idx="25">
                  <c:v>0.7</c:v>
                </c:pt>
                <c:pt idx="26">
                  <c:v>0.7</c:v>
                </c:pt>
                <c:pt idx="27">
                  <c:v>0.7</c:v>
                </c:pt>
                <c:pt idx="28">
                  <c:v>0.7</c:v>
                </c:pt>
                <c:pt idx="29">
                  <c:v>0.7</c:v>
                </c:pt>
                <c:pt idx="30">
                  <c:v>0.7</c:v>
                </c:pt>
                <c:pt idx="31">
                  <c:v>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855168"/>
        <c:axId val="235130816"/>
      </c:lineChart>
      <c:catAx>
        <c:axId val="214855168"/>
        <c:scaling>
          <c:orientation val="minMax"/>
        </c:scaling>
        <c:delete val="0"/>
        <c:axPos val="b"/>
        <c:majorTickMark val="out"/>
        <c:minorTickMark val="none"/>
        <c:tickLblPos val="nextTo"/>
        <c:crossAx val="235130816"/>
        <c:crosses val="autoZero"/>
        <c:auto val="1"/>
        <c:lblAlgn val="ctr"/>
        <c:lblOffset val="100"/>
        <c:noMultiLvlLbl val="0"/>
      </c:catAx>
      <c:valAx>
        <c:axId val="23513081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14855168"/>
        <c:crosses val="autoZero"/>
        <c:crossBetween val="between"/>
        <c:majorUnit val="0.2"/>
      </c:valAx>
    </c:plotArea>
    <c:plotVisOnly val="1"/>
    <c:dispBlanksAs val="gap"/>
    <c:showDLblsOverMax val="0"/>
  </c:chart>
  <c:spPr>
    <a:ln>
      <a:solidFill>
        <a:schemeClr val="tx1"/>
      </a:solidFill>
    </a:ln>
  </c:spPr>
  <c:printSettings>
    <c:headerFooter/>
    <c:pageMargins b="0.75" l="0.7" r="0.7" t="0.75" header="0.3" footer="0.3"/>
    <c:pageSetup orientation="portrait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6" Type="http://schemas.openxmlformats.org/officeDocument/2006/relationships/chart" Target="../charts/chart17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7.xml"/><Relationship Id="rId5" Type="http://schemas.openxmlformats.org/officeDocument/2006/relationships/chart" Target="../charts/chart26.xml"/><Relationship Id="rId4" Type="http://schemas.openxmlformats.org/officeDocument/2006/relationships/chart" Target="../charts/chart25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29.xml"/><Relationship Id="rId1" Type="http://schemas.openxmlformats.org/officeDocument/2006/relationships/chart" Target="../charts/chart28.xml"/><Relationship Id="rId6" Type="http://schemas.openxmlformats.org/officeDocument/2006/relationships/chart" Target="../charts/chart32.xml"/><Relationship Id="rId5" Type="http://schemas.openxmlformats.org/officeDocument/2006/relationships/chart" Target="../charts/chart31.xml"/><Relationship Id="rId4" Type="http://schemas.openxmlformats.org/officeDocument/2006/relationships/chart" Target="../charts/chart30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7.xml"/><Relationship Id="rId5" Type="http://schemas.openxmlformats.org/officeDocument/2006/relationships/chart" Target="../charts/chart36.xml"/><Relationship Id="rId4" Type="http://schemas.openxmlformats.org/officeDocument/2006/relationships/chart" Target="../charts/chart3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39.xml"/><Relationship Id="rId1" Type="http://schemas.openxmlformats.org/officeDocument/2006/relationships/chart" Target="../charts/chart38.xml"/><Relationship Id="rId6" Type="http://schemas.openxmlformats.org/officeDocument/2006/relationships/chart" Target="../charts/chart42.xml"/><Relationship Id="rId5" Type="http://schemas.openxmlformats.org/officeDocument/2006/relationships/chart" Target="../charts/chart41.xml"/><Relationship Id="rId4" Type="http://schemas.openxmlformats.org/officeDocument/2006/relationships/chart" Target="../charts/chart40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4.xml"/><Relationship Id="rId1" Type="http://schemas.openxmlformats.org/officeDocument/2006/relationships/chart" Target="../charts/chart43.xml"/><Relationship Id="rId6" Type="http://schemas.openxmlformats.org/officeDocument/2006/relationships/chart" Target="../charts/chart47.xml"/><Relationship Id="rId5" Type="http://schemas.openxmlformats.org/officeDocument/2006/relationships/chart" Target="../charts/chart46.xml"/><Relationship Id="rId4" Type="http://schemas.openxmlformats.org/officeDocument/2006/relationships/chart" Target="../charts/chart45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9.xml"/><Relationship Id="rId1" Type="http://schemas.openxmlformats.org/officeDocument/2006/relationships/chart" Target="../charts/chart48.xml"/><Relationship Id="rId6" Type="http://schemas.openxmlformats.org/officeDocument/2006/relationships/chart" Target="../charts/chart52.xml"/><Relationship Id="rId5" Type="http://schemas.openxmlformats.org/officeDocument/2006/relationships/chart" Target="../charts/chart51.xml"/><Relationship Id="rId4" Type="http://schemas.openxmlformats.org/officeDocument/2006/relationships/chart" Target="../charts/chart50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4.xml"/><Relationship Id="rId1" Type="http://schemas.openxmlformats.org/officeDocument/2006/relationships/chart" Target="../charts/chart53.xml"/><Relationship Id="rId6" Type="http://schemas.openxmlformats.org/officeDocument/2006/relationships/chart" Target="../charts/chart57.xml"/><Relationship Id="rId5" Type="http://schemas.openxmlformats.org/officeDocument/2006/relationships/chart" Target="../charts/chart56.xml"/><Relationship Id="rId4" Type="http://schemas.openxmlformats.org/officeDocument/2006/relationships/chart" Target="../charts/chart55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59.xml"/><Relationship Id="rId1" Type="http://schemas.openxmlformats.org/officeDocument/2006/relationships/chart" Target="../charts/chart58.xml"/><Relationship Id="rId6" Type="http://schemas.openxmlformats.org/officeDocument/2006/relationships/chart" Target="../charts/chart62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2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4.xml"/><Relationship Id="rId1" Type="http://schemas.openxmlformats.org/officeDocument/2006/relationships/chart" Target="../charts/chart63.xml"/><Relationship Id="rId6" Type="http://schemas.openxmlformats.org/officeDocument/2006/relationships/chart" Target="../charts/chart67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2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69.xml"/><Relationship Id="rId1" Type="http://schemas.openxmlformats.org/officeDocument/2006/relationships/chart" Target="../charts/chart68.xml"/><Relationship Id="rId6" Type="http://schemas.openxmlformats.org/officeDocument/2006/relationships/chart" Target="../charts/chart72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3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4.xml"/><Relationship Id="rId1" Type="http://schemas.openxmlformats.org/officeDocument/2006/relationships/chart" Target="../charts/chart73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3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79.xml"/><Relationship Id="rId1" Type="http://schemas.openxmlformats.org/officeDocument/2006/relationships/chart" Target="../charts/chart78.xml"/><Relationship Id="rId6" Type="http://schemas.openxmlformats.org/officeDocument/2006/relationships/chart" Target="../charts/chart82.xml"/><Relationship Id="rId5" Type="http://schemas.openxmlformats.org/officeDocument/2006/relationships/chart" Target="../charts/chart81.xml"/><Relationship Id="rId4" Type="http://schemas.openxmlformats.org/officeDocument/2006/relationships/chart" Target="../charts/chart80.xml"/></Relationships>
</file>

<file path=xl/drawings/_rels/drawing3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4.xml"/><Relationship Id="rId1" Type="http://schemas.openxmlformats.org/officeDocument/2006/relationships/chart" Target="../charts/chart83.xml"/><Relationship Id="rId6" Type="http://schemas.openxmlformats.org/officeDocument/2006/relationships/chart" Target="../charts/chart87.xml"/><Relationship Id="rId5" Type="http://schemas.openxmlformats.org/officeDocument/2006/relationships/chart" Target="../charts/chart86.xml"/><Relationship Id="rId4" Type="http://schemas.openxmlformats.org/officeDocument/2006/relationships/chart" Target="../charts/chart85.xml"/></Relationships>
</file>

<file path=xl/drawings/_rels/drawing3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89.xml"/><Relationship Id="rId1" Type="http://schemas.openxmlformats.org/officeDocument/2006/relationships/chart" Target="../charts/chart88.xml"/><Relationship Id="rId6" Type="http://schemas.openxmlformats.org/officeDocument/2006/relationships/chart" Target="../charts/chart92.xml"/><Relationship Id="rId5" Type="http://schemas.openxmlformats.org/officeDocument/2006/relationships/chart" Target="../charts/chart91.xml"/><Relationship Id="rId4" Type="http://schemas.openxmlformats.org/officeDocument/2006/relationships/chart" Target="../charts/chart90.xml"/></Relationships>
</file>

<file path=xl/drawings/_rels/drawing3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4.xml"/><Relationship Id="rId1" Type="http://schemas.openxmlformats.org/officeDocument/2006/relationships/chart" Target="../charts/chart93.xml"/><Relationship Id="rId6" Type="http://schemas.openxmlformats.org/officeDocument/2006/relationships/chart" Target="../charts/chart97.xml"/><Relationship Id="rId5" Type="http://schemas.openxmlformats.org/officeDocument/2006/relationships/chart" Target="../charts/chart96.xml"/><Relationship Id="rId4" Type="http://schemas.openxmlformats.org/officeDocument/2006/relationships/chart" Target="../charts/chart95.xml"/></Relationships>
</file>

<file path=xl/drawings/_rels/drawing4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99.xml"/><Relationship Id="rId1" Type="http://schemas.openxmlformats.org/officeDocument/2006/relationships/chart" Target="../charts/chart98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4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4.xml"/><Relationship Id="rId1" Type="http://schemas.openxmlformats.org/officeDocument/2006/relationships/chart" Target="../charts/chart103.xml"/><Relationship Id="rId6" Type="http://schemas.openxmlformats.org/officeDocument/2006/relationships/chart" Target="../charts/chart107.xml"/><Relationship Id="rId5" Type="http://schemas.openxmlformats.org/officeDocument/2006/relationships/chart" Target="../charts/chart106.xml"/><Relationship Id="rId4" Type="http://schemas.openxmlformats.org/officeDocument/2006/relationships/chart" Target="../charts/chart105.xml"/></Relationships>
</file>

<file path=xl/drawings/_rels/drawing4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09.xml"/><Relationship Id="rId1" Type="http://schemas.openxmlformats.org/officeDocument/2006/relationships/chart" Target="../charts/chart108.xml"/><Relationship Id="rId6" Type="http://schemas.openxmlformats.org/officeDocument/2006/relationships/chart" Target="../charts/chart112.xml"/><Relationship Id="rId5" Type="http://schemas.openxmlformats.org/officeDocument/2006/relationships/chart" Target="../charts/chart111.xml"/><Relationship Id="rId4" Type="http://schemas.openxmlformats.org/officeDocument/2006/relationships/chart" Target="../charts/chart110.xml"/></Relationships>
</file>

<file path=xl/drawings/_rels/drawing4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4.xml"/><Relationship Id="rId1" Type="http://schemas.openxmlformats.org/officeDocument/2006/relationships/chart" Target="../charts/chart113.xml"/><Relationship Id="rId6" Type="http://schemas.openxmlformats.org/officeDocument/2006/relationships/chart" Target="../charts/chart117.xml"/><Relationship Id="rId5" Type="http://schemas.openxmlformats.org/officeDocument/2006/relationships/chart" Target="../charts/chart116.xml"/><Relationship Id="rId4" Type="http://schemas.openxmlformats.org/officeDocument/2006/relationships/chart" Target="../charts/chart115.xml"/></Relationships>
</file>

<file path=xl/drawings/_rels/drawing4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19.xml"/><Relationship Id="rId1" Type="http://schemas.openxmlformats.org/officeDocument/2006/relationships/chart" Target="../charts/chart118.xml"/><Relationship Id="rId6" Type="http://schemas.openxmlformats.org/officeDocument/2006/relationships/chart" Target="../charts/chart122.xml"/><Relationship Id="rId5" Type="http://schemas.openxmlformats.org/officeDocument/2006/relationships/chart" Target="../charts/chart121.xml"/><Relationship Id="rId4" Type="http://schemas.openxmlformats.org/officeDocument/2006/relationships/chart" Target="../charts/chart120.xml"/></Relationships>
</file>

<file path=xl/drawings/_rels/drawing5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4.xml"/><Relationship Id="rId1" Type="http://schemas.openxmlformats.org/officeDocument/2006/relationships/chart" Target="../charts/chart123.xml"/><Relationship Id="rId6" Type="http://schemas.openxmlformats.org/officeDocument/2006/relationships/chart" Target="../charts/chart127.xml"/><Relationship Id="rId5" Type="http://schemas.openxmlformats.org/officeDocument/2006/relationships/chart" Target="../charts/chart126.xml"/><Relationship Id="rId4" Type="http://schemas.openxmlformats.org/officeDocument/2006/relationships/chart" Target="../charts/chart125.xml"/></Relationships>
</file>

<file path=xl/drawings/_rels/drawing5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29.xml"/><Relationship Id="rId1" Type="http://schemas.openxmlformats.org/officeDocument/2006/relationships/chart" Target="../charts/chart128.xml"/><Relationship Id="rId6" Type="http://schemas.openxmlformats.org/officeDocument/2006/relationships/chart" Target="../charts/chart132.xml"/><Relationship Id="rId5" Type="http://schemas.openxmlformats.org/officeDocument/2006/relationships/chart" Target="../charts/chart131.xml"/><Relationship Id="rId4" Type="http://schemas.openxmlformats.org/officeDocument/2006/relationships/chart" Target="../charts/chart130.xml"/></Relationships>
</file>

<file path=xl/drawings/_rels/drawing5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134.xml"/><Relationship Id="rId1" Type="http://schemas.openxmlformats.org/officeDocument/2006/relationships/chart" Target="../charts/chart133.xml"/><Relationship Id="rId6" Type="http://schemas.openxmlformats.org/officeDocument/2006/relationships/chart" Target="../charts/chart137.xml"/><Relationship Id="rId5" Type="http://schemas.openxmlformats.org/officeDocument/2006/relationships/chart" Target="../charts/chart136.xml"/><Relationship Id="rId4" Type="http://schemas.openxmlformats.org/officeDocument/2006/relationships/chart" Target="../charts/chart1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19</xdr:row>
      <xdr:rowOff>104775</xdr:rowOff>
    </xdr:from>
    <xdr:to>
      <xdr:col>16</xdr:col>
      <xdr:colOff>66675</xdr:colOff>
      <xdr:row>31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200023</xdr:colOff>
      <xdr:row>19</xdr:row>
      <xdr:rowOff>123825</xdr:rowOff>
    </xdr:from>
    <xdr:to>
      <xdr:col>32</xdr:col>
      <xdr:colOff>371474</xdr:colOff>
      <xdr:row>31</xdr:row>
      <xdr:rowOff>19050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25</xdr:row>
      <xdr:rowOff>0</xdr:rowOff>
    </xdr:from>
    <xdr:to>
      <xdr:col>12</xdr:col>
      <xdr:colOff>1199028</xdr:colOff>
      <xdr:row>38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25</xdr:row>
      <xdr:rowOff>0</xdr:rowOff>
    </xdr:from>
    <xdr:to>
      <xdr:col>29</xdr:col>
      <xdr:colOff>457200</xdr:colOff>
      <xdr:row>38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39</xdr:row>
      <xdr:rowOff>13607</xdr:rowOff>
    </xdr:from>
    <xdr:to>
      <xdr:col>29</xdr:col>
      <xdr:colOff>476250</xdr:colOff>
      <xdr:row>47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7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49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1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23</xdr:row>
      <xdr:rowOff>0</xdr:rowOff>
    </xdr:from>
    <xdr:to>
      <xdr:col>12</xdr:col>
      <xdr:colOff>1199028</xdr:colOff>
      <xdr:row>36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23</xdr:row>
      <xdr:rowOff>0</xdr:rowOff>
    </xdr:from>
    <xdr:to>
      <xdr:col>29</xdr:col>
      <xdr:colOff>457200</xdr:colOff>
      <xdr:row>36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37</xdr:row>
      <xdr:rowOff>13607</xdr:rowOff>
    </xdr:from>
    <xdr:to>
      <xdr:col>29</xdr:col>
      <xdr:colOff>476250</xdr:colOff>
      <xdr:row>45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3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drawings/drawing5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2" name="차트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56029</xdr:colOff>
      <xdr:row>24</xdr:row>
      <xdr:rowOff>0</xdr:rowOff>
    </xdr:from>
    <xdr:to>
      <xdr:col>12</xdr:col>
      <xdr:colOff>1199028</xdr:colOff>
      <xdr:row>37</xdr:row>
      <xdr:rowOff>142875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24</xdr:row>
      <xdr:rowOff>0</xdr:rowOff>
    </xdr:from>
    <xdr:to>
      <xdr:col>29</xdr:col>
      <xdr:colOff>457200</xdr:colOff>
      <xdr:row>37</xdr:row>
      <xdr:rowOff>142875</xdr:rowOff>
    </xdr:to>
    <xdr:graphicFrame macro="">
      <xdr:nvGraphicFramePr>
        <xdr:cNvPr id="6" name="차트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54428</xdr:colOff>
      <xdr:row>0</xdr:row>
      <xdr:rowOff>54428</xdr:rowOff>
    </xdr:from>
    <xdr:to>
      <xdr:col>29</xdr:col>
      <xdr:colOff>499381</xdr:colOff>
      <xdr:row>2</xdr:row>
      <xdr:rowOff>136071</xdr:rowOff>
    </xdr:to>
    <xdr:pic>
      <xdr:nvPicPr>
        <xdr:cNvPr id="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66403" y="54428"/>
          <a:ext cx="3245303" cy="120559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0</xdr:col>
      <xdr:colOff>40821</xdr:colOff>
      <xdr:row>38</xdr:row>
      <xdr:rowOff>13607</xdr:rowOff>
    </xdr:from>
    <xdr:to>
      <xdr:col>29</xdr:col>
      <xdr:colOff>476250</xdr:colOff>
      <xdr:row>46</xdr:row>
      <xdr:rowOff>326570</xdr:rowOff>
    </xdr:to>
    <xdr:graphicFrame macro="">
      <xdr:nvGraphicFramePr>
        <xdr:cNvPr id="8" name="차트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55.xml><?xml version="1.0" encoding="utf-8"?>
<c:userShapes xmlns:c="http://schemas.openxmlformats.org/drawingml/2006/chart">
  <cdr:relSizeAnchor xmlns:cdr="http://schemas.openxmlformats.org/drawingml/2006/chartDrawing">
    <cdr:from>
      <cdr:x>0.92094</cdr:x>
      <cdr:y>0.1281</cdr:y>
    </cdr:from>
    <cdr:to>
      <cdr:x>0.99197</cdr:x>
      <cdr:y>0.27273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0288251" y="421821"/>
          <a:ext cx="1564822" cy="4762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0.90481</cdr:x>
      <cdr:y>0.04546</cdr:y>
    </cdr:from>
    <cdr:to>
      <cdr:x>0.95793</cdr:x>
      <cdr:y>0.18182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20548591" y="149688"/>
          <a:ext cx="1206372" cy="4490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algn="ctr"/>
          <a:r>
            <a:rPr lang="ko-KR" altLang="en-US" sz="2000" b="1"/>
            <a:t>목표치</a:t>
          </a:r>
        </a:p>
      </cdr:txBody>
    </cdr:sp>
  </cdr:relSizeAnchor>
</c:userShape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2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4.xml"/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  <pageSetUpPr fitToPage="1"/>
  </sheetPr>
  <dimension ref="A1:AG19"/>
  <sheetViews>
    <sheetView view="pageBreakPreview" zoomScaleNormal="100" zoomScaleSheetLayoutView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I9" sqref="AI9"/>
    </sheetView>
  </sheetViews>
  <sheetFormatPr defaultRowHeight="13.5"/>
  <cols>
    <col min="1" max="1" width="7.5" style="75" bestFit="1" customWidth="1"/>
    <col min="2" max="17" width="5.5" style="75" bestFit="1" customWidth="1"/>
    <col min="18" max="18" width="7.5" style="75" bestFit="1" customWidth="1"/>
    <col min="19" max="33" width="5.5" style="75" bestFit="1" customWidth="1"/>
    <col min="34" max="16384" width="9" style="75"/>
  </cols>
  <sheetData>
    <row r="1" spans="1:33" ht="33.75" customHeight="1" thickBot="1">
      <c r="A1" s="385" t="s">
        <v>181</v>
      </c>
      <c r="B1" s="385"/>
      <c r="C1" s="385"/>
      <c r="D1" s="385"/>
      <c r="E1" s="385"/>
      <c r="F1" s="385"/>
      <c r="G1" s="385"/>
      <c r="H1" s="385"/>
    </row>
    <row r="2" spans="1:33" ht="21.75" customHeight="1" thickBot="1">
      <c r="A2" s="96" t="s">
        <v>64</v>
      </c>
      <c r="B2" s="98" t="s">
        <v>79</v>
      </c>
      <c r="C2" s="99" t="s">
        <v>80</v>
      </c>
      <c r="D2" s="99" t="s">
        <v>81</v>
      </c>
      <c r="E2" s="99" t="s">
        <v>82</v>
      </c>
      <c r="F2" s="99" t="s">
        <v>83</v>
      </c>
      <c r="G2" s="99" t="s">
        <v>84</v>
      </c>
      <c r="H2" s="99" t="s">
        <v>85</v>
      </c>
      <c r="I2" s="99" t="s">
        <v>86</v>
      </c>
      <c r="J2" s="99" t="s">
        <v>87</v>
      </c>
      <c r="K2" s="99" t="s">
        <v>88</v>
      </c>
      <c r="L2" s="99" t="s">
        <v>89</v>
      </c>
      <c r="M2" s="99" t="s">
        <v>90</v>
      </c>
      <c r="N2" s="99" t="s">
        <v>91</v>
      </c>
      <c r="O2" s="99" t="s">
        <v>92</v>
      </c>
      <c r="P2" s="99" t="s">
        <v>93</v>
      </c>
      <c r="Q2" s="99" t="s">
        <v>94</v>
      </c>
      <c r="R2" s="99" t="s">
        <v>95</v>
      </c>
      <c r="S2" s="99" t="s">
        <v>96</v>
      </c>
      <c r="T2" s="99" t="s">
        <v>97</v>
      </c>
      <c r="U2" s="99" t="s">
        <v>98</v>
      </c>
      <c r="V2" s="99" t="s">
        <v>99</v>
      </c>
      <c r="W2" s="99" t="s">
        <v>100</v>
      </c>
      <c r="X2" s="99" t="s">
        <v>101</v>
      </c>
      <c r="Y2" s="99" t="s">
        <v>102</v>
      </c>
      <c r="Z2" s="99" t="s">
        <v>103</v>
      </c>
      <c r="AA2" s="99" t="s">
        <v>104</v>
      </c>
      <c r="AB2" s="99" t="s">
        <v>105</v>
      </c>
      <c r="AC2" s="99" t="s">
        <v>106</v>
      </c>
      <c r="AD2" s="99" t="s">
        <v>107</v>
      </c>
      <c r="AE2" s="99" t="s">
        <v>108</v>
      </c>
      <c r="AF2" s="100" t="s">
        <v>109</v>
      </c>
      <c r="AG2" s="96" t="s">
        <v>111</v>
      </c>
    </row>
    <row r="3" spans="1:33" ht="21.75" customHeight="1">
      <c r="A3" s="116" t="s">
        <v>65</v>
      </c>
      <c r="B3" s="111">
        <f>'01'!AD6</f>
        <v>0</v>
      </c>
      <c r="C3" s="111">
        <f>'02'!AD6</f>
        <v>0</v>
      </c>
      <c r="D3" s="104">
        <f>'03'!AD6</f>
        <v>0</v>
      </c>
      <c r="E3" s="104">
        <f>'04'!AD6</f>
        <v>0.39326923076923082</v>
      </c>
      <c r="F3" s="104">
        <f>'05'!AD6</f>
        <v>0.99843137254901959</v>
      </c>
      <c r="G3" s="104">
        <f>'06'!AD6</f>
        <v>0.99883040935672518</v>
      </c>
      <c r="H3" s="104">
        <f>'07'!AD6</f>
        <v>0.9984282907662082</v>
      </c>
      <c r="I3" s="104">
        <f>'08'!AD6</f>
        <v>0.37382198952879581</v>
      </c>
      <c r="J3" s="104">
        <f>'09'!AD6</f>
        <v>0.37312499999999998</v>
      </c>
      <c r="K3" s="104">
        <f>'10'!AD6</f>
        <v>0</v>
      </c>
      <c r="L3" s="104">
        <f>'11'!AD6</f>
        <v>0</v>
      </c>
      <c r="M3" s="104"/>
      <c r="N3" s="122">
        <f>'13'!AD6</f>
        <v>0</v>
      </c>
      <c r="O3" s="104">
        <f>'14'!AD6</f>
        <v>0</v>
      </c>
      <c r="P3" s="104">
        <f>'15'!AD6</f>
        <v>0</v>
      </c>
      <c r="Q3" s="104">
        <f>'16'!AD6</f>
        <v>0</v>
      </c>
      <c r="R3" s="104">
        <f>'17'!AD6</f>
        <v>0</v>
      </c>
      <c r="S3" s="104"/>
      <c r="T3" s="104"/>
      <c r="U3" s="104">
        <f>'20'!AD6</f>
        <v>0</v>
      </c>
      <c r="V3" s="104">
        <f>'21'!AD6</f>
        <v>0</v>
      </c>
      <c r="W3" s="122">
        <f>'22'!AD6</f>
        <v>0</v>
      </c>
      <c r="X3" s="104">
        <f>'23'!AD6</f>
        <v>0</v>
      </c>
      <c r="Y3" s="104">
        <f>'24'!AD6</f>
        <v>0</v>
      </c>
      <c r="Z3" s="104">
        <f>'25'!AD6</f>
        <v>0</v>
      </c>
      <c r="AA3" s="104"/>
      <c r="AB3" s="104">
        <f>'27'!AD6</f>
        <v>0</v>
      </c>
      <c r="AC3" s="104">
        <f>'28'!AD6</f>
        <v>0</v>
      </c>
      <c r="AD3" s="104">
        <f>'29'!AD6</f>
        <v>0</v>
      </c>
      <c r="AE3" s="104">
        <f>'30'!AD6</f>
        <v>0</v>
      </c>
      <c r="AF3" s="105">
        <f>'31'!AD6</f>
        <v>0</v>
      </c>
      <c r="AG3" s="107">
        <f>SUM(B3:AF3)/31</f>
        <v>0.13341633203128966</v>
      </c>
    </row>
    <row r="4" spans="1:33" ht="21.75" customHeight="1">
      <c r="A4" s="117" t="s">
        <v>66</v>
      </c>
      <c r="B4" s="112">
        <f>'01'!AD7</f>
        <v>0</v>
      </c>
      <c r="C4" s="112">
        <f>'02'!AD7</f>
        <v>0</v>
      </c>
      <c r="D4" s="81">
        <f>'03'!AD7</f>
        <v>0</v>
      </c>
      <c r="E4" s="81">
        <f>'04'!AD7</f>
        <v>0</v>
      </c>
      <c r="F4" s="81">
        <f>'05'!AD7</f>
        <v>0</v>
      </c>
      <c r="G4" s="81">
        <f>'06'!AD7</f>
        <v>0</v>
      </c>
      <c r="H4" s="81">
        <f>'07'!AD7</f>
        <v>0.539766081871345</v>
      </c>
      <c r="I4" s="81">
        <f>'08'!AD7</f>
        <v>0.99873150105708242</v>
      </c>
      <c r="J4" s="81">
        <f>'09'!AD7</f>
        <v>1</v>
      </c>
      <c r="K4" s="81">
        <f>'10'!AD7</f>
        <v>0.95732456140350874</v>
      </c>
      <c r="L4" s="81">
        <f>'11'!AD7</f>
        <v>0.99842931937172774</v>
      </c>
      <c r="M4" s="81"/>
      <c r="N4" s="81">
        <f>'13'!AD7</f>
        <v>0.95833333333333337</v>
      </c>
      <c r="O4" s="81">
        <f>'14'!AD7</f>
        <v>0.9151851851851851</v>
      </c>
      <c r="P4" s="81">
        <f>'15'!AD7</f>
        <v>0.9984429065743945</v>
      </c>
      <c r="Q4" s="81">
        <f>'16'!AD7</f>
        <v>0.99965095986038399</v>
      </c>
      <c r="R4" s="81">
        <f>'17'!AD7</f>
        <v>0.99838383838383837</v>
      </c>
      <c r="S4" s="81"/>
      <c r="T4" s="81"/>
      <c r="U4" s="81">
        <f>'20'!AD7</f>
        <v>0.99831460674157302</v>
      </c>
      <c r="V4" s="81">
        <f>'21'!AD7</f>
        <v>0.99965217391304351</v>
      </c>
      <c r="W4" s="81">
        <f>'22'!AD7</f>
        <v>0.99947826086956526</v>
      </c>
      <c r="X4" s="81">
        <f>'23'!AD7</f>
        <v>1</v>
      </c>
      <c r="Y4" s="81">
        <f>'24'!AD7</f>
        <v>0.58262768817204302</v>
      </c>
      <c r="Z4" s="81">
        <f>'25'!AD7</f>
        <v>0.79130043690567975</v>
      </c>
      <c r="AA4" s="81"/>
      <c r="AB4" s="81">
        <f>'27'!AD7</f>
        <v>0.7479083665338645</v>
      </c>
      <c r="AC4" s="81">
        <f>'28'!AD7</f>
        <v>0.91542792792792793</v>
      </c>
      <c r="AD4" s="81">
        <f>'29'!AD7</f>
        <v>0.45635016025641023</v>
      </c>
      <c r="AE4" s="81">
        <f>'30'!AD7</f>
        <v>0</v>
      </c>
      <c r="AF4" s="82">
        <f>'31'!AD7</f>
        <v>0</v>
      </c>
      <c r="AG4" s="83">
        <f t="shared" ref="AG4:AG18" si="0">SUM(B4:AF4)/31</f>
        <v>0.54371959059228725</v>
      </c>
    </row>
    <row r="5" spans="1:33" ht="21.75" customHeight="1">
      <c r="A5" s="118" t="s">
        <v>67</v>
      </c>
      <c r="B5" s="113">
        <f>'01'!AD8</f>
        <v>0.99838420107719927</v>
      </c>
      <c r="C5" s="113">
        <f>'02'!AD8</f>
        <v>0.91645880574451999</v>
      </c>
      <c r="D5" s="84">
        <f>'03'!AD8</f>
        <v>0.70833333333333337</v>
      </c>
      <c r="E5" s="84">
        <f>'04'!AD8</f>
        <v>0.875</v>
      </c>
      <c r="F5" s="84">
        <f>'05'!AD8</f>
        <v>0.99979550102249493</v>
      </c>
      <c r="G5" s="84">
        <f>'06'!AD8</f>
        <v>0.99937238493723846</v>
      </c>
      <c r="H5" s="84">
        <f>'07'!AD8</f>
        <v>0.99956043956043961</v>
      </c>
      <c r="I5" s="84">
        <f>'08'!AD8</f>
        <v>1</v>
      </c>
      <c r="J5" s="84">
        <f>'09'!AD8</f>
        <v>0.41560913705583757</v>
      </c>
      <c r="K5" s="84">
        <f>'10'!AD8</f>
        <v>0.9992974238875878</v>
      </c>
      <c r="L5" s="84">
        <f>'11'!AD8</f>
        <v>0.33115264797507787</v>
      </c>
      <c r="M5" s="84"/>
      <c r="N5" s="84">
        <f>'13'!AD8</f>
        <v>0.70811335403726716</v>
      </c>
      <c r="O5" s="84">
        <f>'14'!AD8</f>
        <v>0.99867424242424241</v>
      </c>
      <c r="P5" s="84">
        <f>'15'!AD8</f>
        <v>0.20667989417989419</v>
      </c>
      <c r="Q5" s="84">
        <f>'16'!AD8</f>
        <v>0</v>
      </c>
      <c r="R5" s="84">
        <f>'17'!AD8</f>
        <v>0</v>
      </c>
      <c r="S5" s="84"/>
      <c r="T5" s="84"/>
      <c r="U5" s="84">
        <f>'20'!AD8</f>
        <v>0</v>
      </c>
      <c r="V5" s="84">
        <f>'21'!AD8</f>
        <v>0</v>
      </c>
      <c r="W5" s="123">
        <f>'22'!AD8</f>
        <v>0</v>
      </c>
      <c r="X5" s="84">
        <f>'23'!AD8</f>
        <v>0</v>
      </c>
      <c r="Y5" s="84">
        <f>'24'!AD8</f>
        <v>0</v>
      </c>
      <c r="Z5" s="84">
        <f>'25'!AD8</f>
        <v>0</v>
      </c>
      <c r="AA5" s="84"/>
      <c r="AB5" s="84">
        <f>'27'!AD8</f>
        <v>0</v>
      </c>
      <c r="AC5" s="84">
        <f>'28'!AD8</f>
        <v>0</v>
      </c>
      <c r="AD5" s="84">
        <f>'29'!AD8</f>
        <v>0</v>
      </c>
      <c r="AE5" s="84">
        <f>'30'!AD8</f>
        <v>0.49902439024390244</v>
      </c>
      <c r="AF5" s="85">
        <f>'31'!AD8</f>
        <v>0.58285714285714285</v>
      </c>
      <c r="AG5" s="86">
        <f t="shared" si="0"/>
        <v>0.39478428704310253</v>
      </c>
    </row>
    <row r="6" spans="1:33" ht="21.75" customHeight="1">
      <c r="A6" s="119" t="s">
        <v>68</v>
      </c>
      <c r="B6" s="114">
        <f>'01'!AD9</f>
        <v>8.3333333333333329E-2</v>
      </c>
      <c r="C6" s="114">
        <f>'02'!AD9</f>
        <v>0</v>
      </c>
      <c r="D6" s="87">
        <f>'03'!AD9</f>
        <v>0.87348765432098763</v>
      </c>
      <c r="E6" s="87">
        <f>'04'!AD9+'04'!AD10</f>
        <v>0.91355461198563925</v>
      </c>
      <c r="F6" s="87">
        <f>'05'!AD9</f>
        <v>0.79079430670339756</v>
      </c>
      <c r="G6" s="87">
        <f>'06'!AD9</f>
        <v>0.91666666666666663</v>
      </c>
      <c r="H6" s="87">
        <f>'07'!AD9</f>
        <v>0</v>
      </c>
      <c r="I6" s="87">
        <f>'08'!AD9</f>
        <v>0.24869281045751634</v>
      </c>
      <c r="J6" s="87">
        <f>'09'!AD9</f>
        <v>0.24946236559139784</v>
      </c>
      <c r="K6" s="87">
        <f>'10'!AD9</f>
        <v>0.58312425328554363</v>
      </c>
      <c r="L6" s="87">
        <f>'11'!AD9</f>
        <v>0</v>
      </c>
      <c r="M6" s="87"/>
      <c r="N6" s="87">
        <f>'13'!AD9</f>
        <v>0</v>
      </c>
      <c r="O6" s="87">
        <f>'14'!AD9</f>
        <v>0.95824262501971924</v>
      </c>
      <c r="P6" s="87">
        <f>'15'!AD9</f>
        <v>1</v>
      </c>
      <c r="Q6" s="87">
        <f>'16'!AD9</f>
        <v>0.99901170351105328</v>
      </c>
      <c r="R6" s="87">
        <f>'17'!AD9</f>
        <v>0.95726654298082881</v>
      </c>
      <c r="S6" s="87"/>
      <c r="T6" s="87"/>
      <c r="U6" s="87">
        <f>'20'!AD9</f>
        <v>0.41666666666666669</v>
      </c>
      <c r="V6" s="87">
        <f>'21'!AD9</f>
        <v>0</v>
      </c>
      <c r="W6" s="87">
        <f>'22'!AD9</f>
        <v>0.24755434782608696</v>
      </c>
      <c r="X6" s="87">
        <f>'23'!AD9</f>
        <v>0.49785714285714283</v>
      </c>
      <c r="Y6" s="87">
        <f>'24'!AD9</f>
        <v>0.24921052631578947</v>
      </c>
      <c r="Z6" s="87">
        <f>'25'!AD9</f>
        <v>0.49905660377358491</v>
      </c>
      <c r="AA6" s="87"/>
      <c r="AB6" s="87">
        <f>'27'!AD9</f>
        <v>0.790836247086247</v>
      </c>
      <c r="AC6" s="87">
        <f>'28'!AD9</f>
        <v>0.83208208208208212</v>
      </c>
      <c r="AD6" s="87">
        <f>'29'!AD9</f>
        <v>0.91604024297646158</v>
      </c>
      <c r="AE6" s="87">
        <f>'30'!AD9</f>
        <v>0.33177777777777773</v>
      </c>
      <c r="AF6" s="88">
        <f>'31'!AD9</f>
        <v>0.49793577981651377</v>
      </c>
      <c r="AG6" s="89">
        <f t="shared" si="0"/>
        <v>0.44685981583982043</v>
      </c>
    </row>
    <row r="7" spans="1:33" ht="21.75" customHeight="1">
      <c r="A7" s="119" t="s">
        <v>69</v>
      </c>
      <c r="B7" s="114">
        <f>'01'!AD10</f>
        <v>0.83287037037037037</v>
      </c>
      <c r="C7" s="114">
        <f>'02'!AD10</f>
        <v>0.8313648293963255</v>
      </c>
      <c r="D7" s="87">
        <f>'03'!AD10</f>
        <v>0.87384868421052642</v>
      </c>
      <c r="E7" s="87">
        <f>'04'!AD11</f>
        <v>1</v>
      </c>
      <c r="F7" s="87">
        <f>'05'!AD10</f>
        <v>0</v>
      </c>
      <c r="G7" s="87">
        <f>'06'!AD10</f>
        <v>0</v>
      </c>
      <c r="H7" s="87">
        <f>'07'!AD10+'07'!AD11</f>
        <v>0.95678215154021595</v>
      </c>
      <c r="I7" s="87">
        <f>'08'!AD10</f>
        <v>0.99962928637627435</v>
      </c>
      <c r="J7" s="87">
        <f>'09'!AD10</f>
        <v>0.99979654120040695</v>
      </c>
      <c r="K7" s="87">
        <f>'10'!AD10</f>
        <v>0.95764264264264265</v>
      </c>
      <c r="L7" s="87">
        <f>'11'!AD10</f>
        <v>0</v>
      </c>
      <c r="M7" s="87"/>
      <c r="N7" s="87">
        <f>'13'!AD10</f>
        <v>0.41472222222222221</v>
      </c>
      <c r="O7" s="87">
        <f>'14'!AD10</f>
        <v>0.16666666666666666</v>
      </c>
      <c r="P7" s="87">
        <f>'15'!AD10</f>
        <v>0</v>
      </c>
      <c r="Q7" s="87">
        <f>'16'!AD10</f>
        <v>0</v>
      </c>
      <c r="R7" s="87">
        <f>'17'!AD10</f>
        <v>0.41633597883597884</v>
      </c>
      <c r="S7" s="87"/>
      <c r="T7" s="87"/>
      <c r="U7" s="87">
        <f>'20'!AD10</f>
        <v>0</v>
      </c>
      <c r="V7" s="87">
        <f>'21'!AD10+'21'!AD11</f>
        <v>0.37020161290322579</v>
      </c>
      <c r="W7" s="87">
        <f>'22'!AD10</f>
        <v>0.54113300492610839</v>
      </c>
      <c r="X7" s="87">
        <f>'23'!AD10</f>
        <v>0.623046875</v>
      </c>
      <c r="Y7" s="87">
        <f>'24'!AD10</f>
        <v>0.58151851851851855</v>
      </c>
      <c r="Z7" s="87">
        <f>'25'!AD10</f>
        <v>0.41628959276018102</v>
      </c>
      <c r="AA7" s="87"/>
      <c r="AB7" s="87">
        <f>'27'!AD10</f>
        <v>0.91665235828195324</v>
      </c>
      <c r="AC7" s="87">
        <f>'28'!AD10</f>
        <v>0.874527027027027</v>
      </c>
      <c r="AD7" s="87">
        <f>'29'!AD10</f>
        <v>0.33199105145413865</v>
      </c>
      <c r="AE7" s="87">
        <f>'30'!AD10</f>
        <v>0.20722222222222222</v>
      </c>
      <c r="AF7" s="88">
        <f>'31'!AD10</f>
        <v>0.33333333333333331</v>
      </c>
      <c r="AG7" s="89">
        <f t="shared" si="0"/>
        <v>0.44017983773833352</v>
      </c>
    </row>
    <row r="8" spans="1:33" ht="21.75" customHeight="1">
      <c r="A8" s="119" t="s">
        <v>70</v>
      </c>
      <c r="B8" s="114">
        <f>'01'!AD11</f>
        <v>0.9994197292069632</v>
      </c>
      <c r="C8" s="114">
        <f>'02'!AD11</f>
        <v>0.41623488773747841</v>
      </c>
      <c r="D8" s="87">
        <f>'03'!AD11</f>
        <v>0</v>
      </c>
      <c r="E8" s="87">
        <f>'04'!AD12</f>
        <v>0</v>
      </c>
      <c r="F8" s="87">
        <f>'05'!AD11</f>
        <v>0</v>
      </c>
      <c r="G8" s="87">
        <f>'06'!AD11</f>
        <v>0</v>
      </c>
      <c r="H8" s="87">
        <f>'07'!AD12</f>
        <v>0.16666666666666666</v>
      </c>
      <c r="I8" s="87">
        <f>'08'!AD11</f>
        <v>0</v>
      </c>
      <c r="J8" s="87">
        <f>'09'!AD11</f>
        <v>0</v>
      </c>
      <c r="K8" s="87">
        <f>'10'!AD11</f>
        <v>0</v>
      </c>
      <c r="L8" s="87">
        <f>'11'!AD11</f>
        <v>0.16666666666666666</v>
      </c>
      <c r="M8" s="87"/>
      <c r="N8" s="87">
        <f>'13'!AD11</f>
        <v>0</v>
      </c>
      <c r="O8" s="87">
        <f>'14'!AD11</f>
        <v>0</v>
      </c>
      <c r="P8" s="87">
        <f>'15'!AD11+'15'!AD12</f>
        <v>0.9563656473260993</v>
      </c>
      <c r="Q8" s="87">
        <f>'16'!AD11</f>
        <v>0.91666666666666663</v>
      </c>
      <c r="R8" s="87">
        <f>'17'!AD11</f>
        <v>0.99966216216216219</v>
      </c>
      <c r="S8" s="87"/>
      <c r="T8" s="87"/>
      <c r="U8" s="87">
        <f>'20'!AD11</f>
        <v>0.91643459915611813</v>
      </c>
      <c r="V8" s="87">
        <f>'21'!AD12</f>
        <v>0.16418439716312055</v>
      </c>
      <c r="W8" s="87">
        <f>'22'!AD11</f>
        <v>0.16532258064516128</v>
      </c>
      <c r="X8" s="87">
        <f>'23'!AD11</f>
        <v>0.91605007473841549</v>
      </c>
      <c r="Y8" s="87">
        <f>'24'!AD11+'24'!AD12</f>
        <v>0.83047200426232681</v>
      </c>
      <c r="Z8" s="87">
        <f>'25'!AD11</f>
        <v>0</v>
      </c>
      <c r="AA8" s="87"/>
      <c r="AB8" s="87">
        <f>'27'!AD11</f>
        <v>0.5825520833333333</v>
      </c>
      <c r="AC8" s="87">
        <f>'28'!AD11</f>
        <v>0</v>
      </c>
      <c r="AD8" s="87">
        <f>'29'!AD11</f>
        <v>0</v>
      </c>
      <c r="AE8" s="87">
        <f>'30'!AD11</f>
        <v>0</v>
      </c>
      <c r="AF8" s="88">
        <f>'31'!AD11</f>
        <v>0.20833333333333334</v>
      </c>
      <c r="AG8" s="89">
        <f t="shared" si="0"/>
        <v>0.27113004835691978</v>
      </c>
    </row>
    <row r="9" spans="1:33" ht="21.75" customHeight="1">
      <c r="A9" s="119" t="s">
        <v>71</v>
      </c>
      <c r="B9" s="114">
        <f>'01'!AD12</f>
        <v>0.95710992907801418</v>
      </c>
      <c r="C9" s="114">
        <f>'02'!AD12+'02'!AD13</f>
        <v>0.83109739956399875</v>
      </c>
      <c r="D9" s="87">
        <f>'03'!AD12</f>
        <v>0.62459935897435903</v>
      </c>
      <c r="E9" s="87">
        <f>'04'!AD13</f>
        <v>0.9579306722689076</v>
      </c>
      <c r="F9" s="87">
        <f>'05'!AD12</f>
        <v>0.58333333333333337</v>
      </c>
      <c r="G9" s="87">
        <f>'06'!AD12</f>
        <v>0.37234513274336278</v>
      </c>
      <c r="H9" s="87">
        <f>'07'!AD13</f>
        <v>0</v>
      </c>
      <c r="I9" s="87">
        <f>'08'!AD12</f>
        <v>0</v>
      </c>
      <c r="J9" s="87">
        <f>'09'!AD12+'09'!AD13</f>
        <v>0.706989247311828</v>
      </c>
      <c r="K9" s="87">
        <f>'10'!AD12</f>
        <v>0</v>
      </c>
      <c r="L9" s="87">
        <f>'11'!AD12</f>
        <v>0</v>
      </c>
      <c r="M9" s="87"/>
      <c r="N9" s="87">
        <f>'13'!AD12</f>
        <v>0</v>
      </c>
      <c r="O9" s="87">
        <f>'14'!AD12</f>
        <v>0</v>
      </c>
      <c r="P9" s="87">
        <f>'15'!AD13</f>
        <v>0.25</v>
      </c>
      <c r="Q9" s="87">
        <f>'16'!AD12</f>
        <v>0</v>
      </c>
      <c r="R9" s="87">
        <f>'17'!AD12</f>
        <v>0.16666666666666666</v>
      </c>
      <c r="S9" s="87"/>
      <c r="T9" s="87"/>
      <c r="U9" s="87">
        <f>'20'!AD12</f>
        <v>0</v>
      </c>
      <c r="V9" s="87">
        <f>'21'!AD13</f>
        <v>0</v>
      </c>
      <c r="W9" s="87">
        <f>'22'!AD12</f>
        <v>0</v>
      </c>
      <c r="X9" s="87">
        <f>'23'!AD12</f>
        <v>0</v>
      </c>
      <c r="Y9" s="87">
        <f>'24'!AD13</f>
        <v>0</v>
      </c>
      <c r="Z9" s="87">
        <f>'25'!AD12</f>
        <v>0</v>
      </c>
      <c r="AA9" s="87"/>
      <c r="AB9" s="87">
        <f>'27'!AD12</f>
        <v>0</v>
      </c>
      <c r="AC9" s="87">
        <f>'28'!AD12</f>
        <v>0</v>
      </c>
      <c r="AD9" s="87">
        <f>'29'!AD12</f>
        <v>0</v>
      </c>
      <c r="AE9" s="87">
        <f>'30'!AD12</f>
        <v>0</v>
      </c>
      <c r="AF9" s="88">
        <f>'31'!AD12</f>
        <v>0.24746835443037973</v>
      </c>
      <c r="AG9" s="89">
        <f t="shared" si="0"/>
        <v>0.18379161594744681</v>
      </c>
    </row>
    <row r="10" spans="1:33" ht="21.75" customHeight="1">
      <c r="A10" s="119" t="s">
        <v>72</v>
      </c>
      <c r="B10" s="114">
        <f>'01'!AD13</f>
        <v>0.83063725490196072</v>
      </c>
      <c r="C10" s="114">
        <f>'02'!AD14</f>
        <v>0.99956140350877198</v>
      </c>
      <c r="D10" s="87">
        <f>'03'!AD13</f>
        <v>0.49885844748858449</v>
      </c>
      <c r="E10" s="87">
        <f>'04'!AD14</f>
        <v>0.74879679144385025</v>
      </c>
      <c r="F10" s="87">
        <f>'05'!AD13</f>
        <v>0</v>
      </c>
      <c r="G10" s="87">
        <f>'06'!AD13</f>
        <v>0.45607923497267755</v>
      </c>
      <c r="H10" s="87">
        <f>'07'!AD14</f>
        <v>0.66666666666666663</v>
      </c>
      <c r="I10" s="87">
        <f>'08'!AD13</f>
        <v>0.62476503759398494</v>
      </c>
      <c r="J10" s="87">
        <f>'09'!AD14</f>
        <v>0.99937369519832986</v>
      </c>
      <c r="K10" s="87">
        <f>'10'!AD13</f>
        <v>0.99913043478260866</v>
      </c>
      <c r="L10" s="87">
        <f>'11'!AD13</f>
        <v>0.62426470588235294</v>
      </c>
      <c r="M10" s="87"/>
      <c r="N10" s="87">
        <f>'13'!AD13</f>
        <v>0.83146591970121386</v>
      </c>
      <c r="O10" s="87">
        <f>'14'!AD13</f>
        <v>0.99936034115138594</v>
      </c>
      <c r="P10" s="87">
        <f>'15'!AD14</f>
        <v>0.875</v>
      </c>
      <c r="Q10" s="87">
        <f>'16'!AD13</f>
        <v>0.875</v>
      </c>
      <c r="R10" s="87">
        <f>'17'!AD13</f>
        <v>0.83241505968778706</v>
      </c>
      <c r="S10" s="87"/>
      <c r="T10" s="87"/>
      <c r="U10" s="87">
        <f>'20'!AD13</f>
        <v>0.95657088122605372</v>
      </c>
      <c r="V10" s="87">
        <f>'21'!AD14+'21'!AD15</f>
        <v>0.91486217223165434</v>
      </c>
      <c r="W10" s="87">
        <f>'22'!AD13</f>
        <v>0</v>
      </c>
      <c r="X10" s="87">
        <f>'23'!AD13</f>
        <v>0.41554054054054057</v>
      </c>
      <c r="Y10" s="87">
        <f>'24'!AD14</f>
        <v>0.75</v>
      </c>
      <c r="Z10" s="87">
        <f>'25'!AD13</f>
        <v>0.875</v>
      </c>
      <c r="AA10" s="87"/>
      <c r="AB10" s="87">
        <f>'27'!AD13</f>
        <v>0.99976580796252923</v>
      </c>
      <c r="AC10" s="87">
        <f>'28'!AD13</f>
        <v>0.41491841491841491</v>
      </c>
      <c r="AD10" s="87">
        <f>'29'!AD13</f>
        <v>0.79101239669421486</v>
      </c>
      <c r="AE10" s="87">
        <f>'30'!AD13</f>
        <v>0.24854368932038834</v>
      </c>
      <c r="AF10" s="88">
        <f>'31'!AD13+'31'!AD14</f>
        <v>0.66487179487179482</v>
      </c>
      <c r="AG10" s="89">
        <f t="shared" si="0"/>
        <v>0.6094342158305085</v>
      </c>
    </row>
    <row r="11" spans="1:33" ht="21.75" customHeight="1">
      <c r="A11" s="118" t="s">
        <v>73</v>
      </c>
      <c r="B11" s="113">
        <f>'01'!AD14</f>
        <v>0</v>
      </c>
      <c r="C11" s="113">
        <f>'02'!AD15</f>
        <v>0.79166666666666663</v>
      </c>
      <c r="D11" s="84">
        <f>'03'!AD14</f>
        <v>0.99902439024390244</v>
      </c>
      <c r="E11" s="84">
        <f>'04'!AD15</f>
        <v>0</v>
      </c>
      <c r="F11" s="84">
        <f>'05'!AD14</f>
        <v>0</v>
      </c>
      <c r="G11" s="84">
        <f>'06'!AD14</f>
        <v>0</v>
      </c>
      <c r="H11" s="84">
        <f>'07'!AD15</f>
        <v>0</v>
      </c>
      <c r="I11" s="84">
        <f>'08'!AD14</f>
        <v>0</v>
      </c>
      <c r="J11" s="84">
        <f>'09'!AD15</f>
        <v>0</v>
      </c>
      <c r="K11" s="84">
        <f>'10'!AD14</f>
        <v>0.22750000000000004</v>
      </c>
      <c r="L11" s="84">
        <f>'11'!AD14</f>
        <v>0</v>
      </c>
      <c r="M11" s="84"/>
      <c r="N11" s="84">
        <f>'13'!AD14</f>
        <v>0.20614035087719298</v>
      </c>
      <c r="O11" s="84">
        <f>'14'!AD14</f>
        <v>0</v>
      </c>
      <c r="P11" s="84">
        <f>'15'!AD15</f>
        <v>0</v>
      </c>
      <c r="Q11" s="84">
        <f>'16'!AD14</f>
        <v>0.58049768518518519</v>
      </c>
      <c r="R11" s="84">
        <f>'17'!AD14</f>
        <v>0.57968750000000002</v>
      </c>
      <c r="S11" s="84"/>
      <c r="T11" s="84"/>
      <c r="U11" s="84">
        <f>'20'!AD14</f>
        <v>0.58333333333333337</v>
      </c>
      <c r="V11" s="84">
        <f>'21'!AD16</f>
        <v>3.4722222222222224E-2</v>
      </c>
      <c r="W11" s="84">
        <f>'22'!AD14</f>
        <v>0.20750000000000002</v>
      </c>
      <c r="X11" s="84">
        <f>'23'!AD14</f>
        <v>0</v>
      </c>
      <c r="Y11" s="84">
        <f>'24'!AD15</f>
        <v>0.54166666666666663</v>
      </c>
      <c r="Z11" s="84">
        <f>'25'!AD14</f>
        <v>0.91666666666666663</v>
      </c>
      <c r="AA11" s="84"/>
      <c r="AB11" s="84">
        <f>'27'!AD14</f>
        <v>0.99860000000000004</v>
      </c>
      <c r="AC11" s="84">
        <f>'28'!AD14</f>
        <v>0.99923076923076926</v>
      </c>
      <c r="AD11" s="84">
        <f>'29'!AD14</f>
        <v>0.99920477137176933</v>
      </c>
      <c r="AE11" s="84">
        <f>'30'!AD14</f>
        <v>0.16666666666666666</v>
      </c>
      <c r="AF11" s="85">
        <f>'31'!AD15</f>
        <v>0</v>
      </c>
      <c r="AG11" s="86">
        <f t="shared" si="0"/>
        <v>0.28490669964938847</v>
      </c>
    </row>
    <row r="12" spans="1:33" ht="21.75" customHeight="1">
      <c r="A12" s="118" t="s">
        <v>74</v>
      </c>
      <c r="B12" s="113">
        <f>'01'!AD15</f>
        <v>0.99962264150943392</v>
      </c>
      <c r="C12" s="113">
        <f>'02'!AD16</f>
        <v>0.99962264150943392</v>
      </c>
      <c r="D12" s="84">
        <f>'03'!AD15</f>
        <v>0.79166666666666663</v>
      </c>
      <c r="E12" s="84">
        <f>'04'!AD16</f>
        <v>0</v>
      </c>
      <c r="F12" s="84">
        <f>'05'!AD15</f>
        <v>0</v>
      </c>
      <c r="G12" s="84">
        <f>'06'!AD15</f>
        <v>0</v>
      </c>
      <c r="H12" s="84">
        <f>'07'!AD16</f>
        <v>0</v>
      </c>
      <c r="I12" s="84">
        <f>'08'!AD15</f>
        <v>0</v>
      </c>
      <c r="J12" s="84">
        <f>'09'!AD16</f>
        <v>0</v>
      </c>
      <c r="K12" s="84">
        <f>'10'!AD15</f>
        <v>0</v>
      </c>
      <c r="L12" s="84">
        <f>'11'!AD15</f>
        <v>0</v>
      </c>
      <c r="M12" s="84"/>
      <c r="N12" s="84">
        <f>'13'!AD15</f>
        <v>0.91617427633542226</v>
      </c>
      <c r="O12" s="84">
        <f>'14'!AD15</f>
        <v>0.9994952681388013</v>
      </c>
      <c r="P12" s="84">
        <f>'15'!AD16</f>
        <v>0.41652915291529152</v>
      </c>
      <c r="Q12" s="84">
        <f>'16'!AD15</f>
        <v>0.25</v>
      </c>
      <c r="R12" s="84">
        <f>'17'!AD15</f>
        <v>0</v>
      </c>
      <c r="S12" s="84"/>
      <c r="T12" s="84"/>
      <c r="U12" s="84">
        <f>'20'!AD15</f>
        <v>0</v>
      </c>
      <c r="V12" s="84">
        <f>'21'!AD17</f>
        <v>0</v>
      </c>
      <c r="W12" s="84">
        <f>'22'!AD15</f>
        <v>0</v>
      </c>
      <c r="X12" s="84">
        <f>'23'!AD15</f>
        <v>0</v>
      </c>
      <c r="Y12" s="84">
        <f>'24'!AD16</f>
        <v>0</v>
      </c>
      <c r="Z12" s="84">
        <f>'25'!AD15</f>
        <v>0</v>
      </c>
      <c r="AA12" s="84"/>
      <c r="AB12" s="84">
        <f>'27'!AD15</f>
        <v>0</v>
      </c>
      <c r="AC12" s="84">
        <f>'28'!AD15</f>
        <v>0</v>
      </c>
      <c r="AD12" s="84">
        <f>'29'!AD15</f>
        <v>0</v>
      </c>
      <c r="AE12" s="84">
        <f>'30'!AD15</f>
        <v>0.24990757855822551</v>
      </c>
      <c r="AF12" s="85">
        <f>'31'!AD16</f>
        <v>0</v>
      </c>
      <c r="AG12" s="86">
        <f t="shared" si="0"/>
        <v>0.18138768469784761</v>
      </c>
    </row>
    <row r="13" spans="1:33" ht="21.75" customHeight="1">
      <c r="A13" s="118" t="s">
        <v>75</v>
      </c>
      <c r="B13" s="113">
        <f>'01'!AD16</f>
        <v>0.99964412811387904</v>
      </c>
      <c r="C13" s="113">
        <f>'02'!AD17</f>
        <v>0.99870609981515712</v>
      </c>
      <c r="D13" s="84">
        <f>'03'!AD16</f>
        <v>0.29166666666666669</v>
      </c>
      <c r="E13" s="84">
        <f>'04'!AD17</f>
        <v>0.99962121212121213</v>
      </c>
      <c r="F13" s="84">
        <f>'05'!AD16</f>
        <v>0.99948453608247423</v>
      </c>
      <c r="G13" s="84">
        <f>'06'!AD16</f>
        <v>0.99980582524271844</v>
      </c>
      <c r="H13" s="84">
        <f>'07'!AD17</f>
        <v>0.83333333333333337</v>
      </c>
      <c r="I13" s="84">
        <f>'08'!AD16</f>
        <v>0.9994836488812392</v>
      </c>
      <c r="J13" s="84">
        <f>'09'!AD17</f>
        <v>0.99914529914529915</v>
      </c>
      <c r="K13" s="84">
        <f>'10'!AD16</f>
        <v>0.7498076923076924</v>
      </c>
      <c r="L13" s="84">
        <f>'11'!AD16</f>
        <v>0.99845890410958904</v>
      </c>
      <c r="M13" s="84"/>
      <c r="N13" s="84">
        <f>'13'!AD16</f>
        <v>0.95742063492063501</v>
      </c>
      <c r="O13" s="84">
        <f>'14'!AD16</f>
        <v>0.99898373983739841</v>
      </c>
      <c r="P13" s="84">
        <f>'15'!AD17+'15'!AD18</f>
        <v>0.5392570281124498</v>
      </c>
      <c r="Q13" s="84">
        <f>'16'!AD16</f>
        <v>0.99980657640232107</v>
      </c>
      <c r="R13" s="84">
        <f>'17'!AD16</f>
        <v>0.99981617647058818</v>
      </c>
      <c r="S13" s="84"/>
      <c r="T13" s="84"/>
      <c r="U13" s="84">
        <f>'20'!AD16</f>
        <v>0.95701538965291422</v>
      </c>
      <c r="V13" s="84">
        <f>'21'!AD18</f>
        <v>0.99948096885813154</v>
      </c>
      <c r="W13" s="84">
        <f>'22'!AD16</f>
        <v>0.45810067681895089</v>
      </c>
      <c r="X13" s="84">
        <f>'23'!AD16</f>
        <v>0.79166666666666663</v>
      </c>
      <c r="Y13" s="84">
        <f>'24'!AD17</f>
        <v>0.66645865834633389</v>
      </c>
      <c r="Z13" s="84">
        <f>'25'!AD16</f>
        <v>0.49970414201183433</v>
      </c>
      <c r="AA13" s="84"/>
      <c r="AB13" s="84">
        <f>'27'!AD16</f>
        <v>0</v>
      </c>
      <c r="AC13" s="84">
        <f>'28'!AD16</f>
        <v>0.79021406727828747</v>
      </c>
      <c r="AD13" s="84">
        <f>'29'!AD16</f>
        <v>0.12474489795918367</v>
      </c>
      <c r="AE13" s="84">
        <f>'30'!AD16</f>
        <v>0</v>
      </c>
      <c r="AF13" s="85">
        <f>'31'!AD17</f>
        <v>0</v>
      </c>
      <c r="AG13" s="86">
        <f t="shared" si="0"/>
        <v>0.63392990223080492</v>
      </c>
    </row>
    <row r="14" spans="1:33" ht="21.75" customHeight="1">
      <c r="A14" s="118" t="s">
        <v>76</v>
      </c>
      <c r="B14" s="113">
        <f>'01'!AD17</f>
        <v>0.99960159362549805</v>
      </c>
      <c r="C14" s="113">
        <f>'02'!AD18</f>
        <v>0.66630036630036626</v>
      </c>
      <c r="D14" s="84">
        <f>'03'!AD17</f>
        <v>0.20833333333333334</v>
      </c>
      <c r="E14" s="84">
        <f>'04'!AD18</f>
        <v>0</v>
      </c>
      <c r="F14" s="84">
        <f>'05'!AD17</f>
        <v>0</v>
      </c>
      <c r="G14" s="84">
        <f>'06'!AD17</f>
        <v>0</v>
      </c>
      <c r="H14" s="84">
        <f>'07'!AD18</f>
        <v>0.41537037037037039</v>
      </c>
      <c r="I14" s="84">
        <f>'08'!AD17</f>
        <v>0</v>
      </c>
      <c r="J14" s="84">
        <f>'09'!AD18</f>
        <v>0.74812500000000004</v>
      </c>
      <c r="K14" s="84">
        <f>'10'!AD17</f>
        <v>0</v>
      </c>
      <c r="L14" s="84">
        <f>'11'!AD17</f>
        <v>0</v>
      </c>
      <c r="M14" s="84"/>
      <c r="N14" s="84">
        <f>'13'!AD17</f>
        <v>0</v>
      </c>
      <c r="O14" s="84">
        <f>'14'!AD17</f>
        <v>0.375</v>
      </c>
      <c r="P14" s="84">
        <f>'15'!AD19</f>
        <v>0</v>
      </c>
      <c r="Q14" s="84">
        <f>'16'!AD17</f>
        <v>0.66565272496831429</v>
      </c>
      <c r="R14" s="84">
        <f>'17'!AD17</f>
        <v>0</v>
      </c>
      <c r="S14" s="84"/>
      <c r="T14" s="84"/>
      <c r="U14" s="84">
        <f>'20'!AD17</f>
        <v>0</v>
      </c>
      <c r="V14" s="84">
        <f>'21'!AD19</f>
        <v>0.83526615969581741</v>
      </c>
      <c r="W14" s="84">
        <f>'22'!AD17</f>
        <v>0.49870466321243523</v>
      </c>
      <c r="X14" s="84">
        <f>'23'!AD17</f>
        <v>0</v>
      </c>
      <c r="Y14" s="84">
        <f>'24'!AD18</f>
        <v>0</v>
      </c>
      <c r="Z14" s="84">
        <f>'25'!AD17</f>
        <v>0.91488480921526283</v>
      </c>
      <c r="AA14" s="84"/>
      <c r="AB14" s="84">
        <f>'27'!AD17</f>
        <v>0.37435714285714289</v>
      </c>
      <c r="AC14" s="84">
        <f>'28'!AD17</f>
        <v>0.99916317991631798</v>
      </c>
      <c r="AD14" s="84">
        <f>'29'!AD17</f>
        <v>0.66643913538111488</v>
      </c>
      <c r="AE14" s="84">
        <f>'30'!AD17</f>
        <v>0.62434895833333326</v>
      </c>
      <c r="AF14" s="85">
        <f>'31'!AD18</f>
        <v>0.62307363013698636</v>
      </c>
      <c r="AG14" s="86">
        <f t="shared" si="0"/>
        <v>0.3101490666885901</v>
      </c>
    </row>
    <row r="15" spans="1:33" ht="21.75" customHeight="1">
      <c r="A15" s="119" t="s">
        <v>77</v>
      </c>
      <c r="B15" s="114">
        <f>'01'!AD18</f>
        <v>1</v>
      </c>
      <c r="C15" s="114">
        <f>'02'!AD19</f>
        <v>0.58234463276836168</v>
      </c>
      <c r="D15" s="87">
        <f>'03'!AD18</f>
        <v>0.74879679144385025</v>
      </c>
      <c r="E15" s="87">
        <f>'04'!AD19</f>
        <v>0.99961240310077515</v>
      </c>
      <c r="F15" s="87">
        <f>'05'!AD18</f>
        <v>1</v>
      </c>
      <c r="G15" s="87">
        <f>'06'!AD18</f>
        <v>0.24973958333333332</v>
      </c>
      <c r="H15" s="87">
        <f>'07'!AD19</f>
        <v>0.99834024896265561</v>
      </c>
      <c r="I15" s="87">
        <f>'08'!AD18</f>
        <v>0.99981167608286248</v>
      </c>
      <c r="J15" s="87">
        <f>'09'!AD19</f>
        <v>0.78995031616982836</v>
      </c>
      <c r="K15" s="87">
        <f>'10'!AD18</f>
        <v>0.99869158878504671</v>
      </c>
      <c r="L15" s="87">
        <f>'11'!AD18</f>
        <v>0.99856887298747765</v>
      </c>
      <c r="M15" s="87"/>
      <c r="N15" s="87">
        <f>'13'!AD18</f>
        <v>0.66593673965936739</v>
      </c>
      <c r="O15" s="87">
        <f>'14'!AD18</f>
        <v>0.99848771266540648</v>
      </c>
      <c r="P15" s="87">
        <f>'15'!AD20</f>
        <v>0.49895833333333334</v>
      </c>
      <c r="Q15" s="87">
        <f>'16'!AD18</f>
        <v>0.5</v>
      </c>
      <c r="R15" s="87">
        <f>'17'!AD18+'17'!AD19</f>
        <v>0.70761316872427993</v>
      </c>
      <c r="S15" s="87"/>
      <c r="T15" s="87"/>
      <c r="U15" s="87">
        <f>'20'!AD18</f>
        <v>0</v>
      </c>
      <c r="V15" s="87">
        <f>'21'!AD20</f>
        <v>0</v>
      </c>
      <c r="W15" s="87">
        <f>'22'!AD18</f>
        <v>0</v>
      </c>
      <c r="X15" s="87">
        <f>'23'!AD18</f>
        <v>0</v>
      </c>
      <c r="Y15" s="87">
        <f>'24'!AD19</f>
        <v>0.16512345679012344</v>
      </c>
      <c r="Z15" s="87">
        <f>'25'!AD18</f>
        <v>0.24851190476190477</v>
      </c>
      <c r="AA15" s="87"/>
      <c r="AB15" s="87">
        <f>'27'!AD18</f>
        <v>0.12375</v>
      </c>
      <c r="AC15" s="87">
        <f>'28'!AD18+'28'!AD19</f>
        <v>0.95440561529271206</v>
      </c>
      <c r="AD15" s="87">
        <f>'29'!AD18+'29'!AD19</f>
        <v>0.95740603363006915</v>
      </c>
      <c r="AE15" s="87">
        <f>'30'!AD18</f>
        <v>0.66487025948103784</v>
      </c>
      <c r="AF15" s="88">
        <f>'31'!AD19</f>
        <v>0.16666666666666666</v>
      </c>
      <c r="AG15" s="89">
        <f t="shared" si="0"/>
        <v>0.51669632273029331</v>
      </c>
    </row>
    <row r="16" spans="1:33" ht="21.75" customHeight="1">
      <c r="A16" s="119" t="s">
        <v>78</v>
      </c>
      <c r="B16" s="114">
        <f>'01'!AD19</f>
        <v>0.83290378006872856</v>
      </c>
      <c r="C16" s="114">
        <f>'02'!AD20</f>
        <v>0.99803063457330421</v>
      </c>
      <c r="D16" s="87">
        <f>'03'!AD19</f>
        <v>3.5193289569657185E-2</v>
      </c>
      <c r="E16" s="87">
        <f>'04'!AD20</f>
        <v>0.70833333333333337</v>
      </c>
      <c r="F16" s="87">
        <f>'05'!AD19</f>
        <v>0.87476728723404262</v>
      </c>
      <c r="G16" s="87">
        <f>'06'!AD19</f>
        <v>0.91666666666666663</v>
      </c>
      <c r="H16" s="87">
        <f>'07'!AD20</f>
        <v>0.87411392405063293</v>
      </c>
      <c r="I16" s="87">
        <f>'08'!AD19</f>
        <v>0.91666666666666663</v>
      </c>
      <c r="J16" s="87">
        <f>'09'!AD20</f>
        <v>0.83312236286919839</v>
      </c>
      <c r="K16" s="87">
        <f>'10'!AD19</f>
        <v>0.79010122410546135</v>
      </c>
      <c r="L16" s="87">
        <f>'11'!AD19</f>
        <v>0.9982213438735178</v>
      </c>
      <c r="M16" s="87"/>
      <c r="N16" s="87">
        <f>'13'!AD19</f>
        <v>0.87439236111111107</v>
      </c>
      <c r="O16" s="87">
        <f>'14'!AD19</f>
        <v>0.95728252923976609</v>
      </c>
      <c r="P16" s="87">
        <f>'15'!AD21</f>
        <v>0.55065789473684212</v>
      </c>
      <c r="Q16" s="87">
        <f>'16'!AD19</f>
        <v>0.79117948717948716</v>
      </c>
      <c r="R16" s="87">
        <f>'17'!AD20</f>
        <v>0.41456834532374104</v>
      </c>
      <c r="S16" s="87"/>
      <c r="T16" s="87"/>
      <c r="U16" s="87">
        <f>'20'!AD19</f>
        <v>0.95708874458874471</v>
      </c>
      <c r="V16" s="87">
        <f>'21'!AD21</f>
        <v>0.91492478226444962</v>
      </c>
      <c r="W16" s="87">
        <f>'22'!AD19</f>
        <v>0.99939879759519035</v>
      </c>
      <c r="X16" s="87">
        <f>'23'!AD19</f>
        <v>0.87334515366430265</v>
      </c>
      <c r="Y16" s="87">
        <f>'24'!AD20+'24'!AD21</f>
        <v>0.79060875382263007</v>
      </c>
      <c r="Z16" s="87">
        <f>'25'!AD19</f>
        <v>0.45787037037037037</v>
      </c>
      <c r="AA16" s="87"/>
      <c r="AB16" s="87">
        <f>'27'!AD19</f>
        <v>0</v>
      </c>
      <c r="AC16" s="87">
        <f>'28'!AD20</f>
        <v>0.91666666666666663</v>
      </c>
      <c r="AD16" s="87">
        <f>'29'!AD20</f>
        <v>0.74861538461538468</v>
      </c>
      <c r="AE16" s="87">
        <f>'30'!AD19</f>
        <v>0</v>
      </c>
      <c r="AF16" s="88">
        <f>'31'!AD20</f>
        <v>0</v>
      </c>
      <c r="AG16" s="89">
        <f t="shared" si="0"/>
        <v>0.61370063819967413</v>
      </c>
    </row>
    <row r="17" spans="1:33" ht="21.75" customHeight="1" thickBot="1">
      <c r="A17" s="120" t="s">
        <v>116</v>
      </c>
      <c r="B17" s="115">
        <f>'01'!AD20</f>
        <v>0.99985272459499264</v>
      </c>
      <c r="C17" s="115">
        <f>'02'!AD21</f>
        <v>0.99970856102003647</v>
      </c>
      <c r="D17" s="90">
        <f>'03'!AD20</f>
        <v>0.74987419625384399</v>
      </c>
      <c r="E17" s="90">
        <f>'04'!AD21</f>
        <v>0</v>
      </c>
      <c r="F17" s="90">
        <f>'05'!AD20</f>
        <v>0</v>
      </c>
      <c r="G17" s="90">
        <f>'06'!AD20</f>
        <v>0</v>
      </c>
      <c r="H17" s="90">
        <f>'07'!AD21</f>
        <v>0</v>
      </c>
      <c r="I17" s="90">
        <f>'08'!AD20</f>
        <v>0</v>
      </c>
      <c r="J17" s="90">
        <f>'09'!AD21</f>
        <v>0</v>
      </c>
      <c r="K17" s="90">
        <f>'10'!AD20</f>
        <v>0</v>
      </c>
      <c r="L17" s="90">
        <f>'11'!AD20</f>
        <v>0</v>
      </c>
      <c r="M17" s="90"/>
      <c r="N17" s="90">
        <f>'13'!AD20</f>
        <v>0</v>
      </c>
      <c r="O17" s="90">
        <f>'14'!AD20</f>
        <v>0</v>
      </c>
      <c r="P17" s="90">
        <f>'15'!AD22</f>
        <v>0</v>
      </c>
      <c r="Q17" s="90">
        <f>'16'!AD20</f>
        <v>0</v>
      </c>
      <c r="R17" s="90">
        <f>'17'!AD21</f>
        <v>0</v>
      </c>
      <c r="S17" s="90"/>
      <c r="T17" s="90"/>
      <c r="U17" s="90">
        <f>'20'!AD20</f>
        <v>0</v>
      </c>
      <c r="V17" s="90">
        <f>'21'!AD22</f>
        <v>0</v>
      </c>
      <c r="W17" s="90">
        <f>'22'!AD20</f>
        <v>0</v>
      </c>
      <c r="X17" s="90">
        <f>'23'!AD20</f>
        <v>0</v>
      </c>
      <c r="Y17" s="90">
        <f>'24'!AD22</f>
        <v>0</v>
      </c>
      <c r="Z17" s="90">
        <f>'25'!AD20</f>
        <v>0</v>
      </c>
      <c r="AA17" s="90"/>
      <c r="AB17" s="90">
        <f>'27'!AD20</f>
        <v>0</v>
      </c>
      <c r="AC17" s="90">
        <f>'28'!AD21</f>
        <v>0</v>
      </c>
      <c r="AD17" s="90">
        <f>'29'!AD21</f>
        <v>0</v>
      </c>
      <c r="AE17" s="90">
        <f>'30'!AD20</f>
        <v>0.2851027397260274</v>
      </c>
      <c r="AF17" s="91">
        <f>'31'!AD21</f>
        <v>0.5</v>
      </c>
      <c r="AG17" s="92">
        <f t="shared" si="0"/>
        <v>0.11401736198693227</v>
      </c>
    </row>
    <row r="18" spans="1:33" s="93" customFormat="1" ht="21.75" customHeight="1">
      <c r="A18" s="97" t="s">
        <v>110</v>
      </c>
      <c r="B18" s="101">
        <f>'01'!AD21</f>
        <v>0.7022253123920249</v>
      </c>
      <c r="C18" s="101">
        <f>'02'!AD22</f>
        <v>0.66873979524029481</v>
      </c>
      <c r="D18" s="102">
        <f>'03'!AD21</f>
        <v>0.4935788541670475</v>
      </c>
      <c r="E18" s="102">
        <f>'04'!AD22</f>
        <v>0.50640788366819656</v>
      </c>
      <c r="F18" s="102">
        <f>'05'!AD21</f>
        <v>0.41644042246165092</v>
      </c>
      <c r="G18" s="102">
        <f>'06'!AD21</f>
        <v>0.39396706026129263</v>
      </c>
      <c r="H18" s="102">
        <f>'07'!AD22</f>
        <v>0.49660187825256891</v>
      </c>
      <c r="I18" s="102">
        <f>'08'!AD21</f>
        <v>0.47744017444296155</v>
      </c>
      <c r="J18" s="102">
        <f>'09'!AD22</f>
        <v>0.54097993096947516</v>
      </c>
      <c r="K18" s="102">
        <f>'10'!AD21</f>
        <v>0.48417465474667282</v>
      </c>
      <c r="L18" s="102">
        <f>'11'!AD21</f>
        <v>0.34105083072442732</v>
      </c>
      <c r="M18" s="102"/>
      <c r="N18" s="102">
        <f>'13'!AD21</f>
        <v>0.43551327947985108</v>
      </c>
      <c r="O18" s="102">
        <f>'14'!AD21</f>
        <v>0.55782522068857143</v>
      </c>
      <c r="P18" s="102">
        <f>'15'!AD23</f>
        <v>0.41945939047855368</v>
      </c>
      <c r="Q18" s="102">
        <f>'16'!AD21</f>
        <v>0.5051643869182274</v>
      </c>
      <c r="R18" s="102">
        <f>'17'!AD22</f>
        <v>0.4714943626157248</v>
      </c>
      <c r="S18" s="102"/>
      <c r="T18" s="102"/>
      <c r="U18" s="102">
        <f>'20'!AD21</f>
        <v>0.38569494809102695</v>
      </c>
      <c r="V18" s="102">
        <f>'21'!AD23</f>
        <v>0.34888629928344439</v>
      </c>
      <c r="W18" s="102">
        <f>'22'!AD21</f>
        <v>0.27447948879289991</v>
      </c>
      <c r="X18" s="102">
        <f>'23'!AD21</f>
        <v>0.34116709689780461</v>
      </c>
      <c r="Y18" s="102">
        <f>'24'!AD23</f>
        <v>0.34384575152629548</v>
      </c>
      <c r="Z18" s="102">
        <f>'25'!AD21</f>
        <v>0.37461896843103232</v>
      </c>
      <c r="AA18" s="102"/>
      <c r="AB18" s="102">
        <f>'27'!AD21</f>
        <v>0.368961467070338</v>
      </c>
      <c r="AC18" s="102">
        <f>'28'!AD22</f>
        <v>0.51310905002268037</v>
      </c>
      <c r="AD18" s="102">
        <f>'29'!AD22</f>
        <v>0.39945360495591647</v>
      </c>
      <c r="AE18" s="102">
        <f>'30'!AD21</f>
        <v>0.21849761882197208</v>
      </c>
      <c r="AF18" s="103">
        <f>'31'!AD22</f>
        <v>0.25496933569641006</v>
      </c>
      <c r="AG18" s="106">
        <f t="shared" si="0"/>
        <v>0.37854022797088266</v>
      </c>
    </row>
    <row r="19" spans="1:33" ht="21.75" customHeight="1" thickBot="1">
      <c r="A19" s="76" t="s">
        <v>114</v>
      </c>
      <c r="B19" s="77">
        <v>0.7</v>
      </c>
      <c r="C19" s="78">
        <v>0.7</v>
      </c>
      <c r="D19" s="78">
        <v>0.7</v>
      </c>
      <c r="E19" s="78">
        <v>0.7</v>
      </c>
      <c r="F19" s="78">
        <v>0.7</v>
      </c>
      <c r="G19" s="78">
        <v>0.7</v>
      </c>
      <c r="H19" s="78">
        <v>0.7</v>
      </c>
      <c r="I19" s="78">
        <v>0.7</v>
      </c>
      <c r="J19" s="78">
        <v>0.7</v>
      </c>
      <c r="K19" s="78">
        <v>0.7</v>
      </c>
      <c r="L19" s="78">
        <v>0.7</v>
      </c>
      <c r="M19" s="78">
        <v>0.7</v>
      </c>
      <c r="N19" s="78">
        <v>0.7</v>
      </c>
      <c r="O19" s="78">
        <v>0.7</v>
      </c>
      <c r="P19" s="78">
        <v>0.7</v>
      </c>
      <c r="Q19" s="78">
        <v>0.7</v>
      </c>
      <c r="R19" s="78">
        <v>0.7</v>
      </c>
      <c r="S19" s="78">
        <v>0.7</v>
      </c>
      <c r="T19" s="78">
        <v>0.7</v>
      </c>
      <c r="U19" s="78">
        <v>0.7</v>
      </c>
      <c r="V19" s="78">
        <v>0.7</v>
      </c>
      <c r="W19" s="78">
        <v>0.7</v>
      </c>
      <c r="X19" s="78">
        <v>0.7</v>
      </c>
      <c r="Y19" s="78">
        <v>0.7</v>
      </c>
      <c r="Z19" s="78">
        <v>0.7</v>
      </c>
      <c r="AA19" s="78">
        <v>0.7</v>
      </c>
      <c r="AB19" s="78">
        <v>0.7</v>
      </c>
      <c r="AC19" s="78">
        <v>0.7</v>
      </c>
      <c r="AD19" s="78">
        <v>0.7</v>
      </c>
      <c r="AE19" s="78">
        <v>0.7</v>
      </c>
      <c r="AF19" s="79">
        <v>0.7</v>
      </c>
      <c r="AG19" s="80">
        <v>0.7</v>
      </c>
    </row>
  </sheetData>
  <mergeCells count="1">
    <mergeCell ref="A1:H1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E10" sqref="AE10:AE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180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135" t="s">
        <v>17</v>
      </c>
      <c r="L5" s="135" t="s">
        <v>18</v>
      </c>
      <c r="M5" s="135" t="s">
        <v>19</v>
      </c>
      <c r="N5" s="13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60000</v>
      </c>
      <c r="J6" s="14">
        <v>3640</v>
      </c>
      <c r="K6" s="15">
        <f>L6+3451+4945+5014+4206+4870+4920+1272+1912+3494+3637</f>
        <v>37721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>
        <v>24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16" si="7">$AD$21</f>
        <v>0.7022253123920249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2670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/>
      <c r="X7" s="17"/>
      <c r="Y7" s="20"/>
      <c r="Z7" s="20"/>
      <c r="AA7" s="21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0.7022253123920249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137</v>
      </c>
      <c r="F8" s="33" t="s">
        <v>139</v>
      </c>
      <c r="G8" s="36">
        <v>1</v>
      </c>
      <c r="H8" s="38">
        <v>35</v>
      </c>
      <c r="I8" s="7">
        <v>15000</v>
      </c>
      <c r="J8" s="14">
        <v>5570</v>
      </c>
      <c r="K8" s="15">
        <f>L8+1182+2835+4608+5224</f>
        <v>19410</v>
      </c>
      <c r="L8" s="15">
        <f>2750+428+2383</f>
        <v>5561</v>
      </c>
      <c r="M8" s="16">
        <f t="shared" si="0"/>
        <v>5561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0.99838420107719927</v>
      </c>
      <c r="AC8" s="9">
        <f t="shared" si="5"/>
        <v>1</v>
      </c>
      <c r="AD8" s="10">
        <f t="shared" si="6"/>
        <v>0.99838420107719927</v>
      </c>
      <c r="AE8" s="39">
        <f t="shared" si="7"/>
        <v>0.7022253123920249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154</v>
      </c>
      <c r="E9" s="57" t="s">
        <v>155</v>
      </c>
      <c r="F9" s="12" t="s">
        <v>127</v>
      </c>
      <c r="G9" s="12">
        <v>1</v>
      </c>
      <c r="H9" s="13">
        <v>25</v>
      </c>
      <c r="I9" s="34">
        <v>5000</v>
      </c>
      <c r="J9" s="5">
        <v>190</v>
      </c>
      <c r="K9" s="15">
        <f>L9+2574</f>
        <v>2764</v>
      </c>
      <c r="L9" s="15">
        <v>190</v>
      </c>
      <c r="M9" s="16">
        <f t="shared" si="0"/>
        <v>190</v>
      </c>
      <c r="N9" s="16">
        <v>0</v>
      </c>
      <c r="O9" s="62">
        <f t="shared" si="1"/>
        <v>0</v>
      </c>
      <c r="P9" s="42">
        <f t="shared" si="2"/>
        <v>2</v>
      </c>
      <c r="Q9" s="43">
        <f t="shared" si="3"/>
        <v>22</v>
      </c>
      <c r="R9" s="7"/>
      <c r="S9" s="6">
        <v>22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8.3333333333333329E-2</v>
      </c>
      <c r="AD9" s="10">
        <f t="shared" si="6"/>
        <v>8.3333333333333329E-2</v>
      </c>
      <c r="AE9" s="39">
        <f t="shared" si="7"/>
        <v>0.7022253123920249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182</v>
      </c>
      <c r="D10" s="55" t="s">
        <v>183</v>
      </c>
      <c r="E10" s="57" t="s">
        <v>184</v>
      </c>
      <c r="F10" s="12" t="s">
        <v>185</v>
      </c>
      <c r="G10" s="12">
        <v>1</v>
      </c>
      <c r="H10" s="13">
        <v>25</v>
      </c>
      <c r="I10" s="34">
        <v>5000</v>
      </c>
      <c r="J10" s="5">
        <v>3600</v>
      </c>
      <c r="K10" s="15">
        <f>L10</f>
        <v>3598</v>
      </c>
      <c r="L10" s="15">
        <f>1898+1700</f>
        <v>3598</v>
      </c>
      <c r="M10" s="16">
        <f t="shared" si="0"/>
        <v>3598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2</v>
      </c>
      <c r="T10" s="17">
        <v>2</v>
      </c>
      <c r="U10" s="17"/>
      <c r="V10" s="18"/>
      <c r="W10" s="19"/>
      <c r="X10" s="17"/>
      <c r="Y10" s="20"/>
      <c r="Z10" s="20"/>
      <c r="AA10" s="21"/>
      <c r="AB10" s="8">
        <f t="shared" si="4"/>
        <v>0.99944444444444447</v>
      </c>
      <c r="AC10" s="9">
        <f t="shared" si="5"/>
        <v>0.83333333333333337</v>
      </c>
      <c r="AD10" s="10">
        <f t="shared" si="6"/>
        <v>0.83287037037037037</v>
      </c>
      <c r="AE10" s="39">
        <f t="shared" si="7"/>
        <v>0.7022253123920249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182</v>
      </c>
      <c r="D11" s="55" t="s">
        <v>186</v>
      </c>
      <c r="E11" s="57" t="s">
        <v>187</v>
      </c>
      <c r="F11" s="12" t="s">
        <v>188</v>
      </c>
      <c r="G11" s="12">
        <v>1</v>
      </c>
      <c r="H11" s="13">
        <v>25</v>
      </c>
      <c r="I11" s="34">
        <v>5000</v>
      </c>
      <c r="J11" s="14">
        <v>5170</v>
      </c>
      <c r="K11" s="15">
        <f>L11</f>
        <v>5167</v>
      </c>
      <c r="L11" s="15">
        <f>2030+3137</f>
        <v>5167</v>
      </c>
      <c r="M11" s="16">
        <f t="shared" si="0"/>
        <v>5167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0.9994197292069632</v>
      </c>
      <c r="AC11" s="9">
        <f t="shared" si="5"/>
        <v>1</v>
      </c>
      <c r="AD11" s="10">
        <f t="shared" si="6"/>
        <v>0.9994197292069632</v>
      </c>
      <c r="AE11" s="39">
        <f t="shared" si="7"/>
        <v>0.7022253123920249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182</v>
      </c>
      <c r="D12" s="55" t="s">
        <v>189</v>
      </c>
      <c r="E12" s="57" t="s">
        <v>190</v>
      </c>
      <c r="F12" s="12" t="s">
        <v>185</v>
      </c>
      <c r="G12" s="12">
        <v>1</v>
      </c>
      <c r="H12" s="13">
        <v>25</v>
      </c>
      <c r="I12" s="34">
        <v>5000</v>
      </c>
      <c r="J12" s="5">
        <v>4700</v>
      </c>
      <c r="K12" s="15">
        <f>L12</f>
        <v>4694</v>
      </c>
      <c r="L12" s="15">
        <f>1839+2855</f>
        <v>4694</v>
      </c>
      <c r="M12" s="16">
        <f t="shared" si="0"/>
        <v>4694</v>
      </c>
      <c r="N12" s="16">
        <v>0</v>
      </c>
      <c r="O12" s="62">
        <f t="shared" si="1"/>
        <v>0</v>
      </c>
      <c r="P12" s="42">
        <f t="shared" si="2"/>
        <v>23</v>
      </c>
      <c r="Q12" s="43">
        <f t="shared" si="3"/>
        <v>1</v>
      </c>
      <c r="R12" s="7"/>
      <c r="S12" s="6"/>
      <c r="T12" s="17">
        <v>1</v>
      </c>
      <c r="U12" s="17"/>
      <c r="V12" s="18"/>
      <c r="W12" s="19"/>
      <c r="X12" s="17"/>
      <c r="Y12" s="20"/>
      <c r="Z12" s="20"/>
      <c r="AA12" s="21"/>
      <c r="AB12" s="8">
        <f t="shared" si="4"/>
        <v>0.99872340425531914</v>
      </c>
      <c r="AC12" s="9">
        <f t="shared" si="5"/>
        <v>0.95833333333333337</v>
      </c>
      <c r="AD12" s="10">
        <f t="shared" si="6"/>
        <v>0.95710992907801418</v>
      </c>
      <c r="AE12" s="39">
        <f t="shared" si="7"/>
        <v>0.7022253123920249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156</v>
      </c>
      <c r="E13" s="57" t="s">
        <v>157</v>
      </c>
      <c r="F13" s="12" t="s">
        <v>158</v>
      </c>
      <c r="G13" s="12">
        <v>1</v>
      </c>
      <c r="H13" s="13">
        <v>25</v>
      </c>
      <c r="I13" s="7">
        <v>22000</v>
      </c>
      <c r="J13" s="14">
        <v>3400</v>
      </c>
      <c r="K13" s="15">
        <f>L13+2452</f>
        <v>5841</v>
      </c>
      <c r="L13" s="15">
        <f>2465+924</f>
        <v>3389</v>
      </c>
      <c r="M13" s="16">
        <f t="shared" si="0"/>
        <v>3389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>
        <v>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0.99676470588235289</v>
      </c>
      <c r="AC13" s="9">
        <f t="shared" si="5"/>
        <v>0.83333333333333337</v>
      </c>
      <c r="AD13" s="10">
        <f t="shared" si="6"/>
        <v>0.83063725490196072</v>
      </c>
      <c r="AE13" s="39">
        <f t="shared" si="7"/>
        <v>0.7022253123920249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149</v>
      </c>
      <c r="E14" s="57" t="s">
        <v>150</v>
      </c>
      <c r="F14" s="33" t="s">
        <v>151</v>
      </c>
      <c r="G14" s="36">
        <v>1</v>
      </c>
      <c r="H14" s="38">
        <v>25</v>
      </c>
      <c r="I14" s="7">
        <v>200</v>
      </c>
      <c r="J14" s="5">
        <v>410</v>
      </c>
      <c r="K14" s="15">
        <f>L14+406</f>
        <v>406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/>
      <c r="T14" s="17"/>
      <c r="U14" s="17"/>
      <c r="V14" s="18"/>
      <c r="W14" s="19">
        <v>24</v>
      </c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0.7022253123920249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15900</v>
      </c>
      <c r="K15" s="15">
        <f>L15+7200</f>
        <v>23094</v>
      </c>
      <c r="L15" s="15">
        <f>4261*2+3686*2</f>
        <v>15894</v>
      </c>
      <c r="M15" s="16">
        <f t="shared" si="0"/>
        <v>15894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0.99962264150943392</v>
      </c>
      <c r="AC15" s="9">
        <f t="shared" si="5"/>
        <v>1</v>
      </c>
      <c r="AD15" s="10">
        <f t="shared" si="6"/>
        <v>0.99962264150943392</v>
      </c>
      <c r="AE15" s="39">
        <f t="shared" si="7"/>
        <v>0.7022253123920249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133</v>
      </c>
      <c r="E16" s="56" t="s">
        <v>146</v>
      </c>
      <c r="F16" s="12">
        <v>7301</v>
      </c>
      <c r="G16" s="36">
        <v>1</v>
      </c>
      <c r="H16" s="38">
        <v>25</v>
      </c>
      <c r="I16" s="7">
        <v>5000</v>
      </c>
      <c r="J16" s="14">
        <v>5620</v>
      </c>
      <c r="K16" s="15">
        <f>L16+3826+4897+4091</f>
        <v>18432</v>
      </c>
      <c r="L16" s="15">
        <f>3010+2608</f>
        <v>5618</v>
      </c>
      <c r="M16" s="16">
        <f t="shared" si="0"/>
        <v>5618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0.99964412811387904</v>
      </c>
      <c r="AC16" s="9">
        <f t="shared" si="5"/>
        <v>1</v>
      </c>
      <c r="AD16" s="10">
        <f t="shared" si="6"/>
        <v>0.99964412811387904</v>
      </c>
      <c r="AE16" s="39">
        <f t="shared" si="7"/>
        <v>0.7022253123920249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152</v>
      </c>
      <c r="E17" s="56" t="s">
        <v>153</v>
      </c>
      <c r="F17" s="12">
        <v>8301</v>
      </c>
      <c r="G17" s="12">
        <v>1</v>
      </c>
      <c r="H17" s="13">
        <v>25</v>
      </c>
      <c r="I17" s="34">
        <v>13000</v>
      </c>
      <c r="J17" s="5">
        <v>5020</v>
      </c>
      <c r="K17" s="15">
        <f>L17+2313+5677</f>
        <v>13008</v>
      </c>
      <c r="L17" s="15">
        <f>2943+2075</f>
        <v>5018</v>
      </c>
      <c r="M17" s="16">
        <f t="shared" si="0"/>
        <v>5018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0.99960159362549805</v>
      </c>
      <c r="AC17" s="9">
        <f t="shared" si="5"/>
        <v>1</v>
      </c>
      <c r="AD17" s="10">
        <f t="shared" si="6"/>
        <v>0.99960159362549805</v>
      </c>
      <c r="AE17" s="39">
        <f t="shared" ref="AE17:AE20" si="9">$AD$21</f>
        <v>0.7022253123920249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22000</v>
      </c>
      <c r="J18" s="5">
        <v>4960</v>
      </c>
      <c r="K18" s="15">
        <f>L18+2776</f>
        <v>7736</v>
      </c>
      <c r="L18" s="15">
        <f>2687+2273</f>
        <v>4960</v>
      </c>
      <c r="M18" s="16">
        <f t="shared" si="0"/>
        <v>4960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9"/>
        <v>0.7022253123920249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60000</v>
      </c>
      <c r="J19" s="5">
        <v>3880</v>
      </c>
      <c r="K19" s="15">
        <f>L19+2028+3807+3338+3450+4167+2008+2371+2495+4275+4519+4039</f>
        <v>40375</v>
      </c>
      <c r="L19" s="15">
        <f>2730+1148</f>
        <v>3878</v>
      </c>
      <c r="M19" s="16">
        <f t="shared" si="0"/>
        <v>3878</v>
      </c>
      <c r="N19" s="16">
        <v>0</v>
      </c>
      <c r="O19" s="62">
        <f t="shared" si="1"/>
        <v>0</v>
      </c>
      <c r="P19" s="42">
        <f t="shared" si="2"/>
        <v>20</v>
      </c>
      <c r="Q19" s="43">
        <f t="shared" si="3"/>
        <v>4</v>
      </c>
      <c r="R19" s="7"/>
      <c r="S19" s="6">
        <v>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0.99948453608247423</v>
      </c>
      <c r="AC19" s="9">
        <f t="shared" si="5"/>
        <v>0.83333333333333337</v>
      </c>
      <c r="AD19" s="10">
        <f t="shared" si="6"/>
        <v>0.83290378006872856</v>
      </c>
      <c r="AE19" s="39">
        <f t="shared" si="9"/>
        <v>0.7022253123920249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54320</v>
      </c>
      <c r="K20" s="15">
        <f>L20+40636+52572+50384+54156+47100+55408</f>
        <v>354568</v>
      </c>
      <c r="L20" s="15">
        <f>7297*4+6281*4</f>
        <v>54312</v>
      </c>
      <c r="M20" s="16">
        <f t="shared" si="0"/>
        <v>54312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0.99985272459499264</v>
      </c>
      <c r="AC20" s="9">
        <f t="shared" si="5"/>
        <v>1</v>
      </c>
      <c r="AD20" s="10">
        <f t="shared" si="6"/>
        <v>0.99985272459499264</v>
      </c>
      <c r="AE20" s="39">
        <f t="shared" si="9"/>
        <v>0.7022253123920249</v>
      </c>
      <c r="AF20" s="94">
        <f t="shared" si="8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0">SUM(I6:I20)</f>
        <v>450200</v>
      </c>
      <c r="J21" s="22">
        <f t="shared" si="10"/>
        <v>119050</v>
      </c>
      <c r="K21" s="23">
        <f t="shared" si="10"/>
        <v>536814</v>
      </c>
      <c r="L21" s="24">
        <f t="shared" si="10"/>
        <v>112279</v>
      </c>
      <c r="M21" s="23">
        <f t="shared" si="10"/>
        <v>112279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253</v>
      </c>
      <c r="Q21" s="46">
        <f t="shared" si="11"/>
        <v>107</v>
      </c>
      <c r="R21" s="26">
        <f t="shared" si="11"/>
        <v>0</v>
      </c>
      <c r="S21" s="27">
        <f t="shared" si="11"/>
        <v>56</v>
      </c>
      <c r="T21" s="27">
        <f t="shared" si="11"/>
        <v>3</v>
      </c>
      <c r="U21" s="27">
        <f t="shared" si="11"/>
        <v>0</v>
      </c>
      <c r="V21" s="28">
        <f t="shared" si="11"/>
        <v>0</v>
      </c>
      <c r="W21" s="29">
        <f t="shared" si="11"/>
        <v>24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0.79939614058617048</v>
      </c>
      <c r="AC21" s="4">
        <f>SUM(AC6:AC20)/15</f>
        <v>0.70277777777777772</v>
      </c>
      <c r="AD21" s="4">
        <f>SUM(AD6:AD20)/15</f>
        <v>0.7022253123920249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191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203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134" t="s">
        <v>47</v>
      </c>
      <c r="D50" s="134" t="s">
        <v>48</v>
      </c>
      <c r="E50" s="134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134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53" t="s">
        <v>129</v>
      </c>
      <c r="B51" s="454"/>
      <c r="C51" s="133" t="s">
        <v>135</v>
      </c>
      <c r="D51" s="130" t="s">
        <v>123</v>
      </c>
      <c r="E51" s="133" t="s">
        <v>145</v>
      </c>
      <c r="F51" s="432" t="s">
        <v>164</v>
      </c>
      <c r="G51" s="432"/>
      <c r="H51" s="432"/>
      <c r="I51" s="432"/>
      <c r="J51" s="432"/>
      <c r="K51" s="432"/>
      <c r="L51" s="432"/>
      <c r="M51" s="446"/>
      <c r="N51" s="129" t="s">
        <v>173</v>
      </c>
      <c r="O51" s="74" t="s">
        <v>174</v>
      </c>
      <c r="P51" s="445" t="s">
        <v>175</v>
      </c>
      <c r="Q51" s="445"/>
      <c r="R51" s="445" t="s">
        <v>176</v>
      </c>
      <c r="S51" s="445"/>
      <c r="T51" s="445"/>
      <c r="U51" s="445"/>
      <c r="V51" s="432" t="s">
        <v>147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192</v>
      </c>
      <c r="B52" s="445"/>
      <c r="C52" s="130" t="s">
        <v>193</v>
      </c>
      <c r="D52" s="130" t="s">
        <v>186</v>
      </c>
      <c r="E52" s="133" t="s">
        <v>194</v>
      </c>
      <c r="F52" s="432" t="s">
        <v>166</v>
      </c>
      <c r="G52" s="432"/>
      <c r="H52" s="432"/>
      <c r="I52" s="432"/>
      <c r="J52" s="432"/>
      <c r="K52" s="432"/>
      <c r="L52" s="432"/>
      <c r="M52" s="446"/>
      <c r="N52" s="129" t="s">
        <v>129</v>
      </c>
      <c r="O52" s="74" t="s">
        <v>172</v>
      </c>
      <c r="P52" s="445" t="s">
        <v>177</v>
      </c>
      <c r="Q52" s="445"/>
      <c r="R52" s="445" t="s">
        <v>178</v>
      </c>
      <c r="S52" s="445"/>
      <c r="T52" s="445"/>
      <c r="U52" s="445"/>
      <c r="V52" s="432" t="s">
        <v>179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167</v>
      </c>
      <c r="B53" s="445"/>
      <c r="C53" s="130" t="s">
        <v>168</v>
      </c>
      <c r="D53" s="130" t="s">
        <v>58</v>
      </c>
      <c r="E53" s="133" t="s">
        <v>169</v>
      </c>
      <c r="F53" s="432" t="s">
        <v>195</v>
      </c>
      <c r="G53" s="432"/>
      <c r="H53" s="432"/>
      <c r="I53" s="432"/>
      <c r="J53" s="432"/>
      <c r="K53" s="432"/>
      <c r="L53" s="432"/>
      <c r="M53" s="446"/>
      <c r="N53" s="129" t="s">
        <v>129</v>
      </c>
      <c r="O53" s="74" t="s">
        <v>165</v>
      </c>
      <c r="P53" s="451" t="s">
        <v>58</v>
      </c>
      <c r="Q53" s="452"/>
      <c r="R53" s="445" t="s">
        <v>204</v>
      </c>
      <c r="S53" s="445"/>
      <c r="T53" s="445"/>
      <c r="U53" s="445"/>
      <c r="V53" s="432" t="s">
        <v>195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122</v>
      </c>
      <c r="B54" s="454"/>
      <c r="C54" s="133" t="s">
        <v>131</v>
      </c>
      <c r="D54" s="130" t="s">
        <v>170</v>
      </c>
      <c r="E54" s="133" t="s">
        <v>157</v>
      </c>
      <c r="F54" s="432" t="s">
        <v>195</v>
      </c>
      <c r="G54" s="432"/>
      <c r="H54" s="432"/>
      <c r="I54" s="432"/>
      <c r="J54" s="432"/>
      <c r="K54" s="432"/>
      <c r="L54" s="432"/>
      <c r="M54" s="446"/>
      <c r="N54" s="129"/>
      <c r="O54" s="74"/>
      <c r="P54" s="451"/>
      <c r="Q54" s="452"/>
      <c r="R54" s="445"/>
      <c r="S54" s="445"/>
      <c r="T54" s="445"/>
      <c r="U54" s="445"/>
      <c r="V54" s="432"/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44" t="s">
        <v>192</v>
      </c>
      <c r="B55" s="445"/>
      <c r="C55" s="130" t="s">
        <v>196</v>
      </c>
      <c r="D55" s="130" t="s">
        <v>197</v>
      </c>
      <c r="E55" s="137" t="s">
        <v>155</v>
      </c>
      <c r="F55" s="432" t="s">
        <v>198</v>
      </c>
      <c r="G55" s="432"/>
      <c r="H55" s="432"/>
      <c r="I55" s="432"/>
      <c r="J55" s="432"/>
      <c r="K55" s="432"/>
      <c r="L55" s="432"/>
      <c r="M55" s="446"/>
      <c r="N55" s="129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182</v>
      </c>
      <c r="B56" s="454"/>
      <c r="C56" s="133" t="s">
        <v>199</v>
      </c>
      <c r="D56" s="130" t="s">
        <v>200</v>
      </c>
      <c r="E56" s="137" t="s">
        <v>201</v>
      </c>
      <c r="F56" s="432" t="s">
        <v>202</v>
      </c>
      <c r="G56" s="432"/>
      <c r="H56" s="432"/>
      <c r="I56" s="432"/>
      <c r="J56" s="432"/>
      <c r="K56" s="432"/>
      <c r="L56" s="432"/>
      <c r="M56" s="446"/>
      <c r="N56" s="129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182</v>
      </c>
      <c r="B57" s="445"/>
      <c r="C57" s="130" t="s">
        <v>206</v>
      </c>
      <c r="D57" s="130" t="s">
        <v>207</v>
      </c>
      <c r="E57" s="133" t="s">
        <v>205</v>
      </c>
      <c r="F57" s="432" t="s">
        <v>208</v>
      </c>
      <c r="G57" s="432"/>
      <c r="H57" s="432"/>
      <c r="I57" s="432"/>
      <c r="J57" s="432"/>
      <c r="K57" s="432"/>
      <c r="L57" s="432"/>
      <c r="M57" s="446"/>
      <c r="N57" s="129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133"/>
      <c r="D58" s="130"/>
      <c r="E58" s="133"/>
      <c r="F58" s="432"/>
      <c r="G58" s="432"/>
      <c r="H58" s="432"/>
      <c r="I58" s="432"/>
      <c r="J58" s="432"/>
      <c r="K58" s="432"/>
      <c r="L58" s="432"/>
      <c r="M58" s="446"/>
      <c r="N58" s="129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130"/>
      <c r="D59" s="130"/>
      <c r="E59" s="130"/>
      <c r="F59" s="432"/>
      <c r="G59" s="432"/>
      <c r="H59" s="432"/>
      <c r="I59" s="432"/>
      <c r="J59" s="432"/>
      <c r="K59" s="432"/>
      <c r="L59" s="432"/>
      <c r="M59" s="446"/>
      <c r="N59" s="129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132"/>
      <c r="D60" s="132"/>
      <c r="E60" s="132"/>
      <c r="F60" s="449"/>
      <c r="G60" s="449"/>
      <c r="H60" s="449"/>
      <c r="I60" s="449"/>
      <c r="J60" s="449"/>
      <c r="K60" s="449"/>
      <c r="L60" s="449"/>
      <c r="M60" s="450"/>
      <c r="N60" s="131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209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128" t="s">
        <v>2</v>
      </c>
      <c r="D62" s="128" t="s">
        <v>38</v>
      </c>
      <c r="E62" s="128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128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136"/>
      <c r="D63" s="124"/>
      <c r="E63" s="126"/>
      <c r="F63" s="421"/>
      <c r="G63" s="421"/>
      <c r="H63" s="421"/>
      <c r="I63" s="421"/>
      <c r="J63" s="421"/>
      <c r="K63" s="441"/>
      <c r="L63" s="441"/>
      <c r="M63" s="54"/>
      <c r="N63" s="421"/>
      <c r="O63" s="421"/>
      <c r="P63" s="431"/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136"/>
      <c r="D64" s="124"/>
      <c r="E64" s="126"/>
      <c r="F64" s="421"/>
      <c r="G64" s="421"/>
      <c r="H64" s="421"/>
      <c r="I64" s="421"/>
      <c r="J64" s="421"/>
      <c r="K64" s="433"/>
      <c r="L64" s="434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136"/>
      <c r="D65" s="124"/>
      <c r="E65" s="126"/>
      <c r="F65" s="421"/>
      <c r="G65" s="421"/>
      <c r="H65" s="421"/>
      <c r="I65" s="421"/>
      <c r="J65" s="421"/>
      <c r="K65" s="433"/>
      <c r="L65" s="434"/>
      <c r="M65" s="54"/>
      <c r="N65" s="435"/>
      <c r="O65" s="435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136"/>
      <c r="D66" s="124"/>
      <c r="E66" s="126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136"/>
      <c r="D67" s="124"/>
      <c r="E67" s="126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6</v>
      </c>
      <c r="B68" s="430"/>
      <c r="C68" s="136"/>
      <c r="D68" s="124"/>
      <c r="E68" s="126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7</v>
      </c>
      <c r="B69" s="430"/>
      <c r="C69" s="136"/>
      <c r="D69" s="124"/>
      <c r="E69" s="126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8</v>
      </c>
      <c r="B70" s="430"/>
      <c r="C70" s="136"/>
      <c r="D70" s="124"/>
      <c r="E70" s="126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210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127" t="s">
        <v>2</v>
      </c>
      <c r="D72" s="127" t="s">
        <v>38</v>
      </c>
      <c r="E72" s="127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125" t="s">
        <v>62</v>
      </c>
      <c r="D73" s="125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124" t="s">
        <v>129</v>
      </c>
      <c r="D74" s="124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2">A74+1</f>
        <v>3</v>
      </c>
      <c r="B75" s="393"/>
      <c r="C75" s="124" t="s">
        <v>62</v>
      </c>
      <c r="D75" s="124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2"/>
        <v>4</v>
      </c>
      <c r="B76" s="393"/>
      <c r="C76" s="124" t="s">
        <v>62</v>
      </c>
      <c r="D76" s="124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2"/>
        <v>5</v>
      </c>
      <c r="B77" s="393"/>
      <c r="C77" s="124" t="s">
        <v>62</v>
      </c>
      <c r="D77" s="124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2"/>
        <v>6</v>
      </c>
      <c r="B78" s="393"/>
      <c r="C78" s="124" t="s">
        <v>129</v>
      </c>
      <c r="D78" s="124"/>
      <c r="E78" s="35" t="s">
        <v>121</v>
      </c>
      <c r="F78" s="393" t="s">
        <v>132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42770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2"/>
        <v>7</v>
      </c>
      <c r="B79" s="393"/>
      <c r="C79" s="124"/>
      <c r="D79" s="124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2"/>
        <v>8</v>
      </c>
      <c r="B80" s="393"/>
      <c r="C80" s="124"/>
      <c r="D80" s="124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2"/>
        <v>9</v>
      </c>
      <c r="B81" s="393"/>
      <c r="C81" s="124"/>
      <c r="D81" s="124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211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/>
      <c r="D84" s="394"/>
      <c r="E84" s="394"/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/>
      <c r="U84" s="394"/>
      <c r="V84" s="395"/>
      <c r="W84" s="395"/>
      <c r="X84" s="395"/>
      <c r="Y84" s="386"/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AE9" sqref="AE9:AE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212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138" t="s">
        <v>17</v>
      </c>
      <c r="L5" s="138" t="s">
        <v>18</v>
      </c>
      <c r="M5" s="138" t="s">
        <v>19</v>
      </c>
      <c r="N5" s="13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60000</v>
      </c>
      <c r="J6" s="14">
        <v>3640</v>
      </c>
      <c r="K6" s="15">
        <f>L6+3451+4945+5014+4206+4870+4920+1272+1912+3494+3637</f>
        <v>37721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/>
      <c r="S6" s="6">
        <v>24</v>
      </c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17" si="7">$AD$22</f>
        <v>0.66873979524029481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2670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/>
      <c r="X7" s="17"/>
      <c r="Y7" s="20"/>
      <c r="Z7" s="20"/>
      <c r="AA7" s="21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0.66873979524029481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4410</v>
      </c>
      <c r="K8" s="15">
        <f>L8</f>
        <v>4409</v>
      </c>
      <c r="L8" s="15">
        <f>2706+1703</f>
        <v>4409</v>
      </c>
      <c r="M8" s="16">
        <f t="shared" si="0"/>
        <v>4409</v>
      </c>
      <c r="N8" s="16">
        <v>0</v>
      </c>
      <c r="O8" s="62">
        <f t="shared" si="1"/>
        <v>0</v>
      </c>
      <c r="P8" s="42">
        <f t="shared" si="2"/>
        <v>22</v>
      </c>
      <c r="Q8" s="43">
        <f t="shared" si="3"/>
        <v>2</v>
      </c>
      <c r="R8" s="7"/>
      <c r="S8" s="6"/>
      <c r="T8" s="17">
        <v>2</v>
      </c>
      <c r="U8" s="17"/>
      <c r="V8" s="18"/>
      <c r="W8" s="19"/>
      <c r="X8" s="17"/>
      <c r="Y8" s="20"/>
      <c r="Z8" s="20"/>
      <c r="AA8" s="21"/>
      <c r="AB8" s="8">
        <f t="shared" si="4"/>
        <v>0.99977324263038547</v>
      </c>
      <c r="AC8" s="9">
        <f t="shared" si="5"/>
        <v>0.91666666666666663</v>
      </c>
      <c r="AD8" s="10">
        <f t="shared" si="6"/>
        <v>0.91645880574451999</v>
      </c>
      <c r="AE8" s="39">
        <f t="shared" si="7"/>
        <v>0.66873979524029481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154</v>
      </c>
      <c r="E9" s="57" t="s">
        <v>155</v>
      </c>
      <c r="F9" s="12" t="s">
        <v>127</v>
      </c>
      <c r="G9" s="12">
        <v>1</v>
      </c>
      <c r="H9" s="13">
        <v>25</v>
      </c>
      <c r="I9" s="34">
        <v>5000</v>
      </c>
      <c r="J9" s="5">
        <v>190</v>
      </c>
      <c r="K9" s="15">
        <f>L9+2574+190</f>
        <v>2764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0.66873979524029481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182</v>
      </c>
      <c r="D10" s="55" t="s">
        <v>183</v>
      </c>
      <c r="E10" s="57" t="s">
        <v>184</v>
      </c>
      <c r="F10" s="12" t="s">
        <v>185</v>
      </c>
      <c r="G10" s="12">
        <v>1</v>
      </c>
      <c r="H10" s="13">
        <v>25</v>
      </c>
      <c r="I10" s="34">
        <v>5000</v>
      </c>
      <c r="J10" s="5">
        <v>3810</v>
      </c>
      <c r="K10" s="15">
        <f>L10+3598</f>
        <v>7399</v>
      </c>
      <c r="L10" s="15">
        <f>2536+1265</f>
        <v>3801</v>
      </c>
      <c r="M10" s="16">
        <f t="shared" si="0"/>
        <v>3801</v>
      </c>
      <c r="N10" s="16">
        <v>0</v>
      </c>
      <c r="O10" s="62">
        <f t="shared" si="1"/>
        <v>0</v>
      </c>
      <c r="P10" s="42">
        <f t="shared" si="2"/>
        <v>20</v>
      </c>
      <c r="Q10" s="43">
        <f t="shared" si="3"/>
        <v>4</v>
      </c>
      <c r="R10" s="7"/>
      <c r="S10" s="6">
        <v>4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0.9976377952755906</v>
      </c>
      <c r="AC10" s="9">
        <f t="shared" si="5"/>
        <v>0.83333333333333337</v>
      </c>
      <c r="AD10" s="10">
        <f t="shared" si="6"/>
        <v>0.8313648293963255</v>
      </c>
      <c r="AE10" s="39">
        <f t="shared" si="7"/>
        <v>0.66873979524029481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182</v>
      </c>
      <c r="D11" s="55" t="s">
        <v>186</v>
      </c>
      <c r="E11" s="57" t="s">
        <v>187</v>
      </c>
      <c r="F11" s="12" t="s">
        <v>188</v>
      </c>
      <c r="G11" s="12">
        <v>1</v>
      </c>
      <c r="H11" s="13">
        <v>25</v>
      </c>
      <c r="I11" s="34">
        <v>5000</v>
      </c>
      <c r="J11" s="14">
        <v>1930</v>
      </c>
      <c r="K11" s="15">
        <f>L11+5167</f>
        <v>7095</v>
      </c>
      <c r="L11" s="15">
        <f>1928</f>
        <v>1928</v>
      </c>
      <c r="M11" s="16">
        <f t="shared" si="0"/>
        <v>1928</v>
      </c>
      <c r="N11" s="16">
        <v>0</v>
      </c>
      <c r="O11" s="62">
        <f t="shared" si="1"/>
        <v>0</v>
      </c>
      <c r="P11" s="42">
        <f t="shared" si="2"/>
        <v>10</v>
      </c>
      <c r="Q11" s="43">
        <f t="shared" si="3"/>
        <v>14</v>
      </c>
      <c r="R11" s="7"/>
      <c r="S11" s="6"/>
      <c r="T11" s="17"/>
      <c r="U11" s="17"/>
      <c r="V11" s="18"/>
      <c r="W11" s="19">
        <v>14</v>
      </c>
      <c r="X11" s="17"/>
      <c r="Y11" s="20"/>
      <c r="Z11" s="20"/>
      <c r="AA11" s="21"/>
      <c r="AB11" s="8">
        <f t="shared" si="4"/>
        <v>0.99896373056994814</v>
      </c>
      <c r="AC11" s="9">
        <f t="shared" si="5"/>
        <v>0.41666666666666669</v>
      </c>
      <c r="AD11" s="10">
        <f t="shared" si="6"/>
        <v>0.41623488773747841</v>
      </c>
      <c r="AE11" s="39">
        <f t="shared" si="7"/>
        <v>0.66873979524029481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182</v>
      </c>
      <c r="D12" s="55" t="s">
        <v>189</v>
      </c>
      <c r="E12" s="57" t="s">
        <v>190</v>
      </c>
      <c r="F12" s="12" t="s">
        <v>185</v>
      </c>
      <c r="G12" s="12">
        <v>1</v>
      </c>
      <c r="H12" s="13">
        <v>25</v>
      </c>
      <c r="I12" s="34">
        <v>5000</v>
      </c>
      <c r="J12" s="5">
        <v>1690</v>
      </c>
      <c r="K12" s="15">
        <f>L12+4694</f>
        <v>6376</v>
      </c>
      <c r="L12" s="15">
        <v>1682</v>
      </c>
      <c r="M12" s="16">
        <f t="shared" si="0"/>
        <v>1682</v>
      </c>
      <c r="N12" s="16">
        <v>0</v>
      </c>
      <c r="O12" s="62">
        <f t="shared" si="1"/>
        <v>0</v>
      </c>
      <c r="P12" s="42">
        <f t="shared" si="2"/>
        <v>7</v>
      </c>
      <c r="Q12" s="43">
        <f t="shared" si="3"/>
        <v>17</v>
      </c>
      <c r="R12" s="7"/>
      <c r="S12" s="6"/>
      <c r="T12" s="17"/>
      <c r="U12" s="17"/>
      <c r="V12" s="18"/>
      <c r="W12" s="19">
        <v>17</v>
      </c>
      <c r="X12" s="17"/>
      <c r="Y12" s="20"/>
      <c r="Z12" s="20"/>
      <c r="AA12" s="21"/>
      <c r="AB12" s="8">
        <f t="shared" si="4"/>
        <v>0.99526627218934915</v>
      </c>
      <c r="AC12" s="9">
        <f t="shared" si="5"/>
        <v>0.29166666666666669</v>
      </c>
      <c r="AD12" s="10">
        <f t="shared" si="6"/>
        <v>0.29028599605522687</v>
      </c>
      <c r="AE12" s="39">
        <f t="shared" si="7"/>
        <v>0.66873979524029481</v>
      </c>
      <c r="AF12" s="94">
        <f t="shared" si="8"/>
        <v>7</v>
      </c>
    </row>
    <row r="13" spans="1:32" ht="27" customHeight="1">
      <c r="A13" s="110">
        <v>7</v>
      </c>
      <c r="B13" s="11" t="s">
        <v>59</v>
      </c>
      <c r="C13" s="37" t="s">
        <v>182</v>
      </c>
      <c r="D13" s="55" t="s">
        <v>214</v>
      </c>
      <c r="E13" s="57" t="s">
        <v>215</v>
      </c>
      <c r="F13" s="12" t="s">
        <v>216</v>
      </c>
      <c r="G13" s="12">
        <v>1</v>
      </c>
      <c r="H13" s="13">
        <v>25</v>
      </c>
      <c r="I13" s="34">
        <v>3000</v>
      </c>
      <c r="J13" s="5">
        <v>1900</v>
      </c>
      <c r="K13" s="15">
        <f>L13</f>
        <v>1897</v>
      </c>
      <c r="L13" s="15">
        <f>515+1382</f>
        <v>1897</v>
      </c>
      <c r="M13" s="16">
        <f t="shared" ref="M13" si="9">L13-N13</f>
        <v>1897</v>
      </c>
      <c r="N13" s="16">
        <v>0</v>
      </c>
      <c r="O13" s="62">
        <f t="shared" ref="O13" si="10">IF(L13=0,"0",N13/L13)</f>
        <v>0</v>
      </c>
      <c r="P13" s="42">
        <f t="shared" ref="P13" si="11">IF(L13=0,"0",(24-Q13))</f>
        <v>13</v>
      </c>
      <c r="Q13" s="43">
        <f t="shared" ref="Q13" si="12">SUM(R13:AA13)</f>
        <v>11</v>
      </c>
      <c r="R13" s="7"/>
      <c r="S13" s="6">
        <f>4</f>
        <v>4</v>
      </c>
      <c r="T13" s="17">
        <v>7</v>
      </c>
      <c r="U13" s="17"/>
      <c r="V13" s="18"/>
      <c r="W13" s="19"/>
      <c r="X13" s="17"/>
      <c r="Y13" s="20"/>
      <c r="Z13" s="20"/>
      <c r="AA13" s="21"/>
      <c r="AB13" s="8">
        <f t="shared" ref="AB13" si="13">IF(J13=0,"0",(L13/J13))</f>
        <v>0.99842105263157899</v>
      </c>
      <c r="AC13" s="9">
        <f t="shared" ref="AC13" si="14">IF(P13=0,"0",(P13/24))</f>
        <v>0.54166666666666663</v>
      </c>
      <c r="AD13" s="10">
        <f t="shared" ref="AD13" si="15">AC13*AB13*(1-O13)</f>
        <v>0.54081140350877188</v>
      </c>
      <c r="AE13" s="39">
        <f t="shared" si="7"/>
        <v>0.66873979524029481</v>
      </c>
      <c r="AF13" s="94">
        <f t="shared" ref="AF13" si="16">A13</f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156</v>
      </c>
      <c r="E14" s="57" t="s">
        <v>157</v>
      </c>
      <c r="F14" s="12" t="s">
        <v>158</v>
      </c>
      <c r="G14" s="12">
        <v>1</v>
      </c>
      <c r="H14" s="13">
        <v>25</v>
      </c>
      <c r="I14" s="7">
        <v>22000</v>
      </c>
      <c r="J14" s="14">
        <v>4560</v>
      </c>
      <c r="K14" s="15">
        <f>L14+2452+3389</f>
        <v>10399</v>
      </c>
      <c r="L14" s="15">
        <f>2334+2224</f>
        <v>4558</v>
      </c>
      <c r="M14" s="16">
        <f t="shared" si="0"/>
        <v>4558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0.99956140350877198</v>
      </c>
      <c r="AC14" s="9">
        <f t="shared" si="5"/>
        <v>1</v>
      </c>
      <c r="AD14" s="10">
        <f t="shared" si="6"/>
        <v>0.99956140350877198</v>
      </c>
      <c r="AE14" s="39">
        <f t="shared" si="7"/>
        <v>0.66873979524029481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129</v>
      </c>
      <c r="D15" s="55" t="s">
        <v>217</v>
      </c>
      <c r="E15" s="57" t="s">
        <v>218</v>
      </c>
      <c r="F15" s="33" t="s">
        <v>216</v>
      </c>
      <c r="G15" s="36">
        <v>1</v>
      </c>
      <c r="H15" s="38">
        <v>25</v>
      </c>
      <c r="I15" s="7">
        <v>5000</v>
      </c>
      <c r="J15" s="5">
        <v>3410</v>
      </c>
      <c r="K15" s="15">
        <f>L15</f>
        <v>3410</v>
      </c>
      <c r="L15" s="15">
        <f>1282+2128</f>
        <v>3410</v>
      </c>
      <c r="M15" s="16">
        <f t="shared" si="0"/>
        <v>3410</v>
      </c>
      <c r="N15" s="16">
        <v>0</v>
      </c>
      <c r="O15" s="62">
        <f t="shared" si="1"/>
        <v>0</v>
      </c>
      <c r="P15" s="42">
        <f t="shared" si="2"/>
        <v>19</v>
      </c>
      <c r="Q15" s="43">
        <f t="shared" si="3"/>
        <v>5</v>
      </c>
      <c r="R15" s="7"/>
      <c r="S15" s="6"/>
      <c r="T15" s="17">
        <v>5</v>
      </c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0.79166666666666663</v>
      </c>
      <c r="AD15" s="10">
        <f t="shared" si="6"/>
        <v>0.79166666666666663</v>
      </c>
      <c r="AE15" s="39">
        <f t="shared" si="7"/>
        <v>0.66873979524029481</v>
      </c>
      <c r="AF15" s="94">
        <f t="shared" si="8"/>
        <v>9</v>
      </c>
    </row>
    <row r="16" spans="1:32" ht="27" customHeight="1">
      <c r="A16" s="109">
        <v>10</v>
      </c>
      <c r="B16" s="11" t="s">
        <v>59</v>
      </c>
      <c r="C16" s="37" t="s">
        <v>159</v>
      </c>
      <c r="D16" s="55" t="s">
        <v>160</v>
      </c>
      <c r="E16" s="57" t="s">
        <v>171</v>
      </c>
      <c r="F16" s="12" t="s">
        <v>161</v>
      </c>
      <c r="G16" s="12">
        <v>2</v>
      </c>
      <c r="H16" s="13">
        <v>20</v>
      </c>
      <c r="I16" s="34">
        <v>20000</v>
      </c>
      <c r="J16" s="5">
        <v>15900</v>
      </c>
      <c r="K16" s="15">
        <f>L16+7200+15894</f>
        <v>38988</v>
      </c>
      <c r="L16" s="15">
        <f>4103*2+3844*2</f>
        <v>15894</v>
      </c>
      <c r="M16" s="16">
        <f t="shared" si="0"/>
        <v>15894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0.99962264150943392</v>
      </c>
      <c r="AC16" s="9">
        <f t="shared" si="5"/>
        <v>1</v>
      </c>
      <c r="AD16" s="10">
        <f t="shared" si="6"/>
        <v>0.99962264150943392</v>
      </c>
      <c r="AE16" s="39">
        <f t="shared" si="7"/>
        <v>0.66873979524029481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129</v>
      </c>
      <c r="D17" s="55" t="s">
        <v>133</v>
      </c>
      <c r="E17" s="56" t="s">
        <v>146</v>
      </c>
      <c r="F17" s="12">
        <v>7301</v>
      </c>
      <c r="G17" s="36">
        <v>1</v>
      </c>
      <c r="H17" s="38">
        <v>25</v>
      </c>
      <c r="I17" s="7">
        <v>5000</v>
      </c>
      <c r="J17" s="14">
        <v>5410</v>
      </c>
      <c r="K17" s="15">
        <f>L17+3826+4897+4091+5618</f>
        <v>23835</v>
      </c>
      <c r="L17" s="15">
        <f>2693+2710</f>
        <v>5403</v>
      </c>
      <c r="M17" s="16">
        <f t="shared" si="0"/>
        <v>5403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0.99870609981515712</v>
      </c>
      <c r="AC17" s="9">
        <f t="shared" si="5"/>
        <v>1</v>
      </c>
      <c r="AD17" s="10">
        <f t="shared" si="6"/>
        <v>0.99870609981515712</v>
      </c>
      <c r="AE17" s="39">
        <f t="shared" si="7"/>
        <v>0.66873979524029481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152</v>
      </c>
      <c r="E18" s="56" t="s">
        <v>153</v>
      </c>
      <c r="F18" s="12">
        <v>8301</v>
      </c>
      <c r="G18" s="12">
        <v>1</v>
      </c>
      <c r="H18" s="13">
        <v>25</v>
      </c>
      <c r="I18" s="34">
        <v>13000</v>
      </c>
      <c r="J18" s="5">
        <v>3640</v>
      </c>
      <c r="K18" s="15">
        <f>L18+2313+5677+5018</f>
        <v>16646</v>
      </c>
      <c r="L18" s="15">
        <f>925+2713</f>
        <v>3638</v>
      </c>
      <c r="M18" s="16">
        <f t="shared" si="0"/>
        <v>3638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/>
      <c r="T18" s="17"/>
      <c r="U18" s="17"/>
      <c r="V18" s="18"/>
      <c r="W18" s="19">
        <v>8</v>
      </c>
      <c r="X18" s="17"/>
      <c r="Y18" s="20"/>
      <c r="Z18" s="20"/>
      <c r="AA18" s="21"/>
      <c r="AB18" s="8">
        <f t="shared" si="4"/>
        <v>0.99945054945054945</v>
      </c>
      <c r="AC18" s="9">
        <f t="shared" si="5"/>
        <v>0.66666666666666663</v>
      </c>
      <c r="AD18" s="10">
        <f t="shared" si="6"/>
        <v>0.66630036630036626</v>
      </c>
      <c r="AE18" s="39">
        <f t="shared" ref="AE18:AE21" si="17">$AD$22</f>
        <v>0.66873979524029481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162</v>
      </c>
      <c r="E19" s="56" t="s">
        <v>163</v>
      </c>
      <c r="F19" s="33" t="s">
        <v>127</v>
      </c>
      <c r="G19" s="36">
        <v>1</v>
      </c>
      <c r="H19" s="38">
        <v>25</v>
      </c>
      <c r="I19" s="7">
        <v>22000</v>
      </c>
      <c r="J19" s="5">
        <v>2950</v>
      </c>
      <c r="K19" s="15">
        <f>L19+2776+4960</f>
        <v>10681</v>
      </c>
      <c r="L19" s="15">
        <f>566+2379</f>
        <v>2945</v>
      </c>
      <c r="M19" s="16">
        <f t="shared" si="0"/>
        <v>2945</v>
      </c>
      <c r="N19" s="16">
        <v>0</v>
      </c>
      <c r="O19" s="62">
        <f t="shared" si="1"/>
        <v>0</v>
      </c>
      <c r="P19" s="42">
        <f t="shared" si="2"/>
        <v>14</v>
      </c>
      <c r="Q19" s="43">
        <f t="shared" si="3"/>
        <v>10</v>
      </c>
      <c r="R19" s="7"/>
      <c r="S19" s="6">
        <v>10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0.99830508474576274</v>
      </c>
      <c r="AC19" s="9">
        <f t="shared" si="5"/>
        <v>0.58333333333333337</v>
      </c>
      <c r="AD19" s="10">
        <f t="shared" si="6"/>
        <v>0.58234463276836168</v>
      </c>
      <c r="AE19" s="39">
        <f t="shared" si="17"/>
        <v>0.66873979524029481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129</v>
      </c>
      <c r="D20" s="55" t="s">
        <v>58</v>
      </c>
      <c r="E20" s="57" t="s">
        <v>141</v>
      </c>
      <c r="F20" s="33" t="s">
        <v>130</v>
      </c>
      <c r="G20" s="36">
        <v>1</v>
      </c>
      <c r="H20" s="38">
        <v>25</v>
      </c>
      <c r="I20" s="34">
        <v>60000</v>
      </c>
      <c r="J20" s="5">
        <v>4570</v>
      </c>
      <c r="K20" s="15">
        <f>L20+2028+3807+3338+3450+4167+2008+2371+2495+4275+4519+4039+3878</f>
        <v>44936</v>
      </c>
      <c r="L20" s="15">
        <f>2479+2082</f>
        <v>4561</v>
      </c>
      <c r="M20" s="16">
        <f t="shared" si="0"/>
        <v>4561</v>
      </c>
      <c r="N20" s="16">
        <v>0</v>
      </c>
      <c r="O20" s="62">
        <f t="shared" si="1"/>
        <v>0</v>
      </c>
      <c r="P20" s="42">
        <f t="shared" si="2"/>
        <v>24</v>
      </c>
      <c r="Q20" s="43">
        <f t="shared" si="3"/>
        <v>0</v>
      </c>
      <c r="R20" s="7"/>
      <c r="S20" s="6"/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0.99803063457330421</v>
      </c>
      <c r="AC20" s="9">
        <f t="shared" si="5"/>
        <v>1</v>
      </c>
      <c r="AD20" s="10">
        <f t="shared" si="6"/>
        <v>0.99803063457330421</v>
      </c>
      <c r="AE20" s="39">
        <f t="shared" si="17"/>
        <v>0.66873979524029481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143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54900</v>
      </c>
      <c r="K21" s="15">
        <f>L21+40636+52572+50384+54156+47100+55408+54312</f>
        <v>409452</v>
      </c>
      <c r="L21" s="15">
        <f>7115*4+6606*4</f>
        <v>54884</v>
      </c>
      <c r="M21" s="16">
        <f t="shared" si="0"/>
        <v>54884</v>
      </c>
      <c r="N21" s="16">
        <v>0</v>
      </c>
      <c r="O21" s="62">
        <f t="shared" si="1"/>
        <v>0</v>
      </c>
      <c r="P21" s="42">
        <f t="shared" si="2"/>
        <v>24</v>
      </c>
      <c r="Q21" s="43">
        <f t="shared" si="3"/>
        <v>0</v>
      </c>
      <c r="R21" s="7"/>
      <c r="S21" s="6"/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0.99970856102003647</v>
      </c>
      <c r="AC21" s="9">
        <f t="shared" si="5"/>
        <v>1</v>
      </c>
      <c r="AD21" s="10">
        <f t="shared" si="6"/>
        <v>0.99970856102003647</v>
      </c>
      <c r="AE21" s="39">
        <f t="shared" si="17"/>
        <v>0.66873979524029481</v>
      </c>
      <c r="AF21" s="94">
        <f t="shared" si="8"/>
        <v>15</v>
      </c>
    </row>
    <row r="22" spans="1:32" ht="31.5" customHeight="1" thickBot="1">
      <c r="A22" s="457" t="s">
        <v>34</v>
      </c>
      <c r="B22" s="458"/>
      <c r="C22" s="458"/>
      <c r="D22" s="458"/>
      <c r="E22" s="458"/>
      <c r="F22" s="458"/>
      <c r="G22" s="458"/>
      <c r="H22" s="459"/>
      <c r="I22" s="25">
        <f t="shared" ref="I22:N22" si="18">SUM(I6:I21)</f>
        <v>483000</v>
      </c>
      <c r="J22" s="22">
        <f t="shared" si="18"/>
        <v>115580</v>
      </c>
      <c r="K22" s="23">
        <f t="shared" si="18"/>
        <v>626008</v>
      </c>
      <c r="L22" s="24">
        <f t="shared" si="18"/>
        <v>109010</v>
      </c>
      <c r="M22" s="23">
        <f t="shared" si="18"/>
        <v>109010</v>
      </c>
      <c r="N22" s="24">
        <f t="shared" si="18"/>
        <v>0</v>
      </c>
      <c r="O22" s="44">
        <f t="shared" si="1"/>
        <v>0</v>
      </c>
      <c r="P22" s="45">
        <f t="shared" ref="P22:AA22" si="19">SUM(P6:P21)</f>
        <v>241</v>
      </c>
      <c r="Q22" s="46">
        <f t="shared" si="19"/>
        <v>143</v>
      </c>
      <c r="R22" s="26">
        <f t="shared" si="19"/>
        <v>0</v>
      </c>
      <c r="S22" s="27">
        <f t="shared" si="19"/>
        <v>66</v>
      </c>
      <c r="T22" s="27">
        <f t="shared" si="19"/>
        <v>14</v>
      </c>
      <c r="U22" s="27">
        <f t="shared" si="19"/>
        <v>0</v>
      </c>
      <c r="V22" s="28">
        <f t="shared" si="19"/>
        <v>0</v>
      </c>
      <c r="W22" s="29">
        <f t="shared" si="19"/>
        <v>39</v>
      </c>
      <c r="X22" s="30">
        <f t="shared" si="19"/>
        <v>0</v>
      </c>
      <c r="Y22" s="30">
        <f t="shared" si="19"/>
        <v>0</v>
      </c>
      <c r="Z22" s="30">
        <f t="shared" si="19"/>
        <v>0</v>
      </c>
      <c r="AA22" s="30">
        <f t="shared" si="19"/>
        <v>24</v>
      </c>
      <c r="AB22" s="31">
        <f>SUM(AB6:AB21)/15</f>
        <v>0.86556313786132433</v>
      </c>
      <c r="AC22" s="4">
        <f>SUM(AC6:AC21)/15</f>
        <v>0.6694444444444444</v>
      </c>
      <c r="AD22" s="4">
        <f>SUM(AD6:AD21)/15</f>
        <v>0.66873979524029481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60" t="s">
        <v>46</v>
      </c>
      <c r="B49" s="460"/>
      <c r="C49" s="460"/>
      <c r="D49" s="460"/>
      <c r="E49" s="460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61" t="s">
        <v>219</v>
      </c>
      <c r="B50" s="462"/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3"/>
      <c r="N50" s="464" t="s">
        <v>236</v>
      </c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67" t="s">
        <v>2</v>
      </c>
      <c r="B51" s="468"/>
      <c r="C51" s="139" t="s">
        <v>47</v>
      </c>
      <c r="D51" s="139" t="s">
        <v>48</v>
      </c>
      <c r="E51" s="139" t="s">
        <v>113</v>
      </c>
      <c r="F51" s="468" t="s">
        <v>112</v>
      </c>
      <c r="G51" s="468"/>
      <c r="H51" s="468"/>
      <c r="I51" s="468"/>
      <c r="J51" s="468"/>
      <c r="K51" s="468"/>
      <c r="L51" s="468"/>
      <c r="M51" s="469"/>
      <c r="N51" s="73" t="s">
        <v>117</v>
      </c>
      <c r="O51" s="139" t="s">
        <v>47</v>
      </c>
      <c r="P51" s="470" t="s">
        <v>48</v>
      </c>
      <c r="Q51" s="471"/>
      <c r="R51" s="470" t="s">
        <v>39</v>
      </c>
      <c r="S51" s="472"/>
      <c r="T51" s="472"/>
      <c r="U51" s="471"/>
      <c r="V51" s="470" t="s">
        <v>49</v>
      </c>
      <c r="W51" s="472"/>
      <c r="X51" s="472"/>
      <c r="Y51" s="472"/>
      <c r="Z51" s="472"/>
      <c r="AA51" s="472"/>
      <c r="AB51" s="472"/>
      <c r="AC51" s="472"/>
      <c r="AD51" s="473"/>
    </row>
    <row r="52" spans="1:32" ht="27" customHeight="1">
      <c r="A52" s="453" t="s">
        <v>129</v>
      </c>
      <c r="B52" s="454"/>
      <c r="C52" s="140" t="s">
        <v>220</v>
      </c>
      <c r="D52" s="141" t="s">
        <v>221</v>
      </c>
      <c r="E52" s="140" t="s">
        <v>213</v>
      </c>
      <c r="F52" s="432" t="s">
        <v>222</v>
      </c>
      <c r="G52" s="432"/>
      <c r="H52" s="432"/>
      <c r="I52" s="432"/>
      <c r="J52" s="432"/>
      <c r="K52" s="432"/>
      <c r="L52" s="432"/>
      <c r="M52" s="446"/>
      <c r="N52" s="142" t="s">
        <v>173</v>
      </c>
      <c r="O52" s="74" t="s">
        <v>237</v>
      </c>
      <c r="P52" s="445" t="s">
        <v>123</v>
      </c>
      <c r="Q52" s="445"/>
      <c r="R52" s="445" t="s">
        <v>238</v>
      </c>
      <c r="S52" s="445"/>
      <c r="T52" s="445"/>
      <c r="U52" s="445"/>
      <c r="V52" s="432" t="s">
        <v>222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192</v>
      </c>
      <c r="B53" s="445"/>
      <c r="C53" s="141" t="s">
        <v>223</v>
      </c>
      <c r="D53" s="141" t="s">
        <v>217</v>
      </c>
      <c r="E53" s="140" t="s">
        <v>224</v>
      </c>
      <c r="F53" s="432" t="s">
        <v>166</v>
      </c>
      <c r="G53" s="432"/>
      <c r="H53" s="432"/>
      <c r="I53" s="432"/>
      <c r="J53" s="432"/>
      <c r="K53" s="432"/>
      <c r="L53" s="432"/>
      <c r="M53" s="446"/>
      <c r="N53" s="142" t="s">
        <v>129</v>
      </c>
      <c r="O53" s="74" t="s">
        <v>239</v>
      </c>
      <c r="P53" s="445" t="s">
        <v>240</v>
      </c>
      <c r="Q53" s="445"/>
      <c r="R53" s="445" t="s">
        <v>241</v>
      </c>
      <c r="S53" s="445"/>
      <c r="T53" s="445"/>
      <c r="U53" s="445"/>
      <c r="V53" s="432" t="s">
        <v>222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129</v>
      </c>
      <c r="B54" s="445"/>
      <c r="C54" s="141" t="s">
        <v>225</v>
      </c>
      <c r="D54" s="141" t="s">
        <v>214</v>
      </c>
      <c r="E54" s="140" t="s">
        <v>226</v>
      </c>
      <c r="F54" s="432" t="s">
        <v>227</v>
      </c>
      <c r="G54" s="432"/>
      <c r="H54" s="432"/>
      <c r="I54" s="432"/>
      <c r="J54" s="432"/>
      <c r="K54" s="432"/>
      <c r="L54" s="432"/>
      <c r="M54" s="446"/>
      <c r="N54" s="142" t="s">
        <v>129</v>
      </c>
      <c r="O54" s="74" t="s">
        <v>228</v>
      </c>
      <c r="P54" s="451" t="s">
        <v>58</v>
      </c>
      <c r="Q54" s="452"/>
      <c r="R54" s="445" t="s">
        <v>242</v>
      </c>
      <c r="S54" s="445"/>
      <c r="T54" s="445"/>
      <c r="U54" s="445"/>
      <c r="V54" s="432" t="s">
        <v>195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129</v>
      </c>
      <c r="B55" s="454"/>
      <c r="C55" s="140" t="s">
        <v>228</v>
      </c>
      <c r="D55" s="141" t="s">
        <v>229</v>
      </c>
      <c r="E55" s="140" t="s">
        <v>215</v>
      </c>
      <c r="F55" s="432" t="s">
        <v>230</v>
      </c>
      <c r="G55" s="432"/>
      <c r="H55" s="432"/>
      <c r="I55" s="432"/>
      <c r="J55" s="432"/>
      <c r="K55" s="432"/>
      <c r="L55" s="432"/>
      <c r="M55" s="446"/>
      <c r="N55" s="142" t="s">
        <v>231</v>
      </c>
      <c r="O55" s="74" t="s">
        <v>232</v>
      </c>
      <c r="P55" s="451" t="s">
        <v>233</v>
      </c>
      <c r="Q55" s="452"/>
      <c r="R55" s="445" t="s">
        <v>234</v>
      </c>
      <c r="S55" s="445"/>
      <c r="T55" s="445"/>
      <c r="U55" s="445"/>
      <c r="V55" s="432" t="s">
        <v>243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 t="s">
        <v>231</v>
      </c>
      <c r="B56" s="445"/>
      <c r="C56" s="141" t="s">
        <v>232</v>
      </c>
      <c r="D56" s="141" t="s">
        <v>233</v>
      </c>
      <c r="E56" s="141" t="s">
        <v>234</v>
      </c>
      <c r="F56" s="432" t="s">
        <v>235</v>
      </c>
      <c r="G56" s="432"/>
      <c r="H56" s="432"/>
      <c r="I56" s="432"/>
      <c r="J56" s="432"/>
      <c r="K56" s="432"/>
      <c r="L56" s="432"/>
      <c r="M56" s="446"/>
      <c r="N56" s="142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53"/>
      <c r="B57" s="454"/>
      <c r="C57" s="140"/>
      <c r="D57" s="141"/>
      <c r="E57" s="141"/>
      <c r="F57" s="432"/>
      <c r="G57" s="432"/>
      <c r="H57" s="432"/>
      <c r="I57" s="432"/>
      <c r="J57" s="432"/>
      <c r="K57" s="432"/>
      <c r="L57" s="432"/>
      <c r="M57" s="446"/>
      <c r="N57" s="142"/>
      <c r="O57" s="74"/>
      <c r="P57" s="445"/>
      <c r="Q57" s="445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/>
      <c r="B58" s="445"/>
      <c r="C58" s="141"/>
      <c r="D58" s="141"/>
      <c r="E58" s="140"/>
      <c r="F58" s="432"/>
      <c r="G58" s="432"/>
      <c r="H58" s="432"/>
      <c r="I58" s="432"/>
      <c r="J58" s="432"/>
      <c r="K58" s="432"/>
      <c r="L58" s="432"/>
      <c r="M58" s="446"/>
      <c r="N58" s="142"/>
      <c r="O58" s="74"/>
      <c r="P58" s="451"/>
      <c r="Q58" s="452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53"/>
      <c r="B59" s="454"/>
      <c r="C59" s="140"/>
      <c r="D59" s="141"/>
      <c r="E59" s="140"/>
      <c r="F59" s="432"/>
      <c r="G59" s="432"/>
      <c r="H59" s="432"/>
      <c r="I59" s="432"/>
      <c r="J59" s="432"/>
      <c r="K59" s="432"/>
      <c r="L59" s="432"/>
      <c r="M59" s="446"/>
      <c r="N59" s="142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44"/>
      <c r="B60" s="445"/>
      <c r="C60" s="141"/>
      <c r="D60" s="141"/>
      <c r="E60" s="141"/>
      <c r="F60" s="432"/>
      <c r="G60" s="432"/>
      <c r="H60" s="432"/>
      <c r="I60" s="432"/>
      <c r="J60" s="432"/>
      <c r="K60" s="432"/>
      <c r="L60" s="432"/>
      <c r="M60" s="446"/>
      <c r="N60" s="142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  <c r="AF60" s="94">
        <f>8*3000</f>
        <v>24000</v>
      </c>
    </row>
    <row r="61" spans="1:32" ht="27" customHeight="1" thickBot="1">
      <c r="A61" s="447"/>
      <c r="B61" s="448"/>
      <c r="C61" s="144"/>
      <c r="D61" s="144"/>
      <c r="E61" s="144"/>
      <c r="F61" s="449"/>
      <c r="G61" s="449"/>
      <c r="H61" s="449"/>
      <c r="I61" s="449"/>
      <c r="J61" s="449"/>
      <c r="K61" s="449"/>
      <c r="L61" s="449"/>
      <c r="M61" s="450"/>
      <c r="N61" s="143"/>
      <c r="O61" s="121"/>
      <c r="P61" s="448"/>
      <c r="Q61" s="448"/>
      <c r="R61" s="448"/>
      <c r="S61" s="448"/>
      <c r="T61" s="448"/>
      <c r="U61" s="448"/>
      <c r="V61" s="449"/>
      <c r="W61" s="449"/>
      <c r="X61" s="449"/>
      <c r="Y61" s="449"/>
      <c r="Z61" s="449"/>
      <c r="AA61" s="449"/>
      <c r="AB61" s="449"/>
      <c r="AC61" s="449"/>
      <c r="AD61" s="450"/>
      <c r="AF61" s="94">
        <f>16*3000</f>
        <v>48000</v>
      </c>
    </row>
    <row r="62" spans="1:32" ht="27.75" thickBot="1">
      <c r="A62" s="442" t="s">
        <v>244</v>
      </c>
      <c r="B62" s="442"/>
      <c r="C62" s="442"/>
      <c r="D62" s="442"/>
      <c r="E62" s="44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3" t="s">
        <v>118</v>
      </c>
      <c r="B63" s="439"/>
      <c r="C63" s="145" t="s">
        <v>2</v>
      </c>
      <c r="D63" s="145" t="s">
        <v>38</v>
      </c>
      <c r="E63" s="145" t="s">
        <v>3</v>
      </c>
      <c r="F63" s="439" t="s">
        <v>115</v>
      </c>
      <c r="G63" s="439"/>
      <c r="H63" s="439"/>
      <c r="I63" s="439"/>
      <c r="J63" s="439"/>
      <c r="K63" s="439" t="s">
        <v>40</v>
      </c>
      <c r="L63" s="439"/>
      <c r="M63" s="145" t="s">
        <v>41</v>
      </c>
      <c r="N63" s="439" t="s">
        <v>42</v>
      </c>
      <c r="O63" s="439"/>
      <c r="P63" s="436" t="s">
        <v>43</v>
      </c>
      <c r="Q63" s="438"/>
      <c r="R63" s="436" t="s">
        <v>44</v>
      </c>
      <c r="S63" s="437"/>
      <c r="T63" s="437"/>
      <c r="U63" s="437"/>
      <c r="V63" s="437"/>
      <c r="W63" s="437"/>
      <c r="X63" s="437"/>
      <c r="Y63" s="437"/>
      <c r="Z63" s="437"/>
      <c r="AA63" s="438"/>
      <c r="AB63" s="439" t="s">
        <v>45</v>
      </c>
      <c r="AC63" s="439"/>
      <c r="AD63" s="440"/>
      <c r="AF63" s="94">
        <f>SUM(AF60:AF62)</f>
        <v>96000</v>
      </c>
    </row>
    <row r="64" spans="1:32" ht="26.25" customHeight="1">
      <c r="A64" s="429">
        <v>1</v>
      </c>
      <c r="B64" s="430"/>
      <c r="C64" s="147" t="s">
        <v>129</v>
      </c>
      <c r="D64" s="149"/>
      <c r="E64" s="146" t="s">
        <v>245</v>
      </c>
      <c r="F64" s="421" t="s">
        <v>246</v>
      </c>
      <c r="G64" s="421"/>
      <c r="H64" s="421"/>
      <c r="I64" s="421"/>
      <c r="J64" s="421"/>
      <c r="K64" s="441" t="s">
        <v>247</v>
      </c>
      <c r="L64" s="441"/>
      <c r="M64" s="54" t="s">
        <v>248</v>
      </c>
      <c r="N64" s="421">
        <v>4</v>
      </c>
      <c r="O64" s="421"/>
      <c r="P64" s="431">
        <v>50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2</v>
      </c>
      <c r="B65" s="430"/>
      <c r="C65" s="147"/>
      <c r="D65" s="149"/>
      <c r="E65" s="146"/>
      <c r="F65" s="421"/>
      <c r="G65" s="421"/>
      <c r="H65" s="421"/>
      <c r="I65" s="421"/>
      <c r="J65" s="421"/>
      <c r="K65" s="433"/>
      <c r="L65" s="434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6.25" customHeight="1">
      <c r="A66" s="429">
        <v>3</v>
      </c>
      <c r="B66" s="430"/>
      <c r="C66" s="147"/>
      <c r="D66" s="149"/>
      <c r="E66" s="146"/>
      <c r="F66" s="421"/>
      <c r="G66" s="421"/>
      <c r="H66" s="421"/>
      <c r="I66" s="421"/>
      <c r="J66" s="421"/>
      <c r="K66" s="433"/>
      <c r="L66" s="434"/>
      <c r="M66" s="54"/>
      <c r="N66" s="435"/>
      <c r="O66" s="435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4</v>
      </c>
      <c r="B67" s="430"/>
      <c r="C67" s="147"/>
      <c r="D67" s="149"/>
      <c r="E67" s="146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5</v>
      </c>
      <c r="B68" s="430"/>
      <c r="C68" s="147"/>
      <c r="D68" s="149"/>
      <c r="E68" s="146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6</v>
      </c>
      <c r="B69" s="430"/>
      <c r="C69" s="147"/>
      <c r="D69" s="149"/>
      <c r="E69" s="146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7</v>
      </c>
      <c r="B70" s="430"/>
      <c r="C70" s="147"/>
      <c r="D70" s="149"/>
      <c r="E70" s="146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>
      <c r="A71" s="429">
        <v>8</v>
      </c>
      <c r="B71" s="430"/>
      <c r="C71" s="147"/>
      <c r="D71" s="149"/>
      <c r="E71" s="146"/>
      <c r="F71" s="421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26.25" customHeight="1" thickBot="1">
      <c r="A72" s="400" t="s">
        <v>249</v>
      </c>
      <c r="B72" s="400"/>
      <c r="C72" s="400"/>
      <c r="D72" s="400"/>
      <c r="E72" s="40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3" t="s">
        <v>118</v>
      </c>
      <c r="B73" s="424"/>
      <c r="C73" s="148" t="s">
        <v>2</v>
      </c>
      <c r="D73" s="148" t="s">
        <v>38</v>
      </c>
      <c r="E73" s="148" t="s">
        <v>3</v>
      </c>
      <c r="F73" s="424" t="s">
        <v>39</v>
      </c>
      <c r="G73" s="424"/>
      <c r="H73" s="424"/>
      <c r="I73" s="424"/>
      <c r="J73" s="424"/>
      <c r="K73" s="425" t="s">
        <v>60</v>
      </c>
      <c r="L73" s="426"/>
      <c r="M73" s="426"/>
      <c r="N73" s="426"/>
      <c r="O73" s="426"/>
      <c r="P73" s="426"/>
      <c r="Q73" s="426"/>
      <c r="R73" s="426"/>
      <c r="S73" s="427"/>
      <c r="T73" s="424" t="s">
        <v>50</v>
      </c>
      <c r="U73" s="424"/>
      <c r="V73" s="425" t="s">
        <v>51</v>
      </c>
      <c r="W73" s="427"/>
      <c r="X73" s="426" t="s">
        <v>52</v>
      </c>
      <c r="Y73" s="426"/>
      <c r="Z73" s="426"/>
      <c r="AA73" s="426"/>
      <c r="AB73" s="426"/>
      <c r="AC73" s="426"/>
      <c r="AD73" s="428"/>
      <c r="AF73" s="53"/>
    </row>
    <row r="74" spans="1:32" ht="33.75" customHeight="1">
      <c r="A74" s="408">
        <v>1</v>
      </c>
      <c r="B74" s="409"/>
      <c r="C74" s="150" t="s">
        <v>62</v>
      </c>
      <c r="D74" s="150"/>
      <c r="E74" s="71" t="s">
        <v>58</v>
      </c>
      <c r="F74" s="410" t="s">
        <v>63</v>
      </c>
      <c r="G74" s="411"/>
      <c r="H74" s="411"/>
      <c r="I74" s="411"/>
      <c r="J74" s="412"/>
      <c r="K74" s="413" t="s">
        <v>61</v>
      </c>
      <c r="L74" s="414"/>
      <c r="M74" s="414"/>
      <c r="N74" s="414"/>
      <c r="O74" s="414"/>
      <c r="P74" s="414"/>
      <c r="Q74" s="414"/>
      <c r="R74" s="414"/>
      <c r="S74" s="415"/>
      <c r="T74" s="416">
        <v>41791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92">
        <f>A74+1</f>
        <v>2</v>
      </c>
      <c r="B75" s="393"/>
      <c r="C75" s="149" t="s">
        <v>129</v>
      </c>
      <c r="D75" s="149"/>
      <c r="E75" s="35" t="s">
        <v>121</v>
      </c>
      <c r="F75" s="393" t="s">
        <v>138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42779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ref="A76:A82" si="20">A75+1</f>
        <v>3</v>
      </c>
      <c r="B76" s="393"/>
      <c r="C76" s="149" t="s">
        <v>62</v>
      </c>
      <c r="D76" s="149"/>
      <c r="E76" s="35" t="s">
        <v>121</v>
      </c>
      <c r="F76" s="393" t="s">
        <v>125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20"/>
        <v>4</v>
      </c>
      <c r="B77" s="393"/>
      <c r="C77" s="149" t="s">
        <v>62</v>
      </c>
      <c r="D77" s="149"/>
      <c r="E77" s="35" t="s">
        <v>121</v>
      </c>
      <c r="F77" s="393" t="s">
        <v>124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20"/>
        <v>5</v>
      </c>
      <c r="B78" s="393"/>
      <c r="C78" s="149" t="s">
        <v>62</v>
      </c>
      <c r="D78" s="149"/>
      <c r="E78" s="35" t="s">
        <v>58</v>
      </c>
      <c r="F78" s="393" t="s">
        <v>126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20"/>
        <v>6</v>
      </c>
      <c r="B79" s="393"/>
      <c r="C79" s="149" t="s">
        <v>129</v>
      </c>
      <c r="D79" s="149"/>
      <c r="E79" s="35" t="s">
        <v>121</v>
      </c>
      <c r="F79" s="393" t="s">
        <v>132</v>
      </c>
      <c r="G79" s="393"/>
      <c r="H79" s="393"/>
      <c r="I79" s="393"/>
      <c r="J79" s="393"/>
      <c r="K79" s="402" t="s">
        <v>128</v>
      </c>
      <c r="L79" s="403"/>
      <c r="M79" s="403"/>
      <c r="N79" s="403"/>
      <c r="O79" s="403"/>
      <c r="P79" s="403"/>
      <c r="Q79" s="403"/>
      <c r="R79" s="403"/>
      <c r="S79" s="404"/>
      <c r="T79" s="405">
        <v>42770</v>
      </c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20"/>
        <v>7</v>
      </c>
      <c r="B80" s="393"/>
      <c r="C80" s="149"/>
      <c r="D80" s="149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20"/>
        <v>8</v>
      </c>
      <c r="B81" s="393"/>
      <c r="C81" s="149"/>
      <c r="D81" s="149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20"/>
        <v>9</v>
      </c>
      <c r="B82" s="393"/>
      <c r="C82" s="149"/>
      <c r="D82" s="149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6" thickBot="1">
      <c r="A83" s="400" t="s">
        <v>250</v>
      </c>
      <c r="B83" s="400"/>
      <c r="C83" s="400"/>
      <c r="D83" s="400"/>
      <c r="E83" s="40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1" t="s">
        <v>37</v>
      </c>
      <c r="B84" s="396"/>
      <c r="C84" s="396" t="s">
        <v>53</v>
      </c>
      <c r="D84" s="396"/>
      <c r="E84" s="396" t="s">
        <v>54</v>
      </c>
      <c r="F84" s="396"/>
      <c r="G84" s="396"/>
      <c r="H84" s="396"/>
      <c r="I84" s="396"/>
      <c r="J84" s="396"/>
      <c r="K84" s="396" t="s">
        <v>55</v>
      </c>
      <c r="L84" s="396"/>
      <c r="M84" s="396"/>
      <c r="N84" s="396"/>
      <c r="O84" s="396"/>
      <c r="P84" s="396"/>
      <c r="Q84" s="396"/>
      <c r="R84" s="396"/>
      <c r="S84" s="396"/>
      <c r="T84" s="396" t="s">
        <v>56</v>
      </c>
      <c r="U84" s="396"/>
      <c r="V84" s="396" t="s">
        <v>57</v>
      </c>
      <c r="W84" s="396"/>
      <c r="X84" s="396"/>
      <c r="Y84" s="396" t="s">
        <v>52</v>
      </c>
      <c r="Z84" s="396"/>
      <c r="AA84" s="396"/>
      <c r="AB84" s="396"/>
      <c r="AC84" s="396"/>
      <c r="AD84" s="397"/>
      <c r="AF84" s="53"/>
    </row>
    <row r="85" spans="1:32" ht="30.75" customHeight="1">
      <c r="A85" s="398">
        <v>1</v>
      </c>
      <c r="B85" s="399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>
      <c r="A86" s="392">
        <v>2</v>
      </c>
      <c r="B86" s="393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5"/>
      <c r="W86" s="395"/>
      <c r="X86" s="395"/>
      <c r="Y86" s="386"/>
      <c r="Z86" s="386"/>
      <c r="AA86" s="386"/>
      <c r="AB86" s="386"/>
      <c r="AC86" s="386"/>
      <c r="AD86" s="387"/>
      <c r="AF86" s="53"/>
    </row>
    <row r="87" spans="1:32" ht="30.75" customHeight="1" thickBot="1">
      <c r="A87" s="388">
        <v>3</v>
      </c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89"/>
      <c r="S87" s="389"/>
      <c r="T87" s="389"/>
      <c r="U87" s="389"/>
      <c r="V87" s="389"/>
      <c r="W87" s="389"/>
      <c r="X87" s="389"/>
      <c r="Y87" s="390"/>
      <c r="Z87" s="390"/>
      <c r="AA87" s="390"/>
      <c r="AB87" s="390"/>
      <c r="AC87" s="390"/>
      <c r="AD87" s="39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E10" sqref="AE10:AE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251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163" t="s">
        <v>17</v>
      </c>
      <c r="L5" s="163" t="s">
        <v>18</v>
      </c>
      <c r="M5" s="163" t="s">
        <v>19</v>
      </c>
      <c r="N5" s="16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60000</v>
      </c>
      <c r="J6" s="14">
        <v>3640</v>
      </c>
      <c r="K6" s="15">
        <f>L6+3451+4945+5014+4206+4870+4920+1272+1912+3494+3637</f>
        <v>37721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/>
      <c r="S6" s="6">
        <v>24</v>
      </c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16" si="7">$AD$21</f>
        <v>0.4935788541670475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2670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/>
      <c r="X7" s="17"/>
      <c r="Y7" s="20"/>
      <c r="Z7" s="20"/>
      <c r="AA7" s="21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 t="shared" si="7"/>
        <v>0.4935788541670475</v>
      </c>
      <c r="AF7" s="94">
        <f t="shared" si="8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3630</v>
      </c>
      <c r="K8" s="15">
        <f>L8+4409</f>
        <v>8039</v>
      </c>
      <c r="L8" s="15">
        <f>3630</f>
        <v>3630</v>
      </c>
      <c r="M8" s="16">
        <f t="shared" si="0"/>
        <v>3630</v>
      </c>
      <c r="N8" s="16">
        <v>0</v>
      </c>
      <c r="O8" s="62">
        <f t="shared" si="1"/>
        <v>0</v>
      </c>
      <c r="P8" s="42">
        <f t="shared" si="2"/>
        <v>17</v>
      </c>
      <c r="Q8" s="43">
        <f t="shared" si="3"/>
        <v>7</v>
      </c>
      <c r="R8" s="7"/>
      <c r="S8" s="6">
        <v>7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0.70833333333333337</v>
      </c>
      <c r="AD8" s="10">
        <f t="shared" si="6"/>
        <v>0.70833333333333337</v>
      </c>
      <c r="AE8" s="39">
        <f t="shared" si="7"/>
        <v>0.4935788541670475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252</v>
      </c>
      <c r="E9" s="57" t="s">
        <v>253</v>
      </c>
      <c r="F9" s="12" t="s">
        <v>127</v>
      </c>
      <c r="G9" s="12">
        <v>1</v>
      </c>
      <c r="H9" s="13">
        <v>25</v>
      </c>
      <c r="I9" s="34">
        <v>2000</v>
      </c>
      <c r="J9" s="5">
        <v>4050</v>
      </c>
      <c r="K9" s="15">
        <f>L9</f>
        <v>4043</v>
      </c>
      <c r="L9" s="15">
        <f>1813+2230</f>
        <v>4043</v>
      </c>
      <c r="M9" s="16">
        <f t="shared" si="0"/>
        <v>4043</v>
      </c>
      <c r="N9" s="16">
        <v>0</v>
      </c>
      <c r="O9" s="62">
        <f t="shared" si="1"/>
        <v>0</v>
      </c>
      <c r="P9" s="42">
        <f t="shared" si="2"/>
        <v>21</v>
      </c>
      <c r="Q9" s="43">
        <f t="shared" si="3"/>
        <v>3</v>
      </c>
      <c r="R9" s="7"/>
      <c r="S9" s="6">
        <v>3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0.99827160493827161</v>
      </c>
      <c r="AC9" s="9">
        <f t="shared" si="5"/>
        <v>0.875</v>
      </c>
      <c r="AD9" s="10">
        <f t="shared" si="6"/>
        <v>0.87348765432098763</v>
      </c>
      <c r="AE9" s="39">
        <f t="shared" si="7"/>
        <v>0.4935788541670475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167</v>
      </c>
      <c r="D10" s="55" t="s">
        <v>252</v>
      </c>
      <c r="E10" s="57" t="s">
        <v>254</v>
      </c>
      <c r="F10" s="12" t="s">
        <v>185</v>
      </c>
      <c r="G10" s="12">
        <v>1</v>
      </c>
      <c r="H10" s="13">
        <v>25</v>
      </c>
      <c r="I10" s="34">
        <v>5000</v>
      </c>
      <c r="J10" s="5">
        <v>3800</v>
      </c>
      <c r="K10" s="15">
        <f>L10</f>
        <v>3795</v>
      </c>
      <c r="L10" s="15">
        <f>932+2863</f>
        <v>3795</v>
      </c>
      <c r="M10" s="16">
        <f t="shared" si="0"/>
        <v>3795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/>
      <c r="T10" s="17">
        <v>3</v>
      </c>
      <c r="U10" s="17"/>
      <c r="V10" s="18"/>
      <c r="W10" s="19"/>
      <c r="X10" s="17"/>
      <c r="Y10" s="20"/>
      <c r="Z10" s="20"/>
      <c r="AA10" s="21"/>
      <c r="AB10" s="8">
        <f t="shared" si="4"/>
        <v>0.99868421052631584</v>
      </c>
      <c r="AC10" s="9">
        <f t="shared" si="5"/>
        <v>0.875</v>
      </c>
      <c r="AD10" s="10">
        <f t="shared" si="6"/>
        <v>0.87384868421052642</v>
      </c>
      <c r="AE10" s="39">
        <f t="shared" si="7"/>
        <v>0.4935788541670475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167</v>
      </c>
      <c r="D11" s="55" t="s">
        <v>186</v>
      </c>
      <c r="E11" s="57" t="s">
        <v>187</v>
      </c>
      <c r="F11" s="12" t="s">
        <v>188</v>
      </c>
      <c r="G11" s="12">
        <v>1</v>
      </c>
      <c r="H11" s="13">
        <v>25</v>
      </c>
      <c r="I11" s="34">
        <v>5000</v>
      </c>
      <c r="J11" s="14">
        <v>1930</v>
      </c>
      <c r="K11" s="15">
        <f>L11+5167+1928</f>
        <v>7095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14</v>
      </c>
      <c r="R11" s="7"/>
      <c r="S11" s="6"/>
      <c r="T11" s="17"/>
      <c r="U11" s="17"/>
      <c r="V11" s="18"/>
      <c r="W11" s="19">
        <v>14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0.4935788541670475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167</v>
      </c>
      <c r="D12" s="55" t="s">
        <v>207</v>
      </c>
      <c r="E12" s="57" t="s">
        <v>215</v>
      </c>
      <c r="F12" s="12" t="s">
        <v>216</v>
      </c>
      <c r="G12" s="12">
        <v>1</v>
      </c>
      <c r="H12" s="13">
        <v>25</v>
      </c>
      <c r="I12" s="34">
        <v>3000</v>
      </c>
      <c r="J12" s="5">
        <v>1560</v>
      </c>
      <c r="K12" s="15">
        <f>L12+1897</f>
        <v>3456</v>
      </c>
      <c r="L12" s="15">
        <f>244+1315</f>
        <v>1559</v>
      </c>
      <c r="M12" s="16">
        <f t="shared" si="0"/>
        <v>1559</v>
      </c>
      <c r="N12" s="16">
        <v>0</v>
      </c>
      <c r="O12" s="62">
        <f t="shared" si="1"/>
        <v>0</v>
      </c>
      <c r="P12" s="42">
        <f t="shared" si="2"/>
        <v>15</v>
      </c>
      <c r="Q12" s="43">
        <f t="shared" si="3"/>
        <v>9</v>
      </c>
      <c r="R12" s="7"/>
      <c r="S12" s="6">
        <f>4</f>
        <v>4</v>
      </c>
      <c r="T12" s="17"/>
      <c r="U12" s="17"/>
      <c r="V12" s="18"/>
      <c r="W12" s="19">
        <v>5</v>
      </c>
      <c r="X12" s="17"/>
      <c r="Y12" s="20"/>
      <c r="Z12" s="20"/>
      <c r="AA12" s="21"/>
      <c r="AB12" s="8">
        <f t="shared" si="4"/>
        <v>0.99935897435897436</v>
      </c>
      <c r="AC12" s="9">
        <f t="shared" si="5"/>
        <v>0.625</v>
      </c>
      <c r="AD12" s="10">
        <f t="shared" si="6"/>
        <v>0.62459935897435903</v>
      </c>
      <c r="AE12" s="39">
        <f t="shared" si="7"/>
        <v>0.4935788541670475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158</v>
      </c>
      <c r="G13" s="12">
        <v>1</v>
      </c>
      <c r="H13" s="13">
        <v>25</v>
      </c>
      <c r="I13" s="7">
        <v>22000</v>
      </c>
      <c r="J13" s="14">
        <v>2190</v>
      </c>
      <c r="K13" s="15">
        <f>L13+2452+3389+4558</f>
        <v>12584</v>
      </c>
      <c r="L13" s="15">
        <f>397+1788</f>
        <v>2185</v>
      </c>
      <c r="M13" s="16">
        <f t="shared" si="0"/>
        <v>2185</v>
      </c>
      <c r="N13" s="16">
        <v>0</v>
      </c>
      <c r="O13" s="62">
        <f t="shared" si="1"/>
        <v>0</v>
      </c>
      <c r="P13" s="42">
        <f t="shared" si="2"/>
        <v>12</v>
      </c>
      <c r="Q13" s="43">
        <f t="shared" si="3"/>
        <v>12</v>
      </c>
      <c r="R13" s="7"/>
      <c r="S13" s="6">
        <v>12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0.99771689497716898</v>
      </c>
      <c r="AC13" s="9">
        <f t="shared" si="5"/>
        <v>0.5</v>
      </c>
      <c r="AD13" s="10">
        <f t="shared" si="6"/>
        <v>0.49885844748858449</v>
      </c>
      <c r="AE13" s="39">
        <f t="shared" si="7"/>
        <v>0.4935788541670475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129</v>
      </c>
      <c r="D14" s="55" t="s">
        <v>217</v>
      </c>
      <c r="E14" s="57" t="s">
        <v>218</v>
      </c>
      <c r="F14" s="33" t="s">
        <v>216</v>
      </c>
      <c r="G14" s="36">
        <v>1</v>
      </c>
      <c r="H14" s="38">
        <v>25</v>
      </c>
      <c r="I14" s="7">
        <v>5000</v>
      </c>
      <c r="J14" s="5">
        <v>4100</v>
      </c>
      <c r="K14" s="15">
        <f>L14+3410</f>
        <v>7506</v>
      </c>
      <c r="L14" s="15">
        <f>1889+2207</f>
        <v>4096</v>
      </c>
      <c r="M14" s="16">
        <f t="shared" si="0"/>
        <v>4096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0.99902439024390244</v>
      </c>
      <c r="AC14" s="9">
        <f t="shared" si="5"/>
        <v>1</v>
      </c>
      <c r="AD14" s="10">
        <f t="shared" si="6"/>
        <v>0.99902439024390244</v>
      </c>
      <c r="AE14" s="39">
        <f t="shared" si="7"/>
        <v>0.4935788541670475</v>
      </c>
      <c r="AF14" s="94">
        <f t="shared" si="8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10920</v>
      </c>
      <c r="K15" s="15">
        <f>L15+7200+15894+15894</f>
        <v>49908</v>
      </c>
      <c r="L15" s="15">
        <f>3828*2+1632*2</f>
        <v>10920</v>
      </c>
      <c r="M15" s="16">
        <f t="shared" si="0"/>
        <v>10920</v>
      </c>
      <c r="N15" s="16">
        <v>0</v>
      </c>
      <c r="O15" s="62">
        <f t="shared" si="1"/>
        <v>0</v>
      </c>
      <c r="P15" s="42">
        <f t="shared" si="2"/>
        <v>19</v>
      </c>
      <c r="Q15" s="43">
        <f t="shared" si="3"/>
        <v>5</v>
      </c>
      <c r="R15" s="7"/>
      <c r="S15" s="6">
        <v>5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0.79166666666666663</v>
      </c>
      <c r="AD15" s="10">
        <f t="shared" si="6"/>
        <v>0.79166666666666663</v>
      </c>
      <c r="AE15" s="39">
        <f t="shared" si="7"/>
        <v>0.4935788541670475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255</v>
      </c>
      <c r="D16" s="55" t="s">
        <v>256</v>
      </c>
      <c r="E16" s="56" t="s">
        <v>257</v>
      </c>
      <c r="F16" s="12">
        <v>7301</v>
      </c>
      <c r="G16" s="36">
        <v>1</v>
      </c>
      <c r="H16" s="38">
        <v>25</v>
      </c>
      <c r="I16" s="7">
        <v>500</v>
      </c>
      <c r="J16" s="14">
        <v>1070</v>
      </c>
      <c r="K16" s="15">
        <f>L16</f>
        <v>1070</v>
      </c>
      <c r="L16" s="15">
        <f>1070</f>
        <v>1070</v>
      </c>
      <c r="M16" s="16">
        <f t="shared" si="0"/>
        <v>1070</v>
      </c>
      <c r="N16" s="16">
        <v>0</v>
      </c>
      <c r="O16" s="62">
        <f t="shared" si="1"/>
        <v>0</v>
      </c>
      <c r="P16" s="42">
        <f t="shared" si="2"/>
        <v>7</v>
      </c>
      <c r="Q16" s="43">
        <f t="shared" si="3"/>
        <v>17</v>
      </c>
      <c r="R16" s="7"/>
      <c r="S16" s="6"/>
      <c r="T16" s="17"/>
      <c r="U16" s="17"/>
      <c r="V16" s="18"/>
      <c r="W16" s="19">
        <v>17</v>
      </c>
      <c r="X16" s="17"/>
      <c r="Y16" s="20"/>
      <c r="Z16" s="20"/>
      <c r="AA16" s="21"/>
      <c r="AB16" s="8">
        <f t="shared" si="4"/>
        <v>1</v>
      </c>
      <c r="AC16" s="9">
        <f t="shared" si="5"/>
        <v>0.29166666666666669</v>
      </c>
      <c r="AD16" s="10">
        <f t="shared" si="6"/>
        <v>0.29166666666666669</v>
      </c>
      <c r="AE16" s="39">
        <f t="shared" si="7"/>
        <v>0.4935788541670475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255</v>
      </c>
      <c r="D17" s="55" t="s">
        <v>258</v>
      </c>
      <c r="E17" s="56" t="s">
        <v>259</v>
      </c>
      <c r="F17" s="12">
        <v>8301</v>
      </c>
      <c r="G17" s="12">
        <v>1</v>
      </c>
      <c r="H17" s="13">
        <v>25</v>
      </c>
      <c r="I17" s="34">
        <v>500</v>
      </c>
      <c r="J17" s="5">
        <v>700</v>
      </c>
      <c r="K17" s="15">
        <f>L17</f>
        <v>700</v>
      </c>
      <c r="L17" s="15">
        <v>700</v>
      </c>
      <c r="M17" s="16">
        <f t="shared" si="0"/>
        <v>700</v>
      </c>
      <c r="N17" s="16">
        <v>0</v>
      </c>
      <c r="O17" s="62">
        <f t="shared" si="1"/>
        <v>0</v>
      </c>
      <c r="P17" s="42">
        <f t="shared" si="2"/>
        <v>5</v>
      </c>
      <c r="Q17" s="43">
        <f t="shared" si="3"/>
        <v>19</v>
      </c>
      <c r="R17" s="7"/>
      <c r="S17" s="6"/>
      <c r="T17" s="17"/>
      <c r="U17" s="17"/>
      <c r="V17" s="18"/>
      <c r="W17" s="19">
        <v>19</v>
      </c>
      <c r="X17" s="17"/>
      <c r="Y17" s="20"/>
      <c r="Z17" s="20"/>
      <c r="AA17" s="21"/>
      <c r="AB17" s="8">
        <f t="shared" si="4"/>
        <v>1</v>
      </c>
      <c r="AC17" s="9">
        <f t="shared" si="5"/>
        <v>0.20833333333333334</v>
      </c>
      <c r="AD17" s="10">
        <f t="shared" si="6"/>
        <v>0.20833333333333334</v>
      </c>
      <c r="AE17" s="39">
        <f t="shared" ref="AE17:AE20" si="9">$AD$21</f>
        <v>0.4935788541670475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22000</v>
      </c>
      <c r="J18" s="5">
        <v>3740</v>
      </c>
      <c r="K18" s="15">
        <f>L18+2776+4960+2945</f>
        <v>14415</v>
      </c>
      <c r="L18" s="15">
        <f>995+2739</f>
        <v>3734</v>
      </c>
      <c r="M18" s="16">
        <f t="shared" si="0"/>
        <v>3734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>
        <v>6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0.99839572192513371</v>
      </c>
      <c r="AC18" s="9">
        <f t="shared" si="5"/>
        <v>0.75</v>
      </c>
      <c r="AD18" s="10">
        <f t="shared" si="6"/>
        <v>0.74879679144385025</v>
      </c>
      <c r="AE18" s="39">
        <f t="shared" si="9"/>
        <v>0.4935788541670475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60000</v>
      </c>
      <c r="J19" s="5">
        <v>4570</v>
      </c>
      <c r="K19" s="15">
        <f>L19+2028+3807+3338+3450+4167+2008+2371+2495+4275+4519+4039+3878+4561</f>
        <v>45901</v>
      </c>
      <c r="L19" s="15">
        <v>965</v>
      </c>
      <c r="M19" s="16">
        <f t="shared" si="0"/>
        <v>965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>
        <v>20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0.21115973741794311</v>
      </c>
      <c r="AC19" s="9">
        <f t="shared" si="5"/>
        <v>0.16666666666666666</v>
      </c>
      <c r="AD19" s="10">
        <f t="shared" si="6"/>
        <v>3.5193289569657185E-2</v>
      </c>
      <c r="AE19" s="39">
        <f t="shared" si="9"/>
        <v>0.4935788541670475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</f>
        <v>445216</v>
      </c>
      <c r="L20" s="15">
        <f>6566*4+2375*4</f>
        <v>35764</v>
      </c>
      <c r="M20" s="16">
        <f t="shared" si="0"/>
        <v>35764</v>
      </c>
      <c r="N20" s="16">
        <v>0</v>
      </c>
      <c r="O20" s="62">
        <f t="shared" si="1"/>
        <v>0</v>
      </c>
      <c r="P20" s="42">
        <f t="shared" si="2"/>
        <v>18</v>
      </c>
      <c r="Q20" s="43">
        <f t="shared" si="3"/>
        <v>6</v>
      </c>
      <c r="R20" s="7"/>
      <c r="S20" s="6"/>
      <c r="T20" s="17"/>
      <c r="U20" s="17"/>
      <c r="V20" s="18"/>
      <c r="W20" s="19">
        <v>6</v>
      </c>
      <c r="X20" s="17"/>
      <c r="Y20" s="20"/>
      <c r="Z20" s="20"/>
      <c r="AA20" s="21"/>
      <c r="AB20" s="8">
        <f t="shared" si="4"/>
        <v>0.99983226167179196</v>
      </c>
      <c r="AC20" s="9">
        <f t="shared" si="5"/>
        <v>0.75</v>
      </c>
      <c r="AD20" s="10">
        <f t="shared" si="6"/>
        <v>0.74987419625384399</v>
      </c>
      <c r="AE20" s="39">
        <f t="shared" si="9"/>
        <v>0.4935788541670475</v>
      </c>
      <c r="AF20" s="94">
        <f t="shared" si="8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0">SUM(I6:I20)</f>
        <v>458000</v>
      </c>
      <c r="J21" s="22">
        <f t="shared" si="10"/>
        <v>84340</v>
      </c>
      <c r="K21" s="23">
        <f t="shared" si="10"/>
        <v>641449</v>
      </c>
      <c r="L21" s="24">
        <f t="shared" si="10"/>
        <v>72461</v>
      </c>
      <c r="M21" s="23">
        <f t="shared" si="10"/>
        <v>72461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181</v>
      </c>
      <c r="Q21" s="46">
        <f t="shared" si="11"/>
        <v>169</v>
      </c>
      <c r="R21" s="26">
        <f t="shared" si="11"/>
        <v>0</v>
      </c>
      <c r="S21" s="27">
        <f t="shared" si="11"/>
        <v>81</v>
      </c>
      <c r="T21" s="27">
        <f t="shared" si="11"/>
        <v>3</v>
      </c>
      <c r="U21" s="27">
        <f t="shared" si="11"/>
        <v>0</v>
      </c>
      <c r="V21" s="28">
        <f t="shared" si="11"/>
        <v>0</v>
      </c>
      <c r="W21" s="29">
        <f t="shared" si="11"/>
        <v>61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0.74682958640396679</v>
      </c>
      <c r="AC21" s="4">
        <f>SUM(AC6:AC20)/15</f>
        <v>0.50277777777777788</v>
      </c>
      <c r="AD21" s="4">
        <f>SUM(AD6:AD20)/15</f>
        <v>0.4935788541670475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260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278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162" t="s">
        <v>47</v>
      </c>
      <c r="D50" s="162" t="s">
        <v>48</v>
      </c>
      <c r="E50" s="162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162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53" t="s">
        <v>129</v>
      </c>
      <c r="B51" s="454"/>
      <c r="C51" s="161" t="s">
        <v>220</v>
      </c>
      <c r="D51" s="158" t="s">
        <v>221</v>
      </c>
      <c r="E51" s="161" t="s">
        <v>213</v>
      </c>
      <c r="F51" s="432" t="s">
        <v>261</v>
      </c>
      <c r="G51" s="432"/>
      <c r="H51" s="432"/>
      <c r="I51" s="432"/>
      <c r="J51" s="432"/>
      <c r="K51" s="432"/>
      <c r="L51" s="432"/>
      <c r="M51" s="446"/>
      <c r="N51" s="157" t="s">
        <v>173</v>
      </c>
      <c r="O51" s="74" t="s">
        <v>172</v>
      </c>
      <c r="P51" s="445" t="s">
        <v>279</v>
      </c>
      <c r="Q51" s="445"/>
      <c r="R51" s="445" t="s">
        <v>280</v>
      </c>
      <c r="S51" s="445"/>
      <c r="T51" s="445"/>
      <c r="U51" s="445"/>
      <c r="V51" s="432" t="s">
        <v>266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167</v>
      </c>
      <c r="B52" s="445"/>
      <c r="C52" s="158" t="s">
        <v>172</v>
      </c>
      <c r="D52" s="158" t="s">
        <v>262</v>
      </c>
      <c r="E52" s="161" t="s">
        <v>263</v>
      </c>
      <c r="F52" s="432" t="s">
        <v>166</v>
      </c>
      <c r="G52" s="432"/>
      <c r="H52" s="432"/>
      <c r="I52" s="432"/>
      <c r="J52" s="432"/>
      <c r="K52" s="432"/>
      <c r="L52" s="432"/>
      <c r="M52" s="446"/>
      <c r="N52" s="157" t="s">
        <v>129</v>
      </c>
      <c r="O52" s="74" t="s">
        <v>281</v>
      </c>
      <c r="P52" s="445" t="s">
        <v>282</v>
      </c>
      <c r="Q52" s="445"/>
      <c r="R52" s="445" t="s">
        <v>283</v>
      </c>
      <c r="S52" s="445"/>
      <c r="T52" s="445"/>
      <c r="U52" s="445"/>
      <c r="V52" s="432" t="s">
        <v>266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129</v>
      </c>
      <c r="B53" s="445"/>
      <c r="C53" s="158" t="s">
        <v>225</v>
      </c>
      <c r="D53" s="158" t="s">
        <v>207</v>
      </c>
      <c r="E53" s="161" t="s">
        <v>264</v>
      </c>
      <c r="F53" s="432" t="s">
        <v>265</v>
      </c>
      <c r="G53" s="432"/>
      <c r="H53" s="432"/>
      <c r="I53" s="432"/>
      <c r="J53" s="432"/>
      <c r="K53" s="432"/>
      <c r="L53" s="432"/>
      <c r="M53" s="446"/>
      <c r="N53" s="157" t="s">
        <v>129</v>
      </c>
      <c r="O53" s="74" t="s">
        <v>228</v>
      </c>
      <c r="P53" s="451" t="s">
        <v>284</v>
      </c>
      <c r="Q53" s="452"/>
      <c r="R53" s="445" t="s">
        <v>285</v>
      </c>
      <c r="S53" s="445"/>
      <c r="T53" s="445"/>
      <c r="U53" s="445"/>
      <c r="V53" s="432" t="s">
        <v>265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129</v>
      </c>
      <c r="B54" s="454"/>
      <c r="C54" s="161" t="s">
        <v>228</v>
      </c>
      <c r="D54" s="158" t="s">
        <v>207</v>
      </c>
      <c r="E54" s="161" t="s">
        <v>215</v>
      </c>
      <c r="F54" s="432" t="s">
        <v>266</v>
      </c>
      <c r="G54" s="432"/>
      <c r="H54" s="432"/>
      <c r="I54" s="432"/>
      <c r="J54" s="432"/>
      <c r="K54" s="432"/>
      <c r="L54" s="432"/>
      <c r="M54" s="446"/>
      <c r="N54" s="157" t="s">
        <v>167</v>
      </c>
      <c r="O54" s="74" t="s">
        <v>168</v>
      </c>
      <c r="P54" s="451" t="s">
        <v>272</v>
      </c>
      <c r="Q54" s="452"/>
      <c r="R54" s="445" t="s">
        <v>286</v>
      </c>
      <c r="S54" s="445"/>
      <c r="T54" s="445"/>
      <c r="U54" s="445"/>
      <c r="V54" s="432" t="s">
        <v>179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44" t="s">
        <v>122</v>
      </c>
      <c r="B55" s="445"/>
      <c r="C55" s="158" t="s">
        <v>232</v>
      </c>
      <c r="D55" s="158" t="s">
        <v>233</v>
      </c>
      <c r="E55" s="158" t="s">
        <v>234</v>
      </c>
      <c r="F55" s="432" t="s">
        <v>266</v>
      </c>
      <c r="G55" s="432"/>
      <c r="H55" s="432"/>
      <c r="I55" s="432"/>
      <c r="J55" s="432"/>
      <c r="K55" s="432"/>
      <c r="L55" s="432"/>
      <c r="M55" s="446"/>
      <c r="N55" s="157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267</v>
      </c>
      <c r="B56" s="454"/>
      <c r="C56" s="161" t="s">
        <v>268</v>
      </c>
      <c r="D56" s="158" t="s">
        <v>144</v>
      </c>
      <c r="E56" s="158" t="s">
        <v>269</v>
      </c>
      <c r="F56" s="432" t="s">
        <v>270</v>
      </c>
      <c r="G56" s="432"/>
      <c r="H56" s="432"/>
      <c r="I56" s="432"/>
      <c r="J56" s="432"/>
      <c r="K56" s="432"/>
      <c r="L56" s="432"/>
      <c r="M56" s="446"/>
      <c r="N56" s="157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167</v>
      </c>
      <c r="B57" s="445"/>
      <c r="C57" s="158" t="s">
        <v>271</v>
      </c>
      <c r="D57" s="158" t="s">
        <v>272</v>
      </c>
      <c r="E57" s="161" t="s">
        <v>273</v>
      </c>
      <c r="F57" s="432" t="s">
        <v>274</v>
      </c>
      <c r="G57" s="432"/>
      <c r="H57" s="432"/>
      <c r="I57" s="432"/>
      <c r="J57" s="432"/>
      <c r="K57" s="432"/>
      <c r="L57" s="432"/>
      <c r="M57" s="446"/>
      <c r="N57" s="157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 t="s">
        <v>255</v>
      </c>
      <c r="B58" s="454"/>
      <c r="C58" s="161" t="s">
        <v>275</v>
      </c>
      <c r="D58" s="158" t="s">
        <v>256</v>
      </c>
      <c r="E58" s="161"/>
      <c r="F58" s="432" t="s">
        <v>166</v>
      </c>
      <c r="G58" s="432"/>
      <c r="H58" s="432"/>
      <c r="I58" s="432"/>
      <c r="J58" s="432"/>
      <c r="K58" s="432"/>
      <c r="L58" s="432"/>
      <c r="M58" s="446"/>
      <c r="N58" s="157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 t="s">
        <v>255</v>
      </c>
      <c r="B59" s="445"/>
      <c r="C59" s="158" t="s">
        <v>276</v>
      </c>
      <c r="D59" s="158" t="s">
        <v>277</v>
      </c>
      <c r="E59" s="158"/>
      <c r="F59" s="432" t="s">
        <v>166</v>
      </c>
      <c r="G59" s="432"/>
      <c r="H59" s="432"/>
      <c r="I59" s="432"/>
      <c r="J59" s="432"/>
      <c r="K59" s="432"/>
      <c r="L59" s="432"/>
      <c r="M59" s="446"/>
      <c r="N59" s="157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160"/>
      <c r="D60" s="160"/>
      <c r="E60" s="160"/>
      <c r="F60" s="449"/>
      <c r="G60" s="449"/>
      <c r="H60" s="449"/>
      <c r="I60" s="449"/>
      <c r="J60" s="449"/>
      <c r="K60" s="449"/>
      <c r="L60" s="449"/>
      <c r="M60" s="450"/>
      <c r="N60" s="159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287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155" t="s">
        <v>2</v>
      </c>
      <c r="D62" s="155" t="s">
        <v>38</v>
      </c>
      <c r="E62" s="155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155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156" t="s">
        <v>129</v>
      </c>
      <c r="D63" s="151"/>
      <c r="E63" s="153" t="s">
        <v>288</v>
      </c>
      <c r="F63" s="421" t="s">
        <v>289</v>
      </c>
      <c r="G63" s="421"/>
      <c r="H63" s="421"/>
      <c r="I63" s="421"/>
      <c r="J63" s="421"/>
      <c r="K63" s="441" t="s">
        <v>290</v>
      </c>
      <c r="L63" s="441"/>
      <c r="M63" s="54" t="s">
        <v>291</v>
      </c>
      <c r="N63" s="421">
        <v>6</v>
      </c>
      <c r="O63" s="421"/>
      <c r="P63" s="431">
        <v>50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156" t="s">
        <v>292</v>
      </c>
      <c r="D64" s="151"/>
      <c r="E64" s="153"/>
      <c r="F64" s="421" t="s">
        <v>293</v>
      </c>
      <c r="G64" s="421"/>
      <c r="H64" s="421"/>
      <c r="I64" s="421"/>
      <c r="J64" s="421"/>
      <c r="K64" s="433" t="s">
        <v>294</v>
      </c>
      <c r="L64" s="434"/>
      <c r="M64" s="54" t="s">
        <v>295</v>
      </c>
      <c r="N64" s="421">
        <v>7</v>
      </c>
      <c r="O64" s="421"/>
      <c r="P64" s="431">
        <v>50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156"/>
      <c r="D65" s="151"/>
      <c r="E65" s="153"/>
      <c r="F65" s="421"/>
      <c r="G65" s="421"/>
      <c r="H65" s="421"/>
      <c r="I65" s="421"/>
      <c r="J65" s="421"/>
      <c r="K65" s="433"/>
      <c r="L65" s="434"/>
      <c r="M65" s="54"/>
      <c r="N65" s="435"/>
      <c r="O65" s="435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156"/>
      <c r="D66" s="151"/>
      <c r="E66" s="153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156"/>
      <c r="D67" s="151"/>
      <c r="E67" s="153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6</v>
      </c>
      <c r="B68" s="430"/>
      <c r="C68" s="156"/>
      <c r="D68" s="151"/>
      <c r="E68" s="153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7</v>
      </c>
      <c r="B69" s="430"/>
      <c r="C69" s="156"/>
      <c r="D69" s="151"/>
      <c r="E69" s="153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8</v>
      </c>
      <c r="B70" s="430"/>
      <c r="C70" s="156"/>
      <c r="D70" s="151"/>
      <c r="E70" s="153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296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154" t="s">
        <v>2</v>
      </c>
      <c r="D72" s="154" t="s">
        <v>38</v>
      </c>
      <c r="E72" s="154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152" t="s">
        <v>62</v>
      </c>
      <c r="D73" s="152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151" t="s">
        <v>129</v>
      </c>
      <c r="D74" s="151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2">A74+1</f>
        <v>3</v>
      </c>
      <c r="B75" s="393"/>
      <c r="C75" s="151" t="s">
        <v>62</v>
      </c>
      <c r="D75" s="151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2"/>
        <v>4</v>
      </c>
      <c r="B76" s="393"/>
      <c r="C76" s="151" t="s">
        <v>62</v>
      </c>
      <c r="D76" s="151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2"/>
        <v>5</v>
      </c>
      <c r="B77" s="393"/>
      <c r="C77" s="151" t="s">
        <v>62</v>
      </c>
      <c r="D77" s="151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2"/>
        <v>6</v>
      </c>
      <c r="B78" s="393"/>
      <c r="C78" s="151" t="s">
        <v>129</v>
      </c>
      <c r="D78" s="151"/>
      <c r="E78" s="35" t="s">
        <v>121</v>
      </c>
      <c r="F78" s="393" t="s">
        <v>132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42770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2"/>
        <v>7</v>
      </c>
      <c r="B79" s="393"/>
      <c r="C79" s="151"/>
      <c r="D79" s="151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2"/>
        <v>8</v>
      </c>
      <c r="B80" s="393"/>
      <c r="C80" s="151"/>
      <c r="D80" s="151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2"/>
        <v>9</v>
      </c>
      <c r="B81" s="393"/>
      <c r="C81" s="151"/>
      <c r="D81" s="151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297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/>
      <c r="D84" s="394"/>
      <c r="E84" s="394"/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/>
      <c r="U84" s="394"/>
      <c r="V84" s="395"/>
      <c r="W84" s="395"/>
      <c r="X84" s="395"/>
      <c r="Y84" s="386"/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AE11" sqref="AE11:AE1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298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164" t="s">
        <v>17</v>
      </c>
      <c r="L5" s="164" t="s">
        <v>18</v>
      </c>
      <c r="M5" s="164" t="s">
        <v>19</v>
      </c>
      <c r="N5" s="16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3640</v>
      </c>
      <c r="K6" s="15">
        <f>L6</f>
        <v>2454</v>
      </c>
      <c r="L6" s="15">
        <f>2454</f>
        <v>2454</v>
      </c>
      <c r="M6" s="16">
        <f t="shared" ref="M6:M21" si="0">L6-N6</f>
        <v>2454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14</v>
      </c>
      <c r="Q6" s="43">
        <f t="shared" ref="Q6:Q21" si="3">SUM(R6:AA6)</f>
        <v>10</v>
      </c>
      <c r="R6" s="7"/>
      <c r="S6" s="6">
        <v>10</v>
      </c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0.67417582417582422</v>
      </c>
      <c r="AC6" s="9">
        <f t="shared" ref="AC6:AC21" si="5">IF(P6=0,"0",(P6/24))</f>
        <v>0.58333333333333337</v>
      </c>
      <c r="AD6" s="10">
        <f t="shared" ref="AD6:AD21" si="6">AC6*AB6*(1-O6)</f>
        <v>0.39326923076923082</v>
      </c>
      <c r="AE6" s="39">
        <f>$AD$22</f>
        <v>0.50640788366819656</v>
      </c>
      <c r="AF6" s="94">
        <f t="shared" ref="AF6:AF21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2670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/>
      <c r="X7" s="17"/>
      <c r="Y7" s="20"/>
      <c r="Z7" s="20"/>
      <c r="AA7" s="21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>$AD$22</f>
        <v>0.50640788366819656</v>
      </c>
      <c r="AF7" s="94">
        <f t="shared" si="7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4007</v>
      </c>
      <c r="K8" s="15">
        <f>L8+4409+3630</f>
        <v>12046</v>
      </c>
      <c r="L8" s="15">
        <f>2786+1221</f>
        <v>4007</v>
      </c>
      <c r="M8" s="16">
        <f t="shared" si="0"/>
        <v>4007</v>
      </c>
      <c r="N8" s="16">
        <v>0</v>
      </c>
      <c r="O8" s="62">
        <f t="shared" si="1"/>
        <v>0</v>
      </c>
      <c r="P8" s="42">
        <f t="shared" si="2"/>
        <v>21</v>
      </c>
      <c r="Q8" s="43">
        <f t="shared" si="3"/>
        <v>3</v>
      </c>
      <c r="R8" s="7"/>
      <c r="S8" s="6">
        <v>3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0.875</v>
      </c>
      <c r="AD8" s="10">
        <f t="shared" si="6"/>
        <v>0.875</v>
      </c>
      <c r="AE8" s="39">
        <f>$AD$22</f>
        <v>0.50640788366819656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252</v>
      </c>
      <c r="E9" s="57" t="s">
        <v>253</v>
      </c>
      <c r="F9" s="12" t="s">
        <v>127</v>
      </c>
      <c r="G9" s="12">
        <v>1</v>
      </c>
      <c r="H9" s="13">
        <v>25</v>
      </c>
      <c r="I9" s="34">
        <v>2000</v>
      </c>
      <c r="J9" s="5">
        <v>680</v>
      </c>
      <c r="K9" s="15">
        <f>L9+4043</f>
        <v>4720</v>
      </c>
      <c r="L9" s="15">
        <v>677</v>
      </c>
      <c r="M9" s="16">
        <f t="shared" si="0"/>
        <v>677</v>
      </c>
      <c r="N9" s="16">
        <v>0</v>
      </c>
      <c r="O9" s="62">
        <f t="shared" si="1"/>
        <v>0</v>
      </c>
      <c r="P9" s="42">
        <f t="shared" si="2"/>
        <v>4</v>
      </c>
      <c r="Q9" s="43">
        <f t="shared" si="3"/>
        <v>20</v>
      </c>
      <c r="R9" s="7"/>
      <c r="S9" s="6"/>
      <c r="T9" s="17"/>
      <c r="U9" s="17"/>
      <c r="V9" s="18"/>
      <c r="W9" s="19">
        <v>20</v>
      </c>
      <c r="X9" s="17"/>
      <c r="Y9" s="20"/>
      <c r="Z9" s="20"/>
      <c r="AA9" s="21"/>
      <c r="AB9" s="8">
        <f t="shared" si="4"/>
        <v>0.99558823529411766</v>
      </c>
      <c r="AC9" s="9">
        <f t="shared" si="5"/>
        <v>0.16666666666666666</v>
      </c>
      <c r="AD9" s="10">
        <f t="shared" si="6"/>
        <v>0.1659313725490196</v>
      </c>
      <c r="AE9" s="39">
        <f>$AD$22</f>
        <v>0.50640788366819656</v>
      </c>
      <c r="AF9" s="94">
        <f t="shared" si="7"/>
        <v>4</v>
      </c>
    </row>
    <row r="10" spans="1:32" ht="27" customHeight="1">
      <c r="A10" s="110">
        <v>4</v>
      </c>
      <c r="B10" s="11" t="s">
        <v>59</v>
      </c>
      <c r="C10" s="37" t="s">
        <v>129</v>
      </c>
      <c r="D10" s="55" t="s">
        <v>154</v>
      </c>
      <c r="E10" s="57" t="s">
        <v>155</v>
      </c>
      <c r="F10" s="12" t="s">
        <v>127</v>
      </c>
      <c r="G10" s="12">
        <v>1</v>
      </c>
      <c r="H10" s="13">
        <v>25</v>
      </c>
      <c r="I10" s="34">
        <v>5000</v>
      </c>
      <c r="J10" s="5">
        <v>2840</v>
      </c>
      <c r="K10" s="15">
        <f>L10</f>
        <v>2831</v>
      </c>
      <c r="L10" s="15">
        <f>2531+300</f>
        <v>2831</v>
      </c>
      <c r="M10" s="16">
        <f t="shared" si="0"/>
        <v>2831</v>
      </c>
      <c r="N10" s="16">
        <v>0</v>
      </c>
      <c r="O10" s="62">
        <f t="shared" si="1"/>
        <v>0</v>
      </c>
      <c r="P10" s="42">
        <f t="shared" si="2"/>
        <v>18</v>
      </c>
      <c r="Q10" s="43">
        <f t="shared" si="3"/>
        <v>6</v>
      </c>
      <c r="R10" s="7"/>
      <c r="S10" s="6">
        <v>6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0.99683098591549291</v>
      </c>
      <c r="AC10" s="9">
        <f t="shared" si="5"/>
        <v>0.75</v>
      </c>
      <c r="AD10" s="10">
        <f t="shared" si="6"/>
        <v>0.74762323943661968</v>
      </c>
      <c r="AE10" s="39">
        <f t="shared" ref="AE10" si="8">$AD$22</f>
        <v>0.50640788366819656</v>
      </c>
      <c r="AF10" s="94">
        <f t="shared" si="7"/>
        <v>4</v>
      </c>
    </row>
    <row r="11" spans="1:32" ht="27" customHeight="1">
      <c r="A11" s="110">
        <v>5</v>
      </c>
      <c r="B11" s="11" t="s">
        <v>59</v>
      </c>
      <c r="C11" s="37" t="s">
        <v>167</v>
      </c>
      <c r="D11" s="55" t="s">
        <v>252</v>
      </c>
      <c r="E11" s="57" t="s">
        <v>254</v>
      </c>
      <c r="F11" s="12" t="s">
        <v>185</v>
      </c>
      <c r="G11" s="12">
        <v>1</v>
      </c>
      <c r="H11" s="13">
        <v>25</v>
      </c>
      <c r="I11" s="34">
        <v>5000</v>
      </c>
      <c r="J11" s="5">
        <v>4860</v>
      </c>
      <c r="K11" s="15">
        <f>L11+3795</f>
        <v>8655</v>
      </c>
      <c r="L11" s="15">
        <f>2354+2506</f>
        <v>4860</v>
      </c>
      <c r="M11" s="16">
        <f t="shared" si="0"/>
        <v>4860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1</v>
      </c>
      <c r="AD11" s="10">
        <f t="shared" si="6"/>
        <v>1</v>
      </c>
      <c r="AE11" s="39">
        <f>$AD$22</f>
        <v>0.50640788366819656</v>
      </c>
      <c r="AF11" s="94">
        <f t="shared" si="7"/>
        <v>5</v>
      </c>
    </row>
    <row r="12" spans="1:32" ht="27" customHeight="1">
      <c r="A12" s="110">
        <v>6</v>
      </c>
      <c r="B12" s="11" t="s">
        <v>59</v>
      </c>
      <c r="C12" s="11" t="s">
        <v>167</v>
      </c>
      <c r="D12" s="55" t="s">
        <v>186</v>
      </c>
      <c r="E12" s="57" t="s">
        <v>187</v>
      </c>
      <c r="F12" s="12" t="s">
        <v>188</v>
      </c>
      <c r="G12" s="12">
        <v>1</v>
      </c>
      <c r="H12" s="13">
        <v>25</v>
      </c>
      <c r="I12" s="34">
        <v>5000</v>
      </c>
      <c r="J12" s="14">
        <v>1930</v>
      </c>
      <c r="K12" s="15">
        <f>L12+5167+1928</f>
        <v>7095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ref="AE12:AE18" si="9">$AD$22</f>
        <v>0.50640788366819656</v>
      </c>
      <c r="AF12" s="94">
        <f t="shared" si="7"/>
        <v>6</v>
      </c>
    </row>
    <row r="13" spans="1:32" ht="27" customHeight="1">
      <c r="A13" s="110">
        <v>7</v>
      </c>
      <c r="B13" s="11" t="s">
        <v>59</v>
      </c>
      <c r="C13" s="37" t="s">
        <v>167</v>
      </c>
      <c r="D13" s="55" t="s">
        <v>299</v>
      </c>
      <c r="E13" s="57" t="s">
        <v>300</v>
      </c>
      <c r="F13" s="12" t="s">
        <v>216</v>
      </c>
      <c r="G13" s="12">
        <v>1</v>
      </c>
      <c r="H13" s="13">
        <v>25</v>
      </c>
      <c r="I13" s="34">
        <v>5000</v>
      </c>
      <c r="J13" s="5">
        <v>4760</v>
      </c>
      <c r="K13" s="15">
        <f>L13</f>
        <v>4758</v>
      </c>
      <c r="L13" s="15">
        <f>2849+1909</f>
        <v>4758</v>
      </c>
      <c r="M13" s="16">
        <f t="shared" si="0"/>
        <v>4758</v>
      </c>
      <c r="N13" s="16">
        <v>0</v>
      </c>
      <c r="O13" s="62">
        <f t="shared" si="1"/>
        <v>0</v>
      </c>
      <c r="P13" s="42">
        <f t="shared" si="2"/>
        <v>23</v>
      </c>
      <c r="Q13" s="43">
        <f t="shared" si="3"/>
        <v>1</v>
      </c>
      <c r="R13" s="7"/>
      <c r="S13" s="6">
        <v>1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0.99957983193277311</v>
      </c>
      <c r="AC13" s="9">
        <f t="shared" si="5"/>
        <v>0.95833333333333337</v>
      </c>
      <c r="AD13" s="10">
        <f t="shared" si="6"/>
        <v>0.9579306722689076</v>
      </c>
      <c r="AE13" s="39">
        <f t="shared" si="9"/>
        <v>0.50640788366819656</v>
      </c>
      <c r="AF13" s="94">
        <f t="shared" si="7"/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144</v>
      </c>
      <c r="E14" s="57" t="s">
        <v>157</v>
      </c>
      <c r="F14" s="12" t="s">
        <v>158</v>
      </c>
      <c r="G14" s="12">
        <v>1</v>
      </c>
      <c r="H14" s="13">
        <v>25</v>
      </c>
      <c r="I14" s="7">
        <v>22000</v>
      </c>
      <c r="J14" s="14">
        <v>3740</v>
      </c>
      <c r="K14" s="15">
        <f>L14+2452+3389+4558+2185</f>
        <v>16318</v>
      </c>
      <c r="L14" s="15">
        <f>1597+2137</f>
        <v>3734</v>
      </c>
      <c r="M14" s="16">
        <f t="shared" si="0"/>
        <v>3734</v>
      </c>
      <c r="N14" s="16">
        <v>0</v>
      </c>
      <c r="O14" s="62">
        <f t="shared" si="1"/>
        <v>0</v>
      </c>
      <c r="P14" s="42">
        <f t="shared" si="2"/>
        <v>18</v>
      </c>
      <c r="Q14" s="43">
        <f t="shared" si="3"/>
        <v>6</v>
      </c>
      <c r="R14" s="7"/>
      <c r="S14" s="6">
        <v>6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0.99839572192513371</v>
      </c>
      <c r="AC14" s="9">
        <f t="shared" si="5"/>
        <v>0.75</v>
      </c>
      <c r="AD14" s="10">
        <f t="shared" si="6"/>
        <v>0.74879679144385025</v>
      </c>
      <c r="AE14" s="39">
        <f t="shared" si="9"/>
        <v>0.50640788366819656</v>
      </c>
      <c r="AF14" s="94">
        <f t="shared" si="7"/>
        <v>8</v>
      </c>
    </row>
    <row r="15" spans="1:32" ht="27" customHeight="1">
      <c r="A15" s="109">
        <v>9</v>
      </c>
      <c r="B15" s="11" t="s">
        <v>59</v>
      </c>
      <c r="C15" s="37" t="s">
        <v>129</v>
      </c>
      <c r="D15" s="55" t="s">
        <v>217</v>
      </c>
      <c r="E15" s="57" t="s">
        <v>218</v>
      </c>
      <c r="F15" s="33" t="s">
        <v>216</v>
      </c>
      <c r="G15" s="36">
        <v>1</v>
      </c>
      <c r="H15" s="38">
        <v>25</v>
      </c>
      <c r="I15" s="7">
        <v>5000</v>
      </c>
      <c r="J15" s="5">
        <v>4100</v>
      </c>
      <c r="K15" s="15">
        <f>L15+3410+4096</f>
        <v>7506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9"/>
        <v>0.50640788366819656</v>
      </c>
      <c r="AF15" s="94">
        <f t="shared" si="7"/>
        <v>9</v>
      </c>
    </row>
    <row r="16" spans="1:32" ht="27" customHeight="1">
      <c r="A16" s="109">
        <v>10</v>
      </c>
      <c r="B16" s="11" t="s">
        <v>59</v>
      </c>
      <c r="C16" s="37" t="s">
        <v>159</v>
      </c>
      <c r="D16" s="55" t="s">
        <v>160</v>
      </c>
      <c r="E16" s="57" t="s">
        <v>171</v>
      </c>
      <c r="F16" s="12" t="s">
        <v>161</v>
      </c>
      <c r="G16" s="12">
        <v>2</v>
      </c>
      <c r="H16" s="13">
        <v>20</v>
      </c>
      <c r="I16" s="34">
        <v>20000</v>
      </c>
      <c r="J16" s="5">
        <v>10920</v>
      </c>
      <c r="K16" s="15">
        <f>L16+7200+15894+15894+10920</f>
        <v>49908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9"/>
        <v>0.50640788366819656</v>
      </c>
      <c r="AF16" s="94">
        <f t="shared" si="7"/>
        <v>10</v>
      </c>
    </row>
    <row r="17" spans="1:32" ht="27" customHeight="1">
      <c r="A17" s="109">
        <v>11</v>
      </c>
      <c r="B17" s="11" t="s">
        <v>59</v>
      </c>
      <c r="C17" s="11" t="s">
        <v>301</v>
      </c>
      <c r="D17" s="55" t="s">
        <v>302</v>
      </c>
      <c r="E17" s="56" t="s">
        <v>303</v>
      </c>
      <c r="F17" s="12">
        <v>7301</v>
      </c>
      <c r="G17" s="36">
        <v>1</v>
      </c>
      <c r="H17" s="38">
        <v>25</v>
      </c>
      <c r="I17" s="7">
        <v>60000</v>
      </c>
      <c r="J17" s="14">
        <v>5280</v>
      </c>
      <c r="K17" s="15">
        <f>L17</f>
        <v>5278</v>
      </c>
      <c r="L17" s="15">
        <f>2151+3127</f>
        <v>5278</v>
      </c>
      <c r="M17" s="16">
        <f t="shared" si="0"/>
        <v>5278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0.99962121212121213</v>
      </c>
      <c r="AC17" s="9">
        <f t="shared" si="5"/>
        <v>1</v>
      </c>
      <c r="AD17" s="10">
        <f t="shared" si="6"/>
        <v>0.99962121212121213</v>
      </c>
      <c r="AE17" s="39">
        <f t="shared" si="9"/>
        <v>0.50640788366819656</v>
      </c>
      <c r="AF17" s="94">
        <f t="shared" si="7"/>
        <v>11</v>
      </c>
    </row>
    <row r="18" spans="1:32" ht="27" customHeight="1">
      <c r="A18" s="109">
        <v>12</v>
      </c>
      <c r="B18" s="11" t="s">
        <v>59</v>
      </c>
      <c r="C18" s="37" t="s">
        <v>255</v>
      </c>
      <c r="D18" s="55" t="s">
        <v>258</v>
      </c>
      <c r="E18" s="56" t="s">
        <v>259</v>
      </c>
      <c r="F18" s="12">
        <v>8301</v>
      </c>
      <c r="G18" s="12">
        <v>1</v>
      </c>
      <c r="H18" s="13">
        <v>25</v>
      </c>
      <c r="I18" s="34">
        <v>500</v>
      </c>
      <c r="J18" s="5">
        <v>700</v>
      </c>
      <c r="K18" s="15">
        <f>L18+700</f>
        <v>700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9"/>
        <v>0.50640788366819656</v>
      </c>
      <c r="AF18" s="94">
        <f t="shared" si="7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162</v>
      </c>
      <c r="E19" s="56" t="s">
        <v>163</v>
      </c>
      <c r="F19" s="33" t="s">
        <v>127</v>
      </c>
      <c r="G19" s="36">
        <v>1</v>
      </c>
      <c r="H19" s="38">
        <v>25</v>
      </c>
      <c r="I19" s="7">
        <v>22000</v>
      </c>
      <c r="J19" s="5">
        <v>5160</v>
      </c>
      <c r="K19" s="15">
        <f>L19+2776+4960+2945+3734</f>
        <v>19573</v>
      </c>
      <c r="L19" s="15">
        <f>2762+2396</f>
        <v>5158</v>
      </c>
      <c r="M19" s="16">
        <f t="shared" si="0"/>
        <v>5158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0.99961240310077515</v>
      </c>
      <c r="AC19" s="9">
        <f t="shared" si="5"/>
        <v>1</v>
      </c>
      <c r="AD19" s="10">
        <f t="shared" si="6"/>
        <v>0.99961240310077515</v>
      </c>
      <c r="AE19" s="39">
        <f t="shared" ref="AE19:AE21" si="10">$AD$22</f>
        <v>0.50640788366819656</v>
      </c>
      <c r="AF19" s="94">
        <f t="shared" si="7"/>
        <v>13</v>
      </c>
    </row>
    <row r="20" spans="1:32" ht="27" customHeight="1">
      <c r="A20" s="110">
        <v>14</v>
      </c>
      <c r="B20" s="11" t="s">
        <v>59</v>
      </c>
      <c r="C20" s="37" t="s">
        <v>129</v>
      </c>
      <c r="D20" s="55" t="s">
        <v>58</v>
      </c>
      <c r="E20" s="57" t="s">
        <v>141</v>
      </c>
      <c r="F20" s="33" t="s">
        <v>130</v>
      </c>
      <c r="G20" s="36">
        <v>1</v>
      </c>
      <c r="H20" s="38">
        <v>25</v>
      </c>
      <c r="I20" s="34">
        <v>44000</v>
      </c>
      <c r="J20" s="5">
        <v>3360</v>
      </c>
      <c r="K20" s="15">
        <f>L20</f>
        <v>3360</v>
      </c>
      <c r="L20" s="15">
        <f>2100+1260</f>
        <v>3360</v>
      </c>
      <c r="M20" s="16">
        <f t="shared" si="0"/>
        <v>3360</v>
      </c>
      <c r="N20" s="16">
        <v>0</v>
      </c>
      <c r="O20" s="62">
        <f t="shared" si="1"/>
        <v>0</v>
      </c>
      <c r="P20" s="42">
        <f t="shared" si="2"/>
        <v>17</v>
      </c>
      <c r="Q20" s="43">
        <f t="shared" si="3"/>
        <v>7</v>
      </c>
      <c r="R20" s="7"/>
      <c r="S20" s="6">
        <v>7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0.70833333333333337</v>
      </c>
      <c r="AD20" s="10">
        <f t="shared" si="6"/>
        <v>0.70833333333333337</v>
      </c>
      <c r="AE20" s="39">
        <f t="shared" si="10"/>
        <v>0.50640788366819656</v>
      </c>
      <c r="AF20" s="94">
        <f t="shared" si="7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143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35770</v>
      </c>
      <c r="K21" s="15">
        <f>L21+40636+52572+50384+54156+47100+55408+54312+54884+35764</f>
        <v>445216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10"/>
        <v>0.50640788366819656</v>
      </c>
      <c r="AF21" s="94">
        <f t="shared" si="7"/>
        <v>15</v>
      </c>
    </row>
    <row r="22" spans="1:32" ht="31.5" customHeight="1" thickBot="1">
      <c r="A22" s="457" t="s">
        <v>34</v>
      </c>
      <c r="B22" s="458"/>
      <c r="C22" s="458"/>
      <c r="D22" s="458"/>
      <c r="E22" s="458"/>
      <c r="F22" s="458"/>
      <c r="G22" s="458"/>
      <c r="H22" s="459"/>
      <c r="I22" s="25">
        <f t="shared" ref="I22:N22" si="11">SUM(I6:I21)</f>
        <v>498500</v>
      </c>
      <c r="J22" s="22">
        <f t="shared" si="11"/>
        <v>94417</v>
      </c>
      <c r="K22" s="23">
        <f t="shared" si="11"/>
        <v>590418</v>
      </c>
      <c r="L22" s="24">
        <f t="shared" si="11"/>
        <v>37117</v>
      </c>
      <c r="M22" s="23">
        <f t="shared" si="11"/>
        <v>37117</v>
      </c>
      <c r="N22" s="24">
        <f t="shared" si="11"/>
        <v>0</v>
      </c>
      <c r="O22" s="44">
        <f t="shared" si="1"/>
        <v>0</v>
      </c>
      <c r="P22" s="45">
        <f t="shared" ref="P22:AA22" si="12">SUM(P6:P21)</f>
        <v>187</v>
      </c>
      <c r="Q22" s="46">
        <f t="shared" si="12"/>
        <v>197</v>
      </c>
      <c r="R22" s="26">
        <f t="shared" si="12"/>
        <v>0</v>
      </c>
      <c r="S22" s="27">
        <f t="shared" si="12"/>
        <v>57</v>
      </c>
      <c r="T22" s="27">
        <f t="shared" si="12"/>
        <v>0</v>
      </c>
      <c r="U22" s="27">
        <f t="shared" si="12"/>
        <v>0</v>
      </c>
      <c r="V22" s="28">
        <f t="shared" si="12"/>
        <v>0</v>
      </c>
      <c r="W22" s="29">
        <f t="shared" si="12"/>
        <v>116</v>
      </c>
      <c r="X22" s="30">
        <f t="shared" si="12"/>
        <v>0</v>
      </c>
      <c r="Y22" s="30">
        <f t="shared" si="12"/>
        <v>0</v>
      </c>
      <c r="Z22" s="30">
        <f t="shared" si="12"/>
        <v>0</v>
      </c>
      <c r="AA22" s="30">
        <f t="shared" si="12"/>
        <v>24</v>
      </c>
      <c r="AB22" s="31">
        <f>SUM(AB6:AB21)/15</f>
        <v>0.64425361429768868</v>
      </c>
      <c r="AC22" s="4">
        <f>SUM(AC6:AC21)/15</f>
        <v>0.51944444444444438</v>
      </c>
      <c r="AD22" s="4">
        <f>SUM(AD6:AD21)/15</f>
        <v>0.50640788366819656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60" t="s">
        <v>46</v>
      </c>
      <c r="B49" s="460"/>
      <c r="C49" s="460"/>
      <c r="D49" s="460"/>
      <c r="E49" s="460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61" t="s">
        <v>304</v>
      </c>
      <c r="B50" s="462"/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3"/>
      <c r="N50" s="464" t="s">
        <v>320</v>
      </c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67" t="s">
        <v>2</v>
      </c>
      <c r="B51" s="468"/>
      <c r="C51" s="165" t="s">
        <v>47</v>
      </c>
      <c r="D51" s="165" t="s">
        <v>48</v>
      </c>
      <c r="E51" s="165" t="s">
        <v>113</v>
      </c>
      <c r="F51" s="468" t="s">
        <v>112</v>
      </c>
      <c r="G51" s="468"/>
      <c r="H51" s="468"/>
      <c r="I51" s="468"/>
      <c r="J51" s="468"/>
      <c r="K51" s="468"/>
      <c r="L51" s="468"/>
      <c r="M51" s="469"/>
      <c r="N51" s="73" t="s">
        <v>117</v>
      </c>
      <c r="O51" s="165" t="s">
        <v>47</v>
      </c>
      <c r="P51" s="470" t="s">
        <v>48</v>
      </c>
      <c r="Q51" s="471"/>
      <c r="R51" s="470" t="s">
        <v>39</v>
      </c>
      <c r="S51" s="472"/>
      <c r="T51" s="472"/>
      <c r="U51" s="471"/>
      <c r="V51" s="470" t="s">
        <v>49</v>
      </c>
      <c r="W51" s="472"/>
      <c r="X51" s="472"/>
      <c r="Y51" s="472"/>
      <c r="Z51" s="472"/>
      <c r="AA51" s="472"/>
      <c r="AB51" s="472"/>
      <c r="AC51" s="472"/>
      <c r="AD51" s="473"/>
    </row>
    <row r="52" spans="1:32" ht="27" customHeight="1">
      <c r="A52" s="453" t="s">
        <v>129</v>
      </c>
      <c r="B52" s="454"/>
      <c r="C52" s="166" t="s">
        <v>306</v>
      </c>
      <c r="D52" s="167" t="s">
        <v>221</v>
      </c>
      <c r="E52" s="166" t="s">
        <v>213</v>
      </c>
      <c r="F52" s="432" t="s">
        <v>307</v>
      </c>
      <c r="G52" s="432"/>
      <c r="H52" s="432"/>
      <c r="I52" s="432"/>
      <c r="J52" s="432"/>
      <c r="K52" s="432"/>
      <c r="L52" s="432"/>
      <c r="M52" s="446"/>
      <c r="N52" s="168" t="s">
        <v>321</v>
      </c>
      <c r="O52" s="74" t="s">
        <v>322</v>
      </c>
      <c r="P52" s="445" t="s">
        <v>323</v>
      </c>
      <c r="Q52" s="445"/>
      <c r="R52" s="445" t="s">
        <v>324</v>
      </c>
      <c r="S52" s="445"/>
      <c r="T52" s="445"/>
      <c r="U52" s="445"/>
      <c r="V52" s="432" t="s">
        <v>266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167</v>
      </c>
      <c r="B53" s="445"/>
      <c r="C53" s="167" t="s">
        <v>305</v>
      </c>
      <c r="D53" s="167" t="s">
        <v>262</v>
      </c>
      <c r="E53" s="166" t="s">
        <v>308</v>
      </c>
      <c r="F53" s="432" t="s">
        <v>307</v>
      </c>
      <c r="G53" s="432"/>
      <c r="H53" s="432"/>
      <c r="I53" s="432"/>
      <c r="J53" s="432"/>
      <c r="K53" s="432"/>
      <c r="L53" s="432"/>
      <c r="M53" s="446"/>
      <c r="N53" s="168" t="s">
        <v>167</v>
      </c>
      <c r="O53" s="74" t="s">
        <v>168</v>
      </c>
      <c r="P53" s="451" t="s">
        <v>272</v>
      </c>
      <c r="Q53" s="452"/>
      <c r="R53" s="445" t="s">
        <v>286</v>
      </c>
      <c r="S53" s="445"/>
      <c r="T53" s="445"/>
      <c r="U53" s="445"/>
      <c r="V53" s="432" t="s">
        <v>179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301</v>
      </c>
      <c r="B54" s="445"/>
      <c r="C54" s="167" t="s">
        <v>309</v>
      </c>
      <c r="D54" s="167" t="s">
        <v>310</v>
      </c>
      <c r="E54" s="166" t="s">
        <v>311</v>
      </c>
      <c r="F54" s="432" t="s">
        <v>312</v>
      </c>
      <c r="G54" s="432"/>
      <c r="H54" s="432"/>
      <c r="I54" s="432"/>
      <c r="J54" s="432"/>
      <c r="K54" s="432"/>
      <c r="L54" s="432"/>
      <c r="M54" s="446"/>
      <c r="N54" s="168" t="s">
        <v>325</v>
      </c>
      <c r="O54" s="74" t="s">
        <v>326</v>
      </c>
      <c r="P54" s="451" t="s">
        <v>327</v>
      </c>
      <c r="Q54" s="452"/>
      <c r="R54" s="445" t="s">
        <v>328</v>
      </c>
      <c r="S54" s="445"/>
      <c r="T54" s="445"/>
      <c r="U54" s="445"/>
      <c r="V54" s="432" t="s">
        <v>329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129</v>
      </c>
      <c r="B55" s="454"/>
      <c r="C55" s="166" t="s">
        <v>313</v>
      </c>
      <c r="D55" s="167" t="s">
        <v>314</v>
      </c>
      <c r="E55" s="166" t="s">
        <v>315</v>
      </c>
      <c r="F55" s="432" t="s">
        <v>266</v>
      </c>
      <c r="G55" s="432"/>
      <c r="H55" s="432"/>
      <c r="I55" s="432"/>
      <c r="J55" s="432"/>
      <c r="K55" s="432"/>
      <c r="L55" s="432"/>
      <c r="M55" s="446"/>
      <c r="N55" s="168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267</v>
      </c>
      <c r="B56" s="454"/>
      <c r="C56" s="166" t="s">
        <v>268</v>
      </c>
      <c r="D56" s="167" t="s">
        <v>144</v>
      </c>
      <c r="E56" s="167" t="s">
        <v>269</v>
      </c>
      <c r="F56" s="432" t="s">
        <v>316</v>
      </c>
      <c r="G56" s="432"/>
      <c r="H56" s="432"/>
      <c r="I56" s="432"/>
      <c r="J56" s="432"/>
      <c r="K56" s="432"/>
      <c r="L56" s="432"/>
      <c r="M56" s="446"/>
      <c r="N56" s="168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167</v>
      </c>
      <c r="B57" s="445"/>
      <c r="C57" s="167" t="s">
        <v>271</v>
      </c>
      <c r="D57" s="167" t="s">
        <v>272</v>
      </c>
      <c r="E57" s="166" t="s">
        <v>273</v>
      </c>
      <c r="F57" s="432" t="s">
        <v>317</v>
      </c>
      <c r="G57" s="432"/>
      <c r="H57" s="432"/>
      <c r="I57" s="432"/>
      <c r="J57" s="432"/>
      <c r="K57" s="432"/>
      <c r="L57" s="432"/>
      <c r="M57" s="446"/>
      <c r="N57" s="168"/>
      <c r="O57" s="74"/>
      <c r="P57" s="445"/>
      <c r="Q57" s="445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 t="s">
        <v>301</v>
      </c>
      <c r="B58" s="445"/>
      <c r="C58" s="167" t="s">
        <v>318</v>
      </c>
      <c r="D58" s="167" t="s">
        <v>310</v>
      </c>
      <c r="E58" s="166" t="s">
        <v>319</v>
      </c>
      <c r="F58" s="432" t="s">
        <v>312</v>
      </c>
      <c r="G58" s="432"/>
      <c r="H58" s="432"/>
      <c r="I58" s="432"/>
      <c r="J58" s="432"/>
      <c r="K58" s="432"/>
      <c r="L58" s="432"/>
      <c r="M58" s="446"/>
      <c r="N58" s="168"/>
      <c r="O58" s="74"/>
      <c r="P58" s="451"/>
      <c r="Q58" s="452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53"/>
      <c r="B59" s="454"/>
      <c r="C59" s="166"/>
      <c r="D59" s="167"/>
      <c r="E59" s="166"/>
      <c r="F59" s="432"/>
      <c r="G59" s="432"/>
      <c r="H59" s="432"/>
      <c r="I59" s="432"/>
      <c r="J59" s="432"/>
      <c r="K59" s="432"/>
      <c r="L59" s="432"/>
      <c r="M59" s="446"/>
      <c r="N59" s="168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44"/>
      <c r="B60" s="445"/>
      <c r="C60" s="167"/>
      <c r="D60" s="167"/>
      <c r="E60" s="167"/>
      <c r="F60" s="432"/>
      <c r="G60" s="432"/>
      <c r="H60" s="432"/>
      <c r="I60" s="432"/>
      <c r="J60" s="432"/>
      <c r="K60" s="432"/>
      <c r="L60" s="432"/>
      <c r="M60" s="446"/>
      <c r="N60" s="168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  <c r="AF60" s="94">
        <f>8*3000</f>
        <v>24000</v>
      </c>
    </row>
    <row r="61" spans="1:32" ht="27" customHeight="1" thickBot="1">
      <c r="A61" s="447"/>
      <c r="B61" s="448"/>
      <c r="C61" s="170"/>
      <c r="D61" s="170"/>
      <c r="E61" s="170"/>
      <c r="F61" s="449"/>
      <c r="G61" s="449"/>
      <c r="H61" s="449"/>
      <c r="I61" s="449"/>
      <c r="J61" s="449"/>
      <c r="K61" s="449"/>
      <c r="L61" s="449"/>
      <c r="M61" s="450"/>
      <c r="N61" s="169"/>
      <c r="O61" s="121"/>
      <c r="P61" s="448"/>
      <c r="Q61" s="448"/>
      <c r="R61" s="448"/>
      <c r="S61" s="448"/>
      <c r="T61" s="448"/>
      <c r="U61" s="448"/>
      <c r="V61" s="449"/>
      <c r="W61" s="449"/>
      <c r="X61" s="449"/>
      <c r="Y61" s="449"/>
      <c r="Z61" s="449"/>
      <c r="AA61" s="449"/>
      <c r="AB61" s="449"/>
      <c r="AC61" s="449"/>
      <c r="AD61" s="450"/>
      <c r="AF61" s="94">
        <f>16*3000</f>
        <v>48000</v>
      </c>
    </row>
    <row r="62" spans="1:32" ht="27.75" thickBot="1">
      <c r="A62" s="442" t="s">
        <v>330</v>
      </c>
      <c r="B62" s="442"/>
      <c r="C62" s="442"/>
      <c r="D62" s="442"/>
      <c r="E62" s="44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3" t="s">
        <v>118</v>
      </c>
      <c r="B63" s="439"/>
      <c r="C63" s="171" t="s">
        <v>2</v>
      </c>
      <c r="D63" s="171" t="s">
        <v>38</v>
      </c>
      <c r="E63" s="171" t="s">
        <v>3</v>
      </c>
      <c r="F63" s="439" t="s">
        <v>115</v>
      </c>
      <c r="G63" s="439"/>
      <c r="H63" s="439"/>
      <c r="I63" s="439"/>
      <c r="J63" s="439"/>
      <c r="K63" s="439" t="s">
        <v>40</v>
      </c>
      <c r="L63" s="439"/>
      <c r="M63" s="171" t="s">
        <v>41</v>
      </c>
      <c r="N63" s="439" t="s">
        <v>42</v>
      </c>
      <c r="O63" s="439"/>
      <c r="P63" s="436" t="s">
        <v>43</v>
      </c>
      <c r="Q63" s="438"/>
      <c r="R63" s="436" t="s">
        <v>44</v>
      </c>
      <c r="S63" s="437"/>
      <c r="T63" s="437"/>
      <c r="U63" s="437"/>
      <c r="V63" s="437"/>
      <c r="W63" s="437"/>
      <c r="X63" s="437"/>
      <c r="Y63" s="437"/>
      <c r="Z63" s="437"/>
      <c r="AA63" s="438"/>
      <c r="AB63" s="439" t="s">
        <v>45</v>
      </c>
      <c r="AC63" s="439"/>
      <c r="AD63" s="440"/>
      <c r="AF63" s="94">
        <f>SUM(AF60:AF62)</f>
        <v>96000</v>
      </c>
    </row>
    <row r="64" spans="1:32" ht="26.25" customHeight="1">
      <c r="A64" s="429">
        <v>1</v>
      </c>
      <c r="B64" s="430"/>
      <c r="C64" s="173"/>
      <c r="D64" s="175"/>
      <c r="E64" s="172"/>
      <c r="F64" s="421"/>
      <c r="G64" s="421"/>
      <c r="H64" s="421"/>
      <c r="I64" s="421"/>
      <c r="J64" s="421"/>
      <c r="K64" s="441"/>
      <c r="L64" s="441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2</v>
      </c>
      <c r="B65" s="430"/>
      <c r="C65" s="173"/>
      <c r="D65" s="175"/>
      <c r="E65" s="172"/>
      <c r="F65" s="421"/>
      <c r="G65" s="421"/>
      <c r="H65" s="421"/>
      <c r="I65" s="421"/>
      <c r="J65" s="421"/>
      <c r="K65" s="433"/>
      <c r="L65" s="434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6.25" customHeight="1">
      <c r="A66" s="429">
        <v>3</v>
      </c>
      <c r="B66" s="430"/>
      <c r="C66" s="173"/>
      <c r="D66" s="175"/>
      <c r="E66" s="172"/>
      <c r="F66" s="421"/>
      <c r="G66" s="421"/>
      <c r="H66" s="421"/>
      <c r="I66" s="421"/>
      <c r="J66" s="421"/>
      <c r="K66" s="433"/>
      <c r="L66" s="434"/>
      <c r="M66" s="54"/>
      <c r="N66" s="435"/>
      <c r="O66" s="435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4</v>
      </c>
      <c r="B67" s="430"/>
      <c r="C67" s="173"/>
      <c r="D67" s="175"/>
      <c r="E67" s="172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5</v>
      </c>
      <c r="B68" s="430"/>
      <c r="C68" s="173"/>
      <c r="D68" s="175"/>
      <c r="E68" s="172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6</v>
      </c>
      <c r="B69" s="430"/>
      <c r="C69" s="173"/>
      <c r="D69" s="175"/>
      <c r="E69" s="172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7</v>
      </c>
      <c r="B70" s="430"/>
      <c r="C70" s="173"/>
      <c r="D70" s="175"/>
      <c r="E70" s="172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>
      <c r="A71" s="429">
        <v>8</v>
      </c>
      <c r="B71" s="430"/>
      <c r="C71" s="173"/>
      <c r="D71" s="175"/>
      <c r="E71" s="172"/>
      <c r="F71" s="421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26.25" customHeight="1" thickBot="1">
      <c r="A72" s="400" t="s">
        <v>331</v>
      </c>
      <c r="B72" s="400"/>
      <c r="C72" s="400"/>
      <c r="D72" s="400"/>
      <c r="E72" s="40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3" t="s">
        <v>118</v>
      </c>
      <c r="B73" s="424"/>
      <c r="C73" s="174" t="s">
        <v>2</v>
      </c>
      <c r="D73" s="174" t="s">
        <v>38</v>
      </c>
      <c r="E73" s="174" t="s">
        <v>3</v>
      </c>
      <c r="F73" s="424" t="s">
        <v>39</v>
      </c>
      <c r="G73" s="424"/>
      <c r="H73" s="424"/>
      <c r="I73" s="424"/>
      <c r="J73" s="424"/>
      <c r="K73" s="425" t="s">
        <v>60</v>
      </c>
      <c r="L73" s="426"/>
      <c r="M73" s="426"/>
      <c r="N73" s="426"/>
      <c r="O73" s="426"/>
      <c r="P73" s="426"/>
      <c r="Q73" s="426"/>
      <c r="R73" s="426"/>
      <c r="S73" s="427"/>
      <c r="T73" s="424" t="s">
        <v>50</v>
      </c>
      <c r="U73" s="424"/>
      <c r="V73" s="425" t="s">
        <v>51</v>
      </c>
      <c r="W73" s="427"/>
      <c r="X73" s="426" t="s">
        <v>52</v>
      </c>
      <c r="Y73" s="426"/>
      <c r="Z73" s="426"/>
      <c r="AA73" s="426"/>
      <c r="AB73" s="426"/>
      <c r="AC73" s="426"/>
      <c r="AD73" s="428"/>
      <c r="AF73" s="53"/>
    </row>
    <row r="74" spans="1:32" ht="33.75" customHeight="1">
      <c r="A74" s="408">
        <v>1</v>
      </c>
      <c r="B74" s="409"/>
      <c r="C74" s="176" t="s">
        <v>62</v>
      </c>
      <c r="D74" s="176"/>
      <c r="E74" s="71" t="s">
        <v>58</v>
      </c>
      <c r="F74" s="410" t="s">
        <v>63</v>
      </c>
      <c r="G74" s="411"/>
      <c r="H74" s="411"/>
      <c r="I74" s="411"/>
      <c r="J74" s="412"/>
      <c r="K74" s="413" t="s">
        <v>61</v>
      </c>
      <c r="L74" s="414"/>
      <c r="M74" s="414"/>
      <c r="N74" s="414"/>
      <c r="O74" s="414"/>
      <c r="P74" s="414"/>
      <c r="Q74" s="414"/>
      <c r="R74" s="414"/>
      <c r="S74" s="415"/>
      <c r="T74" s="416">
        <v>41791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92">
        <f>A74+1</f>
        <v>2</v>
      </c>
      <c r="B75" s="393"/>
      <c r="C75" s="175" t="s">
        <v>129</v>
      </c>
      <c r="D75" s="175"/>
      <c r="E75" s="35" t="s">
        <v>121</v>
      </c>
      <c r="F75" s="393" t="s">
        <v>138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42779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ref="A76:A82" si="13">A75+1</f>
        <v>3</v>
      </c>
      <c r="B76" s="393"/>
      <c r="C76" s="175" t="s">
        <v>62</v>
      </c>
      <c r="D76" s="175"/>
      <c r="E76" s="35" t="s">
        <v>121</v>
      </c>
      <c r="F76" s="393" t="s">
        <v>125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3"/>
        <v>4</v>
      </c>
      <c r="B77" s="393"/>
      <c r="C77" s="175" t="s">
        <v>62</v>
      </c>
      <c r="D77" s="175"/>
      <c r="E77" s="35" t="s">
        <v>121</v>
      </c>
      <c r="F77" s="393" t="s">
        <v>124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3"/>
        <v>5</v>
      </c>
      <c r="B78" s="393"/>
      <c r="C78" s="175" t="s">
        <v>62</v>
      </c>
      <c r="D78" s="175"/>
      <c r="E78" s="35" t="s">
        <v>58</v>
      </c>
      <c r="F78" s="393" t="s">
        <v>126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3"/>
        <v>6</v>
      </c>
      <c r="B79" s="393"/>
      <c r="C79" s="175" t="s">
        <v>129</v>
      </c>
      <c r="D79" s="175"/>
      <c r="E79" s="35" t="s">
        <v>121</v>
      </c>
      <c r="F79" s="393" t="s">
        <v>132</v>
      </c>
      <c r="G79" s="393"/>
      <c r="H79" s="393"/>
      <c r="I79" s="393"/>
      <c r="J79" s="393"/>
      <c r="K79" s="402" t="s">
        <v>128</v>
      </c>
      <c r="L79" s="403"/>
      <c r="M79" s="403"/>
      <c r="N79" s="403"/>
      <c r="O79" s="403"/>
      <c r="P79" s="403"/>
      <c r="Q79" s="403"/>
      <c r="R79" s="403"/>
      <c r="S79" s="404"/>
      <c r="T79" s="405">
        <v>42770</v>
      </c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3"/>
        <v>7</v>
      </c>
      <c r="B80" s="393"/>
      <c r="C80" s="175"/>
      <c r="D80" s="175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3"/>
        <v>8</v>
      </c>
      <c r="B81" s="393"/>
      <c r="C81" s="175"/>
      <c r="D81" s="175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13"/>
        <v>9</v>
      </c>
      <c r="B82" s="393"/>
      <c r="C82" s="175"/>
      <c r="D82" s="175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6" thickBot="1">
      <c r="A83" s="400" t="s">
        <v>332</v>
      </c>
      <c r="B83" s="400"/>
      <c r="C83" s="400"/>
      <c r="D83" s="400"/>
      <c r="E83" s="40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1" t="s">
        <v>37</v>
      </c>
      <c r="B84" s="396"/>
      <c r="C84" s="396" t="s">
        <v>53</v>
      </c>
      <c r="D84" s="396"/>
      <c r="E84" s="396" t="s">
        <v>54</v>
      </c>
      <c r="F84" s="396"/>
      <c r="G84" s="396"/>
      <c r="H84" s="396"/>
      <c r="I84" s="396"/>
      <c r="J84" s="396"/>
      <c r="K84" s="396" t="s">
        <v>55</v>
      </c>
      <c r="L84" s="396"/>
      <c r="M84" s="396"/>
      <c r="N84" s="396"/>
      <c r="O84" s="396"/>
      <c r="P84" s="396"/>
      <c r="Q84" s="396"/>
      <c r="R84" s="396"/>
      <c r="S84" s="396"/>
      <c r="T84" s="396" t="s">
        <v>56</v>
      </c>
      <c r="U84" s="396"/>
      <c r="V84" s="396" t="s">
        <v>57</v>
      </c>
      <c r="W84" s="396"/>
      <c r="X84" s="396"/>
      <c r="Y84" s="396" t="s">
        <v>52</v>
      </c>
      <c r="Z84" s="396"/>
      <c r="AA84" s="396"/>
      <c r="AB84" s="396"/>
      <c r="AC84" s="396"/>
      <c r="AD84" s="397"/>
      <c r="AF84" s="53"/>
    </row>
    <row r="85" spans="1:32" ht="30.75" customHeight="1">
      <c r="A85" s="398">
        <v>1</v>
      </c>
      <c r="B85" s="399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>
      <c r="A86" s="392">
        <v>2</v>
      </c>
      <c r="B86" s="393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5"/>
      <c r="W86" s="395"/>
      <c r="X86" s="395"/>
      <c r="Y86" s="386"/>
      <c r="Z86" s="386"/>
      <c r="AA86" s="386"/>
      <c r="AB86" s="386"/>
      <c r="AC86" s="386"/>
      <c r="AD86" s="387"/>
      <c r="AF86" s="53"/>
    </row>
    <row r="87" spans="1:32" ht="30.75" customHeight="1" thickBot="1">
      <c r="A87" s="388">
        <v>3</v>
      </c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89"/>
      <c r="S87" s="389"/>
      <c r="T87" s="389"/>
      <c r="U87" s="389"/>
      <c r="V87" s="389"/>
      <c r="W87" s="389"/>
      <c r="X87" s="389"/>
      <c r="Y87" s="390"/>
      <c r="Z87" s="390"/>
      <c r="AA87" s="390"/>
      <c r="AB87" s="390"/>
      <c r="AC87" s="390"/>
      <c r="AD87" s="39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E11" sqref="AE11:AE1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333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189" t="s">
        <v>17</v>
      </c>
      <c r="L5" s="189" t="s">
        <v>18</v>
      </c>
      <c r="M5" s="189" t="s">
        <v>19</v>
      </c>
      <c r="N5" s="18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5100</v>
      </c>
      <c r="K6" s="15">
        <f>L6+2454</f>
        <v>7546</v>
      </c>
      <c r="L6" s="15">
        <f>2834+2258</f>
        <v>5092</v>
      </c>
      <c r="M6" s="16">
        <f t="shared" ref="M6:M20" si="0">L6-N6</f>
        <v>5092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0.99843137254901959</v>
      </c>
      <c r="AC6" s="9">
        <f t="shared" ref="AC6:AC20" si="5">IF(P6=0,"0",(P6/24))</f>
        <v>1</v>
      </c>
      <c r="AD6" s="10">
        <f t="shared" ref="AD6:AD20" si="6">AC6*AB6*(1-O6)</f>
        <v>0.99843137254901959</v>
      </c>
      <c r="AE6" s="39">
        <f>$AD$21</f>
        <v>0.41644042246165092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2670</v>
      </c>
      <c r="K7" s="15">
        <f>L7</f>
        <v>0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/>
      <c r="X7" s="17"/>
      <c r="Y7" s="20"/>
      <c r="Z7" s="20"/>
      <c r="AA7" s="21">
        <v>24</v>
      </c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>$AD$21</f>
        <v>0.41644042246165092</v>
      </c>
      <c r="AF7" s="94">
        <f t="shared" si="7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4890</v>
      </c>
      <c r="K8" s="15">
        <f>L8+4409+3630+4007</f>
        <v>16935</v>
      </c>
      <c r="L8" s="15">
        <f>2724+2165</f>
        <v>4889</v>
      </c>
      <c r="M8" s="16">
        <f t="shared" si="0"/>
        <v>4889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0.99979550102249493</v>
      </c>
      <c r="AC8" s="9">
        <f t="shared" si="5"/>
        <v>1</v>
      </c>
      <c r="AD8" s="10">
        <f t="shared" si="6"/>
        <v>0.99979550102249493</v>
      </c>
      <c r="AE8" s="39">
        <f>$AD$21</f>
        <v>0.41644042246165092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154</v>
      </c>
      <c r="E9" s="57" t="s">
        <v>155</v>
      </c>
      <c r="F9" s="12" t="s">
        <v>127</v>
      </c>
      <c r="G9" s="12">
        <v>1</v>
      </c>
      <c r="H9" s="13">
        <v>25</v>
      </c>
      <c r="I9" s="34">
        <v>5000</v>
      </c>
      <c r="J9" s="5">
        <v>3630</v>
      </c>
      <c r="K9" s="15">
        <f>L9+2831</f>
        <v>6457</v>
      </c>
      <c r="L9" s="15">
        <f>1219+2407</f>
        <v>3626</v>
      </c>
      <c r="M9" s="16">
        <f t="shared" si="0"/>
        <v>3626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/>
      <c r="T9" s="17"/>
      <c r="U9" s="17"/>
      <c r="V9" s="18"/>
      <c r="W9" s="19">
        <v>5</v>
      </c>
      <c r="X9" s="17"/>
      <c r="Y9" s="20"/>
      <c r="Z9" s="20"/>
      <c r="AA9" s="21"/>
      <c r="AB9" s="8">
        <f t="shared" si="4"/>
        <v>0.99889807162534439</v>
      </c>
      <c r="AC9" s="9">
        <f t="shared" si="5"/>
        <v>0.79166666666666663</v>
      </c>
      <c r="AD9" s="10">
        <f t="shared" si="6"/>
        <v>0.79079430670339756</v>
      </c>
      <c r="AE9" s="39">
        <f t="shared" ref="AE9" si="8">$AD$21</f>
        <v>0.41644042246165092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167</v>
      </c>
      <c r="D10" s="55" t="s">
        <v>252</v>
      </c>
      <c r="E10" s="57" t="s">
        <v>254</v>
      </c>
      <c r="F10" s="12" t="s">
        <v>185</v>
      </c>
      <c r="G10" s="12">
        <v>1</v>
      </c>
      <c r="H10" s="13">
        <v>25</v>
      </c>
      <c r="I10" s="34">
        <v>5000</v>
      </c>
      <c r="J10" s="5">
        <v>4860</v>
      </c>
      <c r="K10" s="15">
        <f>L10+3795+4860</f>
        <v>8655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>$AD$21</f>
        <v>0.41644042246165092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167</v>
      </c>
      <c r="D11" s="55" t="s">
        <v>186</v>
      </c>
      <c r="E11" s="57" t="s">
        <v>187</v>
      </c>
      <c r="F11" s="12" t="s">
        <v>188</v>
      </c>
      <c r="G11" s="12">
        <v>1</v>
      </c>
      <c r="H11" s="13">
        <v>25</v>
      </c>
      <c r="I11" s="34">
        <v>5000</v>
      </c>
      <c r="J11" s="14">
        <v>1930</v>
      </c>
      <c r="K11" s="15">
        <f>L11+5167+1928</f>
        <v>7095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$AD$21</f>
        <v>0.41644042246165092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167</v>
      </c>
      <c r="D12" s="55" t="s">
        <v>299</v>
      </c>
      <c r="E12" s="57" t="s">
        <v>300</v>
      </c>
      <c r="F12" s="12" t="s">
        <v>216</v>
      </c>
      <c r="G12" s="12">
        <v>1</v>
      </c>
      <c r="H12" s="13">
        <v>25</v>
      </c>
      <c r="I12" s="34">
        <v>5000</v>
      </c>
      <c r="J12" s="5">
        <v>2860</v>
      </c>
      <c r="K12" s="15">
        <f>L12+4758</f>
        <v>7618</v>
      </c>
      <c r="L12" s="15">
        <f>549+2311</f>
        <v>2860</v>
      </c>
      <c r="M12" s="16">
        <f t="shared" si="0"/>
        <v>2860</v>
      </c>
      <c r="N12" s="16">
        <v>0</v>
      </c>
      <c r="O12" s="62">
        <f t="shared" si="1"/>
        <v>0</v>
      </c>
      <c r="P12" s="42">
        <f t="shared" si="2"/>
        <v>14</v>
      </c>
      <c r="Q12" s="43">
        <f t="shared" si="3"/>
        <v>10</v>
      </c>
      <c r="R12" s="7"/>
      <c r="S12" s="6"/>
      <c r="T12" s="17"/>
      <c r="U12" s="17"/>
      <c r="V12" s="18"/>
      <c r="W12" s="19">
        <v>10</v>
      </c>
      <c r="X12" s="17"/>
      <c r="Y12" s="20"/>
      <c r="Z12" s="20"/>
      <c r="AA12" s="21"/>
      <c r="AB12" s="8">
        <f t="shared" si="4"/>
        <v>1</v>
      </c>
      <c r="AC12" s="9">
        <f t="shared" si="5"/>
        <v>0.58333333333333337</v>
      </c>
      <c r="AD12" s="10">
        <f t="shared" si="6"/>
        <v>0.58333333333333337</v>
      </c>
      <c r="AE12" s="39">
        <f t="shared" ref="AE12:AE15" si="9">$AD$21</f>
        <v>0.41644042246165092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158</v>
      </c>
      <c r="G13" s="12">
        <v>1</v>
      </c>
      <c r="H13" s="13">
        <v>25</v>
      </c>
      <c r="I13" s="7">
        <v>22000</v>
      </c>
      <c r="J13" s="14">
        <v>3740</v>
      </c>
      <c r="K13" s="15">
        <f>L13+2452+3389+4558+2185+3734</f>
        <v>16318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9"/>
        <v>0.41644042246165092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334</v>
      </c>
      <c r="E14" s="57" t="s">
        <v>335</v>
      </c>
      <c r="F14" s="33" t="s">
        <v>336</v>
      </c>
      <c r="G14" s="36">
        <v>1</v>
      </c>
      <c r="H14" s="38">
        <v>55</v>
      </c>
      <c r="I14" s="7">
        <v>200</v>
      </c>
      <c r="J14" s="5">
        <v>4100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9"/>
        <v>0.41644042246165092</v>
      </c>
      <c r="AF14" s="94">
        <f t="shared" si="7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10920</v>
      </c>
      <c r="K15" s="15">
        <f>L15+7200+15894+15894+10920</f>
        <v>49908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9"/>
        <v>0.41644042246165092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301</v>
      </c>
      <c r="D16" s="55" t="s">
        <v>302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5820</v>
      </c>
      <c r="K16" s="15">
        <f>L16+5278</f>
        <v>11095</v>
      </c>
      <c r="L16" s="15">
        <f>3234+2583</f>
        <v>5817</v>
      </c>
      <c r="M16" s="16">
        <f t="shared" si="0"/>
        <v>5817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0.99948453608247423</v>
      </c>
      <c r="AC16" s="9">
        <f t="shared" si="5"/>
        <v>1</v>
      </c>
      <c r="AD16" s="10">
        <f t="shared" si="6"/>
        <v>0.99948453608247423</v>
      </c>
      <c r="AE16" s="39">
        <f t="shared" ref="AE16:AE20" si="10">$AD$21</f>
        <v>0.41644042246165092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255</v>
      </c>
      <c r="D17" s="55" t="s">
        <v>258</v>
      </c>
      <c r="E17" s="56" t="s">
        <v>259</v>
      </c>
      <c r="F17" s="12">
        <v>8301</v>
      </c>
      <c r="G17" s="12">
        <v>1</v>
      </c>
      <c r="H17" s="13">
        <v>25</v>
      </c>
      <c r="I17" s="34">
        <v>500</v>
      </c>
      <c r="J17" s="5">
        <v>700</v>
      </c>
      <c r="K17" s="15">
        <f>L17+700</f>
        <v>700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10"/>
        <v>0.41644042246165092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22000</v>
      </c>
      <c r="J18" s="5">
        <v>5100</v>
      </c>
      <c r="K18" s="15">
        <f>L18+2776+4960+2945+3734+5158</f>
        <v>24673</v>
      </c>
      <c r="L18" s="15">
        <f>2832+2268</f>
        <v>5100</v>
      </c>
      <c r="M18" s="16">
        <f t="shared" si="0"/>
        <v>5100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1</v>
      </c>
      <c r="AC18" s="9">
        <f t="shared" si="5"/>
        <v>1</v>
      </c>
      <c r="AD18" s="10">
        <f t="shared" si="6"/>
        <v>1</v>
      </c>
      <c r="AE18" s="39">
        <f t="shared" si="10"/>
        <v>0.41644042246165092</v>
      </c>
      <c r="AF18" s="94">
        <f t="shared" si="7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3760</v>
      </c>
      <c r="K19" s="15">
        <f>L19+3360</f>
        <v>7119</v>
      </c>
      <c r="L19" s="15">
        <f>2915+844</f>
        <v>3759</v>
      </c>
      <c r="M19" s="16">
        <f t="shared" si="0"/>
        <v>3759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0.99973404255319154</v>
      </c>
      <c r="AC19" s="9">
        <f t="shared" si="5"/>
        <v>0.875</v>
      </c>
      <c r="AD19" s="10">
        <f t="shared" si="6"/>
        <v>0.87476728723404262</v>
      </c>
      <c r="AE19" s="39">
        <f t="shared" si="10"/>
        <v>0.41644042246165092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10"/>
        <v>0.41644042246165092</v>
      </c>
      <c r="AF20" s="94">
        <f t="shared" si="7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1">SUM(I6:I20)</f>
        <v>491700</v>
      </c>
      <c r="J21" s="22">
        <f t="shared" si="11"/>
        <v>95850</v>
      </c>
      <c r="K21" s="23">
        <f t="shared" si="11"/>
        <v>609335</v>
      </c>
      <c r="L21" s="24">
        <f t="shared" si="11"/>
        <v>31143</v>
      </c>
      <c r="M21" s="23">
        <f t="shared" si="11"/>
        <v>31143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150</v>
      </c>
      <c r="Q21" s="46">
        <f t="shared" si="12"/>
        <v>210</v>
      </c>
      <c r="R21" s="26">
        <f t="shared" si="12"/>
        <v>0</v>
      </c>
      <c r="S21" s="27">
        <f t="shared" si="12"/>
        <v>75</v>
      </c>
      <c r="T21" s="27">
        <f t="shared" si="12"/>
        <v>0</v>
      </c>
      <c r="U21" s="27">
        <f t="shared" si="12"/>
        <v>0</v>
      </c>
      <c r="V21" s="28">
        <f t="shared" si="12"/>
        <v>0</v>
      </c>
      <c r="W21" s="29">
        <f t="shared" si="12"/>
        <v>111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24</v>
      </c>
      <c r="AB21" s="31">
        <f>SUM(AB6:AB20)/15</f>
        <v>0.46642290158883498</v>
      </c>
      <c r="AC21" s="4">
        <f>SUM(AC6:AC20)/15</f>
        <v>0.41666666666666669</v>
      </c>
      <c r="AD21" s="4">
        <f>SUM(AD6:AD20)/15</f>
        <v>0.41644042246165092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337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342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188" t="s">
        <v>47</v>
      </c>
      <c r="D50" s="188" t="s">
        <v>48</v>
      </c>
      <c r="E50" s="188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188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44" t="s">
        <v>167</v>
      </c>
      <c r="B51" s="445"/>
      <c r="C51" s="184" t="s">
        <v>271</v>
      </c>
      <c r="D51" s="184" t="s">
        <v>272</v>
      </c>
      <c r="E51" s="187" t="s">
        <v>273</v>
      </c>
      <c r="F51" s="432" t="s">
        <v>338</v>
      </c>
      <c r="G51" s="432"/>
      <c r="H51" s="432"/>
      <c r="I51" s="432"/>
      <c r="J51" s="432"/>
      <c r="K51" s="432"/>
      <c r="L51" s="432"/>
      <c r="M51" s="446"/>
      <c r="N51" s="183" t="s">
        <v>321</v>
      </c>
      <c r="O51" s="74" t="s">
        <v>322</v>
      </c>
      <c r="P51" s="445" t="s">
        <v>323</v>
      </c>
      <c r="Q51" s="445"/>
      <c r="R51" s="445" t="s">
        <v>324</v>
      </c>
      <c r="S51" s="445"/>
      <c r="T51" s="445"/>
      <c r="U51" s="445"/>
      <c r="V51" s="432" t="s">
        <v>266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53" t="s">
        <v>267</v>
      </c>
      <c r="B52" s="454"/>
      <c r="C52" s="187" t="s">
        <v>268</v>
      </c>
      <c r="D52" s="184" t="s">
        <v>144</v>
      </c>
      <c r="E52" s="184" t="s">
        <v>269</v>
      </c>
      <c r="F52" s="432" t="s">
        <v>339</v>
      </c>
      <c r="G52" s="432"/>
      <c r="H52" s="432"/>
      <c r="I52" s="432"/>
      <c r="J52" s="432"/>
      <c r="K52" s="432"/>
      <c r="L52" s="432"/>
      <c r="M52" s="446"/>
      <c r="N52" s="183" t="s">
        <v>343</v>
      </c>
      <c r="O52" s="74" t="s">
        <v>344</v>
      </c>
      <c r="P52" s="451" t="s">
        <v>345</v>
      </c>
      <c r="Q52" s="452"/>
      <c r="R52" s="445" t="s">
        <v>346</v>
      </c>
      <c r="S52" s="445"/>
      <c r="T52" s="445"/>
      <c r="U52" s="445"/>
      <c r="V52" s="432" t="s">
        <v>347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122</v>
      </c>
      <c r="B53" s="445"/>
      <c r="C53" s="184" t="s">
        <v>340</v>
      </c>
      <c r="D53" s="184" t="s">
        <v>334</v>
      </c>
      <c r="E53" s="187" t="s">
        <v>335</v>
      </c>
      <c r="F53" s="432" t="s">
        <v>341</v>
      </c>
      <c r="G53" s="432"/>
      <c r="H53" s="432"/>
      <c r="I53" s="432"/>
      <c r="J53" s="432"/>
      <c r="K53" s="432"/>
      <c r="L53" s="432"/>
      <c r="M53" s="446"/>
      <c r="N53" s="183" t="s">
        <v>325</v>
      </c>
      <c r="O53" s="74" t="s">
        <v>326</v>
      </c>
      <c r="P53" s="451" t="s">
        <v>327</v>
      </c>
      <c r="Q53" s="452"/>
      <c r="R53" s="445" t="s">
        <v>328</v>
      </c>
      <c r="S53" s="445"/>
      <c r="T53" s="445"/>
      <c r="U53" s="445"/>
      <c r="V53" s="432" t="s">
        <v>338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/>
      <c r="B54" s="454"/>
      <c r="C54" s="187"/>
      <c r="D54" s="184"/>
      <c r="E54" s="187"/>
      <c r="F54" s="432"/>
      <c r="G54" s="432"/>
      <c r="H54" s="432"/>
      <c r="I54" s="432"/>
      <c r="J54" s="432"/>
      <c r="K54" s="432"/>
      <c r="L54" s="432"/>
      <c r="M54" s="446"/>
      <c r="N54" s="183" t="s">
        <v>122</v>
      </c>
      <c r="O54" s="74" t="s">
        <v>349</v>
      </c>
      <c r="P54" s="451" t="s">
        <v>350</v>
      </c>
      <c r="Q54" s="452"/>
      <c r="R54" s="445" t="s">
        <v>348</v>
      </c>
      <c r="S54" s="445"/>
      <c r="T54" s="445"/>
      <c r="U54" s="445"/>
      <c r="V54" s="432" t="s">
        <v>351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/>
      <c r="B55" s="454"/>
      <c r="C55" s="187"/>
      <c r="D55" s="184"/>
      <c r="E55" s="184"/>
      <c r="F55" s="432"/>
      <c r="G55" s="432"/>
      <c r="H55" s="432"/>
      <c r="I55" s="432"/>
      <c r="J55" s="432"/>
      <c r="K55" s="432"/>
      <c r="L55" s="432"/>
      <c r="M55" s="446"/>
      <c r="N55" s="183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/>
      <c r="B56" s="445"/>
      <c r="C56" s="184"/>
      <c r="D56" s="184"/>
      <c r="E56" s="187"/>
      <c r="F56" s="432"/>
      <c r="G56" s="432"/>
      <c r="H56" s="432"/>
      <c r="I56" s="432"/>
      <c r="J56" s="432"/>
      <c r="K56" s="432"/>
      <c r="L56" s="432"/>
      <c r="M56" s="446"/>
      <c r="N56" s="183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184"/>
      <c r="D57" s="184"/>
      <c r="E57" s="187"/>
      <c r="F57" s="432"/>
      <c r="G57" s="432"/>
      <c r="H57" s="432"/>
      <c r="I57" s="432"/>
      <c r="J57" s="432"/>
      <c r="K57" s="432"/>
      <c r="L57" s="432"/>
      <c r="M57" s="446"/>
      <c r="N57" s="183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187"/>
      <c r="D58" s="184"/>
      <c r="E58" s="187"/>
      <c r="F58" s="432"/>
      <c r="G58" s="432"/>
      <c r="H58" s="432"/>
      <c r="I58" s="432"/>
      <c r="J58" s="432"/>
      <c r="K58" s="432"/>
      <c r="L58" s="432"/>
      <c r="M58" s="446"/>
      <c r="N58" s="183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184"/>
      <c r="D59" s="184"/>
      <c r="E59" s="184"/>
      <c r="F59" s="432"/>
      <c r="G59" s="432"/>
      <c r="H59" s="432"/>
      <c r="I59" s="432"/>
      <c r="J59" s="432"/>
      <c r="K59" s="432"/>
      <c r="L59" s="432"/>
      <c r="M59" s="446"/>
      <c r="N59" s="183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186"/>
      <c r="D60" s="186"/>
      <c r="E60" s="186"/>
      <c r="F60" s="449"/>
      <c r="G60" s="449"/>
      <c r="H60" s="449"/>
      <c r="I60" s="449"/>
      <c r="J60" s="449"/>
      <c r="K60" s="449"/>
      <c r="L60" s="449"/>
      <c r="M60" s="450"/>
      <c r="N60" s="185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352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181" t="s">
        <v>2</v>
      </c>
      <c r="D62" s="181" t="s">
        <v>38</v>
      </c>
      <c r="E62" s="181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181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182" t="s">
        <v>129</v>
      </c>
      <c r="D63" s="177"/>
      <c r="E63" s="179" t="s">
        <v>353</v>
      </c>
      <c r="F63" s="421" t="s">
        <v>354</v>
      </c>
      <c r="G63" s="421"/>
      <c r="H63" s="421"/>
      <c r="I63" s="421"/>
      <c r="J63" s="421"/>
      <c r="K63" s="441" t="s">
        <v>355</v>
      </c>
      <c r="L63" s="441"/>
      <c r="M63" s="54" t="s">
        <v>356</v>
      </c>
      <c r="N63" s="421">
        <v>5</v>
      </c>
      <c r="O63" s="421"/>
      <c r="P63" s="431">
        <v>50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182" t="s">
        <v>129</v>
      </c>
      <c r="D64" s="177"/>
      <c r="E64" s="179" t="s">
        <v>58</v>
      </c>
      <c r="F64" s="421" t="s">
        <v>357</v>
      </c>
      <c r="G64" s="421"/>
      <c r="H64" s="421"/>
      <c r="I64" s="421"/>
      <c r="J64" s="421"/>
      <c r="K64" s="433" t="s">
        <v>358</v>
      </c>
      <c r="L64" s="434"/>
      <c r="M64" s="54" t="s">
        <v>359</v>
      </c>
      <c r="N64" s="421">
        <v>5</v>
      </c>
      <c r="O64" s="421"/>
      <c r="P64" s="431">
        <v>50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182" t="s">
        <v>360</v>
      </c>
      <c r="D65" s="177"/>
      <c r="E65" s="179" t="s">
        <v>361</v>
      </c>
      <c r="F65" s="421" t="s">
        <v>362</v>
      </c>
      <c r="G65" s="421"/>
      <c r="H65" s="421"/>
      <c r="I65" s="421"/>
      <c r="J65" s="421"/>
      <c r="K65" s="433" t="s">
        <v>363</v>
      </c>
      <c r="L65" s="434"/>
      <c r="M65" s="54" t="s">
        <v>364</v>
      </c>
      <c r="N65" s="435">
        <v>5</v>
      </c>
      <c r="O65" s="435"/>
      <c r="P65" s="431">
        <v>50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182"/>
      <c r="D66" s="177"/>
      <c r="E66" s="179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182"/>
      <c r="D67" s="177"/>
      <c r="E67" s="179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6</v>
      </c>
      <c r="B68" s="430"/>
      <c r="C68" s="182"/>
      <c r="D68" s="177"/>
      <c r="E68" s="179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7</v>
      </c>
      <c r="B69" s="430"/>
      <c r="C69" s="182"/>
      <c r="D69" s="177"/>
      <c r="E69" s="179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8</v>
      </c>
      <c r="B70" s="430"/>
      <c r="C70" s="182"/>
      <c r="D70" s="177"/>
      <c r="E70" s="179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365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180" t="s">
        <v>2</v>
      </c>
      <c r="D72" s="180" t="s">
        <v>38</v>
      </c>
      <c r="E72" s="180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178" t="s">
        <v>62</v>
      </c>
      <c r="D73" s="178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177" t="s">
        <v>129</v>
      </c>
      <c r="D74" s="177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3">A74+1</f>
        <v>3</v>
      </c>
      <c r="B75" s="393"/>
      <c r="C75" s="177" t="s">
        <v>62</v>
      </c>
      <c r="D75" s="177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3"/>
        <v>4</v>
      </c>
      <c r="B76" s="393"/>
      <c r="C76" s="177" t="s">
        <v>62</v>
      </c>
      <c r="D76" s="177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3"/>
        <v>5</v>
      </c>
      <c r="B77" s="393"/>
      <c r="C77" s="177" t="s">
        <v>62</v>
      </c>
      <c r="D77" s="177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3"/>
        <v>6</v>
      </c>
      <c r="B78" s="393"/>
      <c r="C78" s="177" t="s">
        <v>129</v>
      </c>
      <c r="D78" s="177"/>
      <c r="E78" s="35" t="s">
        <v>121</v>
      </c>
      <c r="F78" s="393" t="s">
        <v>132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42770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3"/>
        <v>7</v>
      </c>
      <c r="B79" s="393"/>
      <c r="C79" s="177"/>
      <c r="D79" s="177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3"/>
        <v>8</v>
      </c>
      <c r="B80" s="393"/>
      <c r="C80" s="177"/>
      <c r="D80" s="177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3"/>
        <v>9</v>
      </c>
      <c r="B81" s="393"/>
      <c r="C81" s="177"/>
      <c r="D81" s="177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366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/>
      <c r="D84" s="394"/>
      <c r="E84" s="394"/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/>
      <c r="U84" s="394"/>
      <c r="V84" s="395"/>
      <c r="W84" s="395"/>
      <c r="X84" s="395"/>
      <c r="Y84" s="386"/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E11" sqref="AE11:AE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367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190" t="s">
        <v>17</v>
      </c>
      <c r="L5" s="190" t="s">
        <v>18</v>
      </c>
      <c r="M5" s="190" t="s">
        <v>19</v>
      </c>
      <c r="N5" s="19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5130</v>
      </c>
      <c r="K6" s="15">
        <f>L6+2454+5092</f>
        <v>12670</v>
      </c>
      <c r="L6" s="15">
        <f>2671+2453</f>
        <v>5124</v>
      </c>
      <c r="M6" s="16">
        <f t="shared" ref="M6:M20" si="0">L6-N6</f>
        <v>5124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24</v>
      </c>
      <c r="Q6" s="43">
        <f t="shared" ref="Q6:Q20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0.99883040935672518</v>
      </c>
      <c r="AC6" s="9">
        <f t="shared" ref="AC6:AC20" si="5">IF(P6=0,"0",(P6/24))</f>
        <v>1</v>
      </c>
      <c r="AD6" s="10">
        <f t="shared" ref="AD6:AD20" si="6">AC6*AB6*(1-O6)</f>
        <v>0.99883040935672518</v>
      </c>
      <c r="AE6" s="39">
        <f>$AD$21</f>
        <v>0.39396706026129263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2670</v>
      </c>
      <c r="K7" s="15">
        <f>L7</f>
        <v>0</v>
      </c>
      <c r="L7" s="15">
        <v>0</v>
      </c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>
        <v>24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>$AD$21</f>
        <v>0.39396706026129263</v>
      </c>
      <c r="AF7" s="94">
        <f t="shared" si="7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4780</v>
      </c>
      <c r="K8" s="15">
        <f>L8+4409+3630+4007+4889</f>
        <v>21712</v>
      </c>
      <c r="L8" s="15">
        <f>2501+2276</f>
        <v>4777</v>
      </c>
      <c r="M8" s="16">
        <f t="shared" si="0"/>
        <v>4777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0.99937238493723846</v>
      </c>
      <c r="AC8" s="9">
        <f t="shared" si="5"/>
        <v>1</v>
      </c>
      <c r="AD8" s="10">
        <f t="shared" si="6"/>
        <v>0.99937238493723846</v>
      </c>
      <c r="AE8" s="39">
        <f>$AD$21</f>
        <v>0.39396706026129263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368</v>
      </c>
      <c r="E9" s="57" t="s">
        <v>369</v>
      </c>
      <c r="F9" s="12" t="s">
        <v>370</v>
      </c>
      <c r="G9" s="12">
        <v>16</v>
      </c>
      <c r="H9" s="13">
        <v>25</v>
      </c>
      <c r="I9" s="34">
        <v>72000</v>
      </c>
      <c r="J9" s="5">
        <v>87360</v>
      </c>
      <c r="K9" s="15">
        <f>L9</f>
        <v>87360</v>
      </c>
      <c r="L9" s="15">
        <f>3189*16+2271*16</f>
        <v>87360</v>
      </c>
      <c r="M9" s="16">
        <f t="shared" si="0"/>
        <v>87360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/>
      <c r="T9" s="17">
        <v>2</v>
      </c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0.91666666666666663</v>
      </c>
      <c r="AD9" s="10">
        <f t="shared" si="6"/>
        <v>0.91666666666666663</v>
      </c>
      <c r="AE9" s="39">
        <f t="shared" ref="AE9" si="8">$AD$21</f>
        <v>0.39396706026129263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167</v>
      </c>
      <c r="D10" s="55" t="s">
        <v>175</v>
      </c>
      <c r="E10" s="57" t="s">
        <v>254</v>
      </c>
      <c r="F10" s="12" t="s">
        <v>185</v>
      </c>
      <c r="G10" s="12">
        <v>1</v>
      </c>
      <c r="H10" s="13">
        <v>25</v>
      </c>
      <c r="I10" s="34">
        <v>5000</v>
      </c>
      <c r="J10" s="5">
        <v>4860</v>
      </c>
      <c r="K10" s="15">
        <f>L10+3795+4860</f>
        <v>8655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>$AD$21</f>
        <v>0.39396706026129263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167</v>
      </c>
      <c r="D11" s="55" t="s">
        <v>186</v>
      </c>
      <c r="E11" s="57" t="s">
        <v>187</v>
      </c>
      <c r="F11" s="12" t="s">
        <v>188</v>
      </c>
      <c r="G11" s="12">
        <v>1</v>
      </c>
      <c r="H11" s="13">
        <v>25</v>
      </c>
      <c r="I11" s="34">
        <v>5000</v>
      </c>
      <c r="J11" s="14">
        <v>1930</v>
      </c>
      <c r="K11" s="15">
        <f>L11+5167+1928</f>
        <v>7095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$AD$21</f>
        <v>0.39396706026129263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371</v>
      </c>
      <c r="E12" s="57" t="s">
        <v>372</v>
      </c>
      <c r="F12" s="12" t="s">
        <v>373</v>
      </c>
      <c r="G12" s="12">
        <v>1</v>
      </c>
      <c r="H12" s="13">
        <v>25</v>
      </c>
      <c r="I12" s="34">
        <v>500</v>
      </c>
      <c r="J12" s="5">
        <v>1130</v>
      </c>
      <c r="K12" s="15">
        <f>L12</f>
        <v>1122</v>
      </c>
      <c r="L12" s="15">
        <v>1122</v>
      </c>
      <c r="M12" s="16">
        <f t="shared" si="0"/>
        <v>1122</v>
      </c>
      <c r="N12" s="16">
        <v>0</v>
      </c>
      <c r="O12" s="62">
        <f t="shared" si="1"/>
        <v>0</v>
      </c>
      <c r="P12" s="42">
        <f t="shared" si="2"/>
        <v>9</v>
      </c>
      <c r="Q12" s="43">
        <f t="shared" si="3"/>
        <v>15</v>
      </c>
      <c r="R12" s="7"/>
      <c r="S12" s="6">
        <v>5</v>
      </c>
      <c r="T12" s="17"/>
      <c r="U12" s="17"/>
      <c r="V12" s="18"/>
      <c r="W12" s="19">
        <v>10</v>
      </c>
      <c r="X12" s="17"/>
      <c r="Y12" s="20"/>
      <c r="Z12" s="20"/>
      <c r="AA12" s="21"/>
      <c r="AB12" s="8">
        <f t="shared" si="4"/>
        <v>0.99292035398230083</v>
      </c>
      <c r="AC12" s="9">
        <f t="shared" si="5"/>
        <v>0.375</v>
      </c>
      <c r="AD12" s="10">
        <f t="shared" si="6"/>
        <v>0.37234513274336278</v>
      </c>
      <c r="AE12" s="39">
        <f t="shared" ref="AE12:AE17" si="9">$AD$21</f>
        <v>0.39396706026129263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158</v>
      </c>
      <c r="G13" s="12">
        <v>1</v>
      </c>
      <c r="H13" s="13">
        <v>25</v>
      </c>
      <c r="I13" s="7">
        <v>42000</v>
      </c>
      <c r="J13" s="14">
        <v>1830</v>
      </c>
      <c r="K13" s="15">
        <f>L13+2452+3389+4558+2185+3734</f>
        <v>18139</v>
      </c>
      <c r="L13" s="15">
        <f>1821</f>
        <v>1821</v>
      </c>
      <c r="M13" s="16">
        <f t="shared" si="0"/>
        <v>1821</v>
      </c>
      <c r="N13" s="16">
        <v>0</v>
      </c>
      <c r="O13" s="62">
        <f t="shared" si="1"/>
        <v>0</v>
      </c>
      <c r="P13" s="42">
        <f t="shared" si="2"/>
        <v>11</v>
      </c>
      <c r="Q13" s="43">
        <f t="shared" si="3"/>
        <v>13</v>
      </c>
      <c r="R13" s="7"/>
      <c r="S13" s="6">
        <v>13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0.9950819672131147</v>
      </c>
      <c r="AC13" s="9">
        <f t="shared" si="5"/>
        <v>0.45833333333333331</v>
      </c>
      <c r="AD13" s="10">
        <f t="shared" si="6"/>
        <v>0.45607923497267755</v>
      </c>
      <c r="AE13" s="39">
        <f t="shared" si="9"/>
        <v>0.39396706026129263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334</v>
      </c>
      <c r="E14" s="57" t="s">
        <v>335</v>
      </c>
      <c r="F14" s="33" t="s">
        <v>336</v>
      </c>
      <c r="G14" s="36">
        <v>1</v>
      </c>
      <c r="H14" s="38">
        <v>55</v>
      </c>
      <c r="I14" s="7">
        <v>200</v>
      </c>
      <c r="J14" s="5">
        <v>4100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9"/>
        <v>0.39396706026129263</v>
      </c>
      <c r="AF14" s="94">
        <f t="shared" si="7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10920</v>
      </c>
      <c r="K15" s="15">
        <f>L15+7200+15894+15894+10920</f>
        <v>49908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9"/>
        <v>0.39396706026129263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301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5150</v>
      </c>
      <c r="K16" s="15">
        <f>L16+5278+5817</f>
        <v>16244</v>
      </c>
      <c r="L16" s="15">
        <f>2352+2797</f>
        <v>5149</v>
      </c>
      <c r="M16" s="16">
        <f t="shared" si="0"/>
        <v>5149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0.99980582524271844</v>
      </c>
      <c r="AC16" s="9">
        <f t="shared" si="5"/>
        <v>1</v>
      </c>
      <c r="AD16" s="10">
        <f t="shared" si="6"/>
        <v>0.99980582524271844</v>
      </c>
      <c r="AE16" s="39">
        <f t="shared" si="9"/>
        <v>0.39396706026129263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255</v>
      </c>
      <c r="D17" s="55" t="s">
        <v>258</v>
      </c>
      <c r="E17" s="56" t="s">
        <v>259</v>
      </c>
      <c r="F17" s="12">
        <v>8301</v>
      </c>
      <c r="G17" s="12">
        <v>1</v>
      </c>
      <c r="H17" s="13">
        <v>25</v>
      </c>
      <c r="I17" s="34">
        <v>500</v>
      </c>
      <c r="J17" s="5">
        <v>700</v>
      </c>
      <c r="K17" s="15">
        <f>L17+700</f>
        <v>700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9"/>
        <v>0.39396706026129263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22000</v>
      </c>
      <c r="J18" s="5">
        <v>960</v>
      </c>
      <c r="K18" s="15">
        <f>L18+2776+4960+2945+3734+5158+5100</f>
        <v>25632</v>
      </c>
      <c r="L18" s="15">
        <v>959</v>
      </c>
      <c r="M18" s="16">
        <f t="shared" si="0"/>
        <v>959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>
        <v>18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0.99895833333333328</v>
      </c>
      <c r="AC18" s="9">
        <f t="shared" si="5"/>
        <v>0.25</v>
      </c>
      <c r="AD18" s="10">
        <f t="shared" si="6"/>
        <v>0.24973958333333332</v>
      </c>
      <c r="AE18" s="39">
        <f t="shared" ref="AE18:AE20" si="10">$AD$21</f>
        <v>0.39396706026129263</v>
      </c>
      <c r="AF18" s="94">
        <f t="shared" si="7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4940</v>
      </c>
      <c r="K19" s="15">
        <f>L19+3360+3759</f>
        <v>12059</v>
      </c>
      <c r="L19" s="15">
        <f>2738+2202</f>
        <v>4940</v>
      </c>
      <c r="M19" s="16">
        <f t="shared" si="0"/>
        <v>4940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9">
        <f t="shared" si="10"/>
        <v>0.39396706026129263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10"/>
        <v>0.39396706026129263</v>
      </c>
      <c r="AF20" s="94">
        <f t="shared" si="7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1">SUM(I6:I20)</f>
        <v>574200</v>
      </c>
      <c r="J21" s="22">
        <f t="shared" si="11"/>
        <v>172230</v>
      </c>
      <c r="K21" s="23">
        <f t="shared" si="11"/>
        <v>706512</v>
      </c>
      <c r="L21" s="24">
        <f t="shared" si="11"/>
        <v>111252</v>
      </c>
      <c r="M21" s="23">
        <f t="shared" si="11"/>
        <v>111252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142</v>
      </c>
      <c r="Q21" s="46">
        <f t="shared" si="12"/>
        <v>218</v>
      </c>
      <c r="R21" s="26">
        <f t="shared" si="12"/>
        <v>0</v>
      </c>
      <c r="S21" s="27">
        <f t="shared" si="12"/>
        <v>110</v>
      </c>
      <c r="T21" s="27">
        <f t="shared" si="12"/>
        <v>2</v>
      </c>
      <c r="U21" s="27">
        <f t="shared" si="12"/>
        <v>0</v>
      </c>
      <c r="V21" s="28">
        <f t="shared" si="12"/>
        <v>0</v>
      </c>
      <c r="W21" s="29">
        <f t="shared" si="12"/>
        <v>106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0.53233128493769533</v>
      </c>
      <c r="AC21" s="4">
        <f>SUM(AC6:AC20)/15</f>
        <v>0.39444444444444449</v>
      </c>
      <c r="AD21" s="4">
        <f>SUM(AD6:AD20)/15</f>
        <v>0.39396706026129263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374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379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191" t="s">
        <v>47</v>
      </c>
      <c r="D50" s="191" t="s">
        <v>48</v>
      </c>
      <c r="E50" s="191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191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44" t="s">
        <v>167</v>
      </c>
      <c r="B51" s="445"/>
      <c r="C51" s="193" t="s">
        <v>168</v>
      </c>
      <c r="D51" s="193" t="s">
        <v>58</v>
      </c>
      <c r="E51" s="192" t="s">
        <v>141</v>
      </c>
      <c r="F51" s="432" t="s">
        <v>375</v>
      </c>
      <c r="G51" s="432"/>
      <c r="H51" s="432"/>
      <c r="I51" s="432"/>
      <c r="J51" s="432"/>
      <c r="K51" s="432"/>
      <c r="L51" s="432"/>
      <c r="M51" s="446"/>
      <c r="N51" s="194" t="s">
        <v>325</v>
      </c>
      <c r="O51" s="74" t="s">
        <v>326</v>
      </c>
      <c r="P51" s="451" t="s">
        <v>327</v>
      </c>
      <c r="Q51" s="452"/>
      <c r="R51" s="445" t="s">
        <v>328</v>
      </c>
      <c r="S51" s="445"/>
      <c r="T51" s="445"/>
      <c r="U51" s="445"/>
      <c r="V51" s="432" t="s">
        <v>338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53" t="s">
        <v>122</v>
      </c>
      <c r="B52" s="454"/>
      <c r="C52" s="192" t="s">
        <v>131</v>
      </c>
      <c r="D52" s="193" t="s">
        <v>144</v>
      </c>
      <c r="E52" s="193" t="s">
        <v>269</v>
      </c>
      <c r="F52" s="432" t="s">
        <v>376</v>
      </c>
      <c r="G52" s="432"/>
      <c r="H52" s="432"/>
      <c r="I52" s="432"/>
      <c r="J52" s="432"/>
      <c r="K52" s="432"/>
      <c r="L52" s="432"/>
      <c r="M52" s="446"/>
      <c r="N52" s="194" t="s">
        <v>122</v>
      </c>
      <c r="O52" s="74" t="s">
        <v>380</v>
      </c>
      <c r="P52" s="451" t="s">
        <v>381</v>
      </c>
      <c r="Q52" s="452"/>
      <c r="R52" s="445" t="s">
        <v>384</v>
      </c>
      <c r="S52" s="445"/>
      <c r="T52" s="445"/>
      <c r="U52" s="445"/>
      <c r="V52" s="432" t="s">
        <v>385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122</v>
      </c>
      <c r="B53" s="445"/>
      <c r="C53" s="193" t="s">
        <v>340</v>
      </c>
      <c r="D53" s="193" t="s">
        <v>334</v>
      </c>
      <c r="E53" s="192" t="s">
        <v>335</v>
      </c>
      <c r="F53" s="432" t="s">
        <v>341</v>
      </c>
      <c r="G53" s="432"/>
      <c r="H53" s="432"/>
      <c r="I53" s="432"/>
      <c r="J53" s="432"/>
      <c r="K53" s="432"/>
      <c r="L53" s="432"/>
      <c r="M53" s="446"/>
      <c r="N53" s="194" t="s">
        <v>122</v>
      </c>
      <c r="O53" s="74" t="s">
        <v>386</v>
      </c>
      <c r="P53" s="451" t="s">
        <v>387</v>
      </c>
      <c r="Q53" s="452"/>
      <c r="R53" s="445" t="s">
        <v>388</v>
      </c>
      <c r="S53" s="445"/>
      <c r="T53" s="445"/>
      <c r="U53" s="445"/>
      <c r="V53" s="432" t="s">
        <v>377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122</v>
      </c>
      <c r="B54" s="454"/>
      <c r="C54" s="192" t="s">
        <v>199</v>
      </c>
      <c r="D54" s="193" t="s">
        <v>371</v>
      </c>
      <c r="E54" s="192" t="s">
        <v>372</v>
      </c>
      <c r="F54" s="432" t="s">
        <v>377</v>
      </c>
      <c r="G54" s="432"/>
      <c r="H54" s="432"/>
      <c r="I54" s="432"/>
      <c r="J54" s="432"/>
      <c r="K54" s="432"/>
      <c r="L54" s="432"/>
      <c r="M54" s="446"/>
      <c r="N54" s="194" t="s">
        <v>122</v>
      </c>
      <c r="O54" s="74" t="s">
        <v>389</v>
      </c>
      <c r="P54" s="451" t="s">
        <v>144</v>
      </c>
      <c r="Q54" s="452"/>
      <c r="R54" s="445" t="s">
        <v>390</v>
      </c>
      <c r="S54" s="445"/>
      <c r="T54" s="445"/>
      <c r="U54" s="445"/>
      <c r="V54" s="432" t="s">
        <v>147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167</v>
      </c>
      <c r="B55" s="454"/>
      <c r="C55" s="192" t="s">
        <v>237</v>
      </c>
      <c r="D55" s="193" t="s">
        <v>378</v>
      </c>
      <c r="E55" s="193" t="s">
        <v>369</v>
      </c>
      <c r="F55" s="432" t="s">
        <v>166</v>
      </c>
      <c r="G55" s="432"/>
      <c r="H55" s="432"/>
      <c r="I55" s="432"/>
      <c r="J55" s="432"/>
      <c r="K55" s="432"/>
      <c r="L55" s="432"/>
      <c r="M55" s="446"/>
      <c r="N55" s="194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 t="s">
        <v>122</v>
      </c>
      <c r="B56" s="445"/>
      <c r="C56" s="193" t="s">
        <v>380</v>
      </c>
      <c r="D56" s="193" t="s">
        <v>381</v>
      </c>
      <c r="E56" s="192" t="s">
        <v>382</v>
      </c>
      <c r="F56" s="432" t="s">
        <v>383</v>
      </c>
      <c r="G56" s="432"/>
      <c r="H56" s="432"/>
      <c r="I56" s="432"/>
      <c r="J56" s="432"/>
      <c r="K56" s="432"/>
      <c r="L56" s="432"/>
      <c r="M56" s="446"/>
      <c r="N56" s="194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122</v>
      </c>
      <c r="B57" s="445"/>
      <c r="C57" s="193" t="s">
        <v>389</v>
      </c>
      <c r="D57" s="193" t="s">
        <v>371</v>
      </c>
      <c r="E57" s="192" t="s">
        <v>390</v>
      </c>
      <c r="F57" s="432" t="s">
        <v>391</v>
      </c>
      <c r="G57" s="432"/>
      <c r="H57" s="432"/>
      <c r="I57" s="432"/>
      <c r="J57" s="432"/>
      <c r="K57" s="432"/>
      <c r="L57" s="432"/>
      <c r="M57" s="446"/>
      <c r="N57" s="194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192"/>
      <c r="D58" s="193"/>
      <c r="E58" s="192"/>
      <c r="F58" s="432"/>
      <c r="G58" s="432"/>
      <c r="H58" s="432"/>
      <c r="I58" s="432"/>
      <c r="J58" s="432"/>
      <c r="K58" s="432"/>
      <c r="L58" s="432"/>
      <c r="M58" s="446"/>
      <c r="N58" s="194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193"/>
      <c r="D59" s="193"/>
      <c r="E59" s="193"/>
      <c r="F59" s="432"/>
      <c r="G59" s="432"/>
      <c r="H59" s="432"/>
      <c r="I59" s="432"/>
      <c r="J59" s="432"/>
      <c r="K59" s="432"/>
      <c r="L59" s="432"/>
      <c r="M59" s="446"/>
      <c r="N59" s="194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196"/>
      <c r="D60" s="196"/>
      <c r="E60" s="196"/>
      <c r="F60" s="449"/>
      <c r="G60" s="449"/>
      <c r="H60" s="449"/>
      <c r="I60" s="449"/>
      <c r="J60" s="449"/>
      <c r="K60" s="449"/>
      <c r="L60" s="449"/>
      <c r="M60" s="450"/>
      <c r="N60" s="195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392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197" t="s">
        <v>2</v>
      </c>
      <c r="D62" s="197" t="s">
        <v>38</v>
      </c>
      <c r="E62" s="197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197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199" t="s">
        <v>393</v>
      </c>
      <c r="D63" s="201"/>
      <c r="E63" s="198"/>
      <c r="F63" s="421" t="s">
        <v>394</v>
      </c>
      <c r="G63" s="421"/>
      <c r="H63" s="421"/>
      <c r="I63" s="421"/>
      <c r="J63" s="421"/>
      <c r="K63" s="441" t="s">
        <v>373</v>
      </c>
      <c r="L63" s="441"/>
      <c r="M63" s="54" t="s">
        <v>395</v>
      </c>
      <c r="N63" s="421">
        <v>13</v>
      </c>
      <c r="O63" s="421"/>
      <c r="P63" s="431">
        <v>200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199" t="s">
        <v>122</v>
      </c>
      <c r="D64" s="201"/>
      <c r="E64" s="198" t="s">
        <v>396</v>
      </c>
      <c r="F64" s="421" t="s">
        <v>397</v>
      </c>
      <c r="G64" s="421"/>
      <c r="H64" s="421"/>
      <c r="I64" s="421"/>
      <c r="J64" s="421"/>
      <c r="K64" s="433" t="s">
        <v>127</v>
      </c>
      <c r="L64" s="434"/>
      <c r="M64" s="54" t="s">
        <v>395</v>
      </c>
      <c r="N64" s="421">
        <v>5</v>
      </c>
      <c r="O64" s="421"/>
      <c r="P64" s="431">
        <v>50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199" t="s">
        <v>325</v>
      </c>
      <c r="D65" s="201"/>
      <c r="E65" s="198" t="s">
        <v>396</v>
      </c>
      <c r="F65" s="421" t="s">
        <v>398</v>
      </c>
      <c r="G65" s="421"/>
      <c r="H65" s="421"/>
      <c r="I65" s="421"/>
      <c r="J65" s="421"/>
      <c r="K65" s="433" t="s">
        <v>127</v>
      </c>
      <c r="L65" s="434"/>
      <c r="M65" s="54" t="s">
        <v>395</v>
      </c>
      <c r="N65" s="421">
        <v>5</v>
      </c>
      <c r="O65" s="421"/>
      <c r="P65" s="431">
        <v>50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199" t="s">
        <v>122</v>
      </c>
      <c r="D66" s="201"/>
      <c r="E66" s="198" t="s">
        <v>58</v>
      </c>
      <c r="F66" s="421" t="s">
        <v>399</v>
      </c>
      <c r="G66" s="421"/>
      <c r="H66" s="421"/>
      <c r="I66" s="421"/>
      <c r="J66" s="421"/>
      <c r="K66" s="421" t="s">
        <v>373</v>
      </c>
      <c r="L66" s="421"/>
      <c r="M66" s="54" t="s">
        <v>395</v>
      </c>
      <c r="N66" s="421">
        <v>13</v>
      </c>
      <c r="O66" s="421"/>
      <c r="P66" s="431">
        <v>50</v>
      </c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199" t="s">
        <v>400</v>
      </c>
      <c r="D67" s="201"/>
      <c r="E67" s="198" t="s">
        <v>58</v>
      </c>
      <c r="F67" s="421" t="s">
        <v>401</v>
      </c>
      <c r="G67" s="421"/>
      <c r="H67" s="421"/>
      <c r="I67" s="421"/>
      <c r="J67" s="421"/>
      <c r="K67" s="421" t="s">
        <v>373</v>
      </c>
      <c r="L67" s="421"/>
      <c r="M67" s="54" t="s">
        <v>395</v>
      </c>
      <c r="N67" s="421">
        <v>13</v>
      </c>
      <c r="O67" s="421"/>
      <c r="P67" s="431">
        <v>50</v>
      </c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6</v>
      </c>
      <c r="B68" s="430"/>
      <c r="C68" s="199"/>
      <c r="D68" s="201"/>
      <c r="E68" s="198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7</v>
      </c>
      <c r="B69" s="430"/>
      <c r="C69" s="199"/>
      <c r="D69" s="201"/>
      <c r="E69" s="198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8</v>
      </c>
      <c r="B70" s="430"/>
      <c r="C70" s="199"/>
      <c r="D70" s="201"/>
      <c r="E70" s="198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402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200" t="s">
        <v>2</v>
      </c>
      <c r="D72" s="200" t="s">
        <v>38</v>
      </c>
      <c r="E72" s="200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202" t="s">
        <v>62</v>
      </c>
      <c r="D73" s="202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201" t="s">
        <v>129</v>
      </c>
      <c r="D74" s="201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3">A74+1</f>
        <v>3</v>
      </c>
      <c r="B75" s="393"/>
      <c r="C75" s="201" t="s">
        <v>62</v>
      </c>
      <c r="D75" s="201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3"/>
        <v>4</v>
      </c>
      <c r="B76" s="393"/>
      <c r="C76" s="201" t="s">
        <v>62</v>
      </c>
      <c r="D76" s="201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3"/>
        <v>5</v>
      </c>
      <c r="B77" s="393"/>
      <c r="C77" s="201" t="s">
        <v>62</v>
      </c>
      <c r="D77" s="201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3"/>
        <v>6</v>
      </c>
      <c r="B78" s="393"/>
      <c r="C78" s="201" t="s">
        <v>129</v>
      </c>
      <c r="D78" s="201"/>
      <c r="E78" s="35" t="s">
        <v>121</v>
      </c>
      <c r="F78" s="393" t="s">
        <v>132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42770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3"/>
        <v>7</v>
      </c>
      <c r="B79" s="393"/>
      <c r="C79" s="201"/>
      <c r="D79" s="201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3"/>
        <v>8</v>
      </c>
      <c r="B80" s="393"/>
      <c r="C80" s="201"/>
      <c r="D80" s="201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3"/>
        <v>9</v>
      </c>
      <c r="B81" s="393"/>
      <c r="C81" s="201"/>
      <c r="D81" s="201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403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/>
      <c r="D84" s="394"/>
      <c r="E84" s="394"/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/>
      <c r="U84" s="394"/>
      <c r="V84" s="395"/>
      <c r="W84" s="395"/>
      <c r="X84" s="395"/>
      <c r="Y84" s="386"/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AE12" sqref="AE12:AE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404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15" t="s">
        <v>17</v>
      </c>
      <c r="L5" s="215" t="s">
        <v>18</v>
      </c>
      <c r="M5" s="215" t="s">
        <v>19</v>
      </c>
      <c r="N5" s="21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5090</v>
      </c>
      <c r="K6" s="15">
        <f>L6+2454+5092+5124</f>
        <v>17752</v>
      </c>
      <c r="L6" s="15">
        <f>2652+2430</f>
        <v>5082</v>
      </c>
      <c r="M6" s="16">
        <f t="shared" ref="M6:M21" si="0">L6-N6</f>
        <v>5082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24</v>
      </c>
      <c r="Q6" s="43">
        <f t="shared" ref="Q6:Q21" si="3">SUM(R6:AA6)</f>
        <v>0</v>
      </c>
      <c r="R6" s="7"/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0.9984282907662082</v>
      </c>
      <c r="AC6" s="9">
        <f t="shared" ref="AC6:AC21" si="5">IF(P6=0,"0",(P6/24))</f>
        <v>1</v>
      </c>
      <c r="AD6" s="10">
        <f t="shared" ref="AD6:AD21" si="6">AC6*AB6*(1-O6)</f>
        <v>0.9984282907662082</v>
      </c>
      <c r="AE6" s="39">
        <f>$AD$22</f>
        <v>0.49660187825256891</v>
      </c>
      <c r="AF6" s="94">
        <f t="shared" ref="AF6:AF21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2280</v>
      </c>
      <c r="K7" s="15">
        <f>L7</f>
        <v>2272</v>
      </c>
      <c r="L7" s="15">
        <f>2218+54</f>
        <v>2272</v>
      </c>
      <c r="M7" s="16">
        <f t="shared" si="0"/>
        <v>2272</v>
      </c>
      <c r="N7" s="16">
        <v>0</v>
      </c>
      <c r="O7" s="62">
        <f t="shared" si="1"/>
        <v>0</v>
      </c>
      <c r="P7" s="42">
        <f t="shared" si="2"/>
        <v>13</v>
      </c>
      <c r="Q7" s="43">
        <f t="shared" si="3"/>
        <v>11</v>
      </c>
      <c r="R7" s="7"/>
      <c r="S7" s="6">
        <v>11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0.99649122807017543</v>
      </c>
      <c r="AC7" s="9">
        <f t="shared" si="5"/>
        <v>0.54166666666666663</v>
      </c>
      <c r="AD7" s="10">
        <f t="shared" si="6"/>
        <v>0.539766081871345</v>
      </c>
      <c r="AE7" s="39">
        <f>$AD$22</f>
        <v>0.49660187825256891</v>
      </c>
      <c r="AF7" s="94">
        <f t="shared" si="7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4550</v>
      </c>
      <c r="K8" s="15">
        <f>L8+4409+3630+4007+4889+4777</f>
        <v>26260</v>
      </c>
      <c r="L8" s="15">
        <f>2319+2229</f>
        <v>4548</v>
      </c>
      <c r="M8" s="16">
        <f t="shared" si="0"/>
        <v>4548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0.99956043956043961</v>
      </c>
      <c r="AC8" s="9">
        <f t="shared" si="5"/>
        <v>1</v>
      </c>
      <c r="AD8" s="10">
        <f t="shared" si="6"/>
        <v>0.99956043956043961</v>
      </c>
      <c r="AE8" s="39">
        <f>$AD$22</f>
        <v>0.49660187825256891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368</v>
      </c>
      <c r="E9" s="57" t="s">
        <v>369</v>
      </c>
      <c r="F9" s="12" t="s">
        <v>370</v>
      </c>
      <c r="G9" s="12">
        <v>16</v>
      </c>
      <c r="H9" s="13">
        <v>25</v>
      </c>
      <c r="I9" s="34">
        <v>72000</v>
      </c>
      <c r="J9" s="5">
        <v>87360</v>
      </c>
      <c r="K9" s="15">
        <f>L9+87360</f>
        <v>87360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ref="AE9" si="8">$AD$22</f>
        <v>0.49660187825256891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405</v>
      </c>
      <c r="D10" s="55" t="s">
        <v>406</v>
      </c>
      <c r="E10" s="57" t="s">
        <v>407</v>
      </c>
      <c r="F10" s="12" t="s">
        <v>408</v>
      </c>
      <c r="G10" s="12">
        <v>1</v>
      </c>
      <c r="H10" s="13">
        <v>25</v>
      </c>
      <c r="I10" s="34">
        <v>300</v>
      </c>
      <c r="J10" s="5">
        <v>390</v>
      </c>
      <c r="K10" s="15">
        <f>L10</f>
        <v>388</v>
      </c>
      <c r="L10" s="15">
        <v>388</v>
      </c>
      <c r="M10" s="16">
        <f t="shared" si="0"/>
        <v>388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0.99487179487179489</v>
      </c>
      <c r="AC10" s="9">
        <f t="shared" si="5"/>
        <v>0.16666666666666666</v>
      </c>
      <c r="AD10" s="10">
        <f t="shared" si="6"/>
        <v>0.16581196581196581</v>
      </c>
      <c r="AE10" s="39">
        <f>$AD$22</f>
        <v>0.49660187825256891</v>
      </c>
      <c r="AF10" s="94">
        <f t="shared" si="7"/>
        <v>5</v>
      </c>
    </row>
    <row r="11" spans="1:32" ht="27" customHeight="1">
      <c r="A11" s="110">
        <v>5</v>
      </c>
      <c r="B11" s="11" t="s">
        <v>59</v>
      </c>
      <c r="C11" s="37" t="s">
        <v>129</v>
      </c>
      <c r="D11" s="55" t="s">
        <v>409</v>
      </c>
      <c r="E11" s="57" t="s">
        <v>410</v>
      </c>
      <c r="F11" s="12" t="s">
        <v>411</v>
      </c>
      <c r="G11" s="12">
        <v>2</v>
      </c>
      <c r="H11" s="13">
        <v>25</v>
      </c>
      <c r="I11" s="34">
        <v>32000</v>
      </c>
      <c r="J11" s="5">
        <v>6820</v>
      </c>
      <c r="K11" s="15">
        <f>L11</f>
        <v>6814</v>
      </c>
      <c r="L11" s="15">
        <f>2700*2+707*2</f>
        <v>6814</v>
      </c>
      <c r="M11" s="16">
        <f t="shared" ref="M11" si="9">L11-N11</f>
        <v>6814</v>
      </c>
      <c r="N11" s="16">
        <v>0</v>
      </c>
      <c r="O11" s="62">
        <f t="shared" ref="O11" si="10">IF(L11=0,"0",N11/L11)</f>
        <v>0</v>
      </c>
      <c r="P11" s="42">
        <f t="shared" ref="P11" si="11">IF(L11=0,"0",(24-Q11))</f>
        <v>19</v>
      </c>
      <c r="Q11" s="43">
        <f t="shared" ref="Q11" si="12">SUM(R11:AA11)</f>
        <v>5</v>
      </c>
      <c r="R11" s="7"/>
      <c r="S11" s="6"/>
      <c r="T11" s="17">
        <v>5</v>
      </c>
      <c r="U11" s="17"/>
      <c r="V11" s="18"/>
      <c r="W11" s="19"/>
      <c r="X11" s="17"/>
      <c r="Y11" s="20"/>
      <c r="Z11" s="20"/>
      <c r="AA11" s="21"/>
      <c r="AB11" s="8">
        <f t="shared" ref="AB11" si="13">IF(J11=0,"0",(L11/J11))</f>
        <v>0.99912023460410559</v>
      </c>
      <c r="AC11" s="9">
        <f t="shared" ref="AC11" si="14">IF(P11=0,"0",(P11/24))</f>
        <v>0.79166666666666663</v>
      </c>
      <c r="AD11" s="10">
        <f t="shared" ref="AD11" si="15">AC11*AB11*(1-O11)</f>
        <v>0.79097018572825017</v>
      </c>
      <c r="AE11" s="39">
        <f>$AD$22</f>
        <v>0.49660187825256891</v>
      </c>
      <c r="AF11" s="94">
        <f t="shared" ref="AF11" si="16">A11</f>
        <v>5</v>
      </c>
    </row>
    <row r="12" spans="1:32" ht="27" customHeight="1">
      <c r="A12" s="110">
        <v>6</v>
      </c>
      <c r="B12" s="11" t="s">
        <v>59</v>
      </c>
      <c r="C12" s="11" t="s">
        <v>167</v>
      </c>
      <c r="D12" s="55" t="s">
        <v>412</v>
      </c>
      <c r="E12" s="57" t="s">
        <v>413</v>
      </c>
      <c r="F12" s="12" t="s">
        <v>414</v>
      </c>
      <c r="G12" s="12">
        <v>1</v>
      </c>
      <c r="H12" s="13">
        <v>25</v>
      </c>
      <c r="I12" s="34">
        <v>200</v>
      </c>
      <c r="J12" s="14">
        <v>361</v>
      </c>
      <c r="K12" s="15">
        <f>L12</f>
        <v>361</v>
      </c>
      <c r="L12" s="15">
        <f>361</f>
        <v>361</v>
      </c>
      <c r="M12" s="16">
        <f t="shared" si="0"/>
        <v>361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/>
      <c r="T12" s="17"/>
      <c r="U12" s="17"/>
      <c r="V12" s="18"/>
      <c r="W12" s="19">
        <v>20</v>
      </c>
      <c r="X12" s="17"/>
      <c r="Y12" s="20"/>
      <c r="Z12" s="20"/>
      <c r="AA12" s="21"/>
      <c r="AB12" s="8">
        <f t="shared" si="4"/>
        <v>1</v>
      </c>
      <c r="AC12" s="9">
        <f t="shared" si="5"/>
        <v>0.16666666666666666</v>
      </c>
      <c r="AD12" s="10">
        <f t="shared" si="6"/>
        <v>0.16666666666666666</v>
      </c>
      <c r="AE12" s="39">
        <f>$AD$22</f>
        <v>0.49660187825256891</v>
      </c>
      <c r="AF12" s="94">
        <f t="shared" si="7"/>
        <v>6</v>
      </c>
    </row>
    <row r="13" spans="1:32" ht="27" customHeight="1">
      <c r="A13" s="110">
        <v>7</v>
      </c>
      <c r="B13" s="11" t="s">
        <v>59</v>
      </c>
      <c r="C13" s="37" t="s">
        <v>122</v>
      </c>
      <c r="D13" s="55" t="s">
        <v>371</v>
      </c>
      <c r="E13" s="57" t="s">
        <v>372</v>
      </c>
      <c r="F13" s="12" t="s">
        <v>373</v>
      </c>
      <c r="G13" s="12">
        <v>1</v>
      </c>
      <c r="H13" s="13">
        <v>25</v>
      </c>
      <c r="I13" s="34">
        <v>500</v>
      </c>
      <c r="J13" s="5">
        <v>1130</v>
      </c>
      <c r="K13" s="15">
        <f>L13+1122</f>
        <v>1122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ref="AE13:AE17" si="17">$AD$22</f>
        <v>0.49660187825256891</v>
      </c>
      <c r="AF13" s="94">
        <f t="shared" si="7"/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144</v>
      </c>
      <c r="E14" s="57" t="s">
        <v>157</v>
      </c>
      <c r="F14" s="12" t="s">
        <v>158</v>
      </c>
      <c r="G14" s="12">
        <v>1</v>
      </c>
      <c r="H14" s="13">
        <v>25</v>
      </c>
      <c r="I14" s="7">
        <v>42000</v>
      </c>
      <c r="J14" s="14">
        <v>2940</v>
      </c>
      <c r="K14" s="15">
        <f>L14+2452+3389+4558+2185+3734+1821</f>
        <v>21079</v>
      </c>
      <c r="L14" s="15">
        <f>694+2246</f>
        <v>2940</v>
      </c>
      <c r="M14" s="16">
        <f t="shared" si="0"/>
        <v>2940</v>
      </c>
      <c r="N14" s="16">
        <v>0</v>
      </c>
      <c r="O14" s="62">
        <f t="shared" si="1"/>
        <v>0</v>
      </c>
      <c r="P14" s="42">
        <f t="shared" si="2"/>
        <v>16</v>
      </c>
      <c r="Q14" s="43">
        <f t="shared" si="3"/>
        <v>8</v>
      </c>
      <c r="R14" s="7"/>
      <c r="S14" s="6">
        <v>8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0.66666666666666663</v>
      </c>
      <c r="AD14" s="10">
        <f t="shared" si="6"/>
        <v>0.66666666666666663</v>
      </c>
      <c r="AE14" s="39">
        <f t="shared" si="17"/>
        <v>0.49660187825256891</v>
      </c>
      <c r="AF14" s="94">
        <f t="shared" si="7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334</v>
      </c>
      <c r="E15" s="57" t="s">
        <v>335</v>
      </c>
      <c r="F15" s="33" t="s">
        <v>336</v>
      </c>
      <c r="G15" s="36">
        <v>1</v>
      </c>
      <c r="H15" s="38">
        <v>55</v>
      </c>
      <c r="I15" s="7">
        <v>200</v>
      </c>
      <c r="J15" s="5">
        <v>4100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17"/>
        <v>0.49660187825256891</v>
      </c>
      <c r="AF15" s="94">
        <f t="shared" si="7"/>
        <v>9</v>
      </c>
    </row>
    <row r="16" spans="1:32" ht="27" customHeight="1">
      <c r="A16" s="109">
        <v>10</v>
      </c>
      <c r="B16" s="11" t="s">
        <v>59</v>
      </c>
      <c r="C16" s="37" t="s">
        <v>159</v>
      </c>
      <c r="D16" s="55" t="s">
        <v>160</v>
      </c>
      <c r="E16" s="57" t="s">
        <v>171</v>
      </c>
      <c r="F16" s="12" t="s">
        <v>161</v>
      </c>
      <c r="G16" s="12">
        <v>2</v>
      </c>
      <c r="H16" s="13">
        <v>20</v>
      </c>
      <c r="I16" s="34">
        <v>20000</v>
      </c>
      <c r="J16" s="5">
        <v>10920</v>
      </c>
      <c r="K16" s="15">
        <f>L16+7200+15894+15894+10920</f>
        <v>49908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17"/>
        <v>0.49660187825256891</v>
      </c>
      <c r="AF16" s="94">
        <f t="shared" si="7"/>
        <v>10</v>
      </c>
    </row>
    <row r="17" spans="1:32" ht="27" customHeight="1">
      <c r="A17" s="109">
        <v>11</v>
      </c>
      <c r="B17" s="11" t="s">
        <v>59</v>
      </c>
      <c r="C17" s="11" t="s">
        <v>301</v>
      </c>
      <c r="D17" s="55" t="s">
        <v>133</v>
      </c>
      <c r="E17" s="56" t="s">
        <v>303</v>
      </c>
      <c r="F17" s="12">
        <v>7301</v>
      </c>
      <c r="G17" s="36">
        <v>1</v>
      </c>
      <c r="H17" s="38">
        <v>25</v>
      </c>
      <c r="I17" s="7">
        <v>60000</v>
      </c>
      <c r="J17" s="14">
        <v>4230</v>
      </c>
      <c r="K17" s="15">
        <f>L17+5278+5817+5149</f>
        <v>20474</v>
      </c>
      <c r="L17" s="15">
        <f>3034+1196</f>
        <v>4230</v>
      </c>
      <c r="M17" s="16">
        <f t="shared" si="0"/>
        <v>4230</v>
      </c>
      <c r="N17" s="16">
        <v>0</v>
      </c>
      <c r="O17" s="62">
        <f t="shared" si="1"/>
        <v>0</v>
      </c>
      <c r="P17" s="42">
        <f t="shared" si="2"/>
        <v>20</v>
      </c>
      <c r="Q17" s="43">
        <f t="shared" si="3"/>
        <v>4</v>
      </c>
      <c r="R17" s="7"/>
      <c r="S17" s="6">
        <v>4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0.83333333333333337</v>
      </c>
      <c r="AD17" s="10">
        <f t="shared" si="6"/>
        <v>0.83333333333333337</v>
      </c>
      <c r="AE17" s="39">
        <f t="shared" si="17"/>
        <v>0.49660187825256891</v>
      </c>
      <c r="AF17" s="94">
        <f t="shared" si="7"/>
        <v>11</v>
      </c>
    </row>
    <row r="18" spans="1:32" ht="27" customHeight="1">
      <c r="A18" s="109">
        <v>12</v>
      </c>
      <c r="B18" s="11" t="s">
        <v>59</v>
      </c>
      <c r="C18" s="37" t="s">
        <v>405</v>
      </c>
      <c r="D18" s="55" t="s">
        <v>415</v>
      </c>
      <c r="E18" s="56" t="s">
        <v>416</v>
      </c>
      <c r="F18" s="12">
        <v>8301</v>
      </c>
      <c r="G18" s="12">
        <v>1</v>
      </c>
      <c r="H18" s="13">
        <v>25</v>
      </c>
      <c r="I18" s="34">
        <v>1000</v>
      </c>
      <c r="J18" s="5">
        <v>2250</v>
      </c>
      <c r="K18" s="15">
        <f>L18</f>
        <v>2243</v>
      </c>
      <c r="L18" s="15">
        <v>2243</v>
      </c>
      <c r="M18" s="16">
        <f t="shared" si="0"/>
        <v>2243</v>
      </c>
      <c r="N18" s="16">
        <v>0</v>
      </c>
      <c r="O18" s="62">
        <f t="shared" si="1"/>
        <v>0</v>
      </c>
      <c r="P18" s="42">
        <f t="shared" si="2"/>
        <v>10</v>
      </c>
      <c r="Q18" s="43">
        <f t="shared" si="3"/>
        <v>14</v>
      </c>
      <c r="R18" s="7"/>
      <c r="S18" s="6"/>
      <c r="T18" s="17"/>
      <c r="U18" s="17"/>
      <c r="V18" s="18"/>
      <c r="W18" s="19">
        <v>14</v>
      </c>
      <c r="X18" s="17"/>
      <c r="Y18" s="20"/>
      <c r="Z18" s="20"/>
      <c r="AA18" s="21"/>
      <c r="AB18" s="8">
        <f t="shared" si="4"/>
        <v>0.99688888888888894</v>
      </c>
      <c r="AC18" s="9">
        <f t="shared" si="5"/>
        <v>0.41666666666666669</v>
      </c>
      <c r="AD18" s="10">
        <f t="shared" si="6"/>
        <v>0.41537037037037039</v>
      </c>
      <c r="AE18" s="39">
        <f t="shared" ref="AE18:AE21" si="18">$AD$22</f>
        <v>0.49660187825256891</v>
      </c>
      <c r="AF18" s="94">
        <f t="shared" si="7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162</v>
      </c>
      <c r="E19" s="56" t="s">
        <v>163</v>
      </c>
      <c r="F19" s="33" t="s">
        <v>127</v>
      </c>
      <c r="G19" s="36">
        <v>1</v>
      </c>
      <c r="H19" s="38">
        <v>25</v>
      </c>
      <c r="I19" s="7">
        <v>22000</v>
      </c>
      <c r="J19" s="5">
        <v>4820</v>
      </c>
      <c r="K19" s="15">
        <f>L19+2776+4960+2945+3734+5158+5100+959</f>
        <v>30444</v>
      </c>
      <c r="L19" s="15">
        <f>2747+2065</f>
        <v>4812</v>
      </c>
      <c r="M19" s="16">
        <f t="shared" si="0"/>
        <v>4812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0.99834024896265561</v>
      </c>
      <c r="AC19" s="9">
        <f t="shared" si="5"/>
        <v>1</v>
      </c>
      <c r="AD19" s="10">
        <f t="shared" si="6"/>
        <v>0.99834024896265561</v>
      </c>
      <c r="AE19" s="39">
        <f t="shared" si="18"/>
        <v>0.49660187825256891</v>
      </c>
      <c r="AF19" s="94">
        <f t="shared" si="7"/>
        <v>13</v>
      </c>
    </row>
    <row r="20" spans="1:32" ht="27" customHeight="1">
      <c r="A20" s="110">
        <v>14</v>
      </c>
      <c r="B20" s="11" t="s">
        <v>59</v>
      </c>
      <c r="C20" s="37" t="s">
        <v>129</v>
      </c>
      <c r="D20" s="55" t="s">
        <v>58</v>
      </c>
      <c r="E20" s="57" t="s">
        <v>141</v>
      </c>
      <c r="F20" s="33" t="s">
        <v>130</v>
      </c>
      <c r="G20" s="36">
        <v>1</v>
      </c>
      <c r="H20" s="38">
        <v>25</v>
      </c>
      <c r="I20" s="34">
        <v>44000</v>
      </c>
      <c r="J20" s="5">
        <v>3950</v>
      </c>
      <c r="K20" s="15">
        <f>L20+3360+3759+4940</f>
        <v>16005</v>
      </c>
      <c r="L20" s="15">
        <f>2741+1205</f>
        <v>3946</v>
      </c>
      <c r="M20" s="16">
        <f t="shared" si="0"/>
        <v>3946</v>
      </c>
      <c r="N20" s="16">
        <v>0</v>
      </c>
      <c r="O20" s="62">
        <f t="shared" si="1"/>
        <v>0</v>
      </c>
      <c r="P20" s="42">
        <f t="shared" si="2"/>
        <v>21</v>
      </c>
      <c r="Q20" s="43">
        <f t="shared" si="3"/>
        <v>3</v>
      </c>
      <c r="R20" s="7"/>
      <c r="S20" s="6">
        <v>3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0.99898734177215187</v>
      </c>
      <c r="AC20" s="9">
        <f t="shared" si="5"/>
        <v>0.875</v>
      </c>
      <c r="AD20" s="10">
        <f t="shared" si="6"/>
        <v>0.87411392405063293</v>
      </c>
      <c r="AE20" s="39">
        <f t="shared" si="18"/>
        <v>0.49660187825256891</v>
      </c>
      <c r="AF20" s="94">
        <f t="shared" si="7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143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35770</v>
      </c>
      <c r="K21" s="15">
        <f>L21+40636+52572+50384+54156+47100+55408+54312+54884+35764</f>
        <v>445216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18"/>
        <v>0.49660187825256891</v>
      </c>
      <c r="AF21" s="94">
        <f t="shared" si="7"/>
        <v>15</v>
      </c>
    </row>
    <row r="22" spans="1:32" ht="31.5" customHeight="1" thickBot="1">
      <c r="A22" s="457" t="s">
        <v>34</v>
      </c>
      <c r="B22" s="458"/>
      <c r="C22" s="458"/>
      <c r="D22" s="458"/>
      <c r="E22" s="458"/>
      <c r="F22" s="458"/>
      <c r="G22" s="458"/>
      <c r="H22" s="459"/>
      <c r="I22" s="25">
        <f t="shared" ref="I22:N22" si="19">SUM(I6:I21)</f>
        <v>597200</v>
      </c>
      <c r="J22" s="22">
        <f t="shared" si="19"/>
        <v>176961</v>
      </c>
      <c r="K22" s="23">
        <f t="shared" si="19"/>
        <v>727698</v>
      </c>
      <c r="L22" s="24">
        <f t="shared" si="19"/>
        <v>37636</v>
      </c>
      <c r="M22" s="23">
        <f t="shared" si="19"/>
        <v>37636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179</v>
      </c>
      <c r="Q22" s="46">
        <f t="shared" si="20"/>
        <v>205</v>
      </c>
      <c r="R22" s="26">
        <f t="shared" si="20"/>
        <v>0</v>
      </c>
      <c r="S22" s="27">
        <f t="shared" si="20"/>
        <v>74</v>
      </c>
      <c r="T22" s="27">
        <f t="shared" si="20"/>
        <v>5</v>
      </c>
      <c r="U22" s="27">
        <f t="shared" si="20"/>
        <v>0</v>
      </c>
      <c r="V22" s="28">
        <f t="shared" si="20"/>
        <v>0</v>
      </c>
      <c r="W22" s="29">
        <f t="shared" si="20"/>
        <v>126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0.73217923116642802</v>
      </c>
      <c r="AC22" s="4">
        <f>SUM(AC6:AC21)/15</f>
        <v>0.49722222222222218</v>
      </c>
      <c r="AD22" s="4">
        <f>SUM(AD6:AD21)/15</f>
        <v>0.49660187825256891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60" t="s">
        <v>46</v>
      </c>
      <c r="B49" s="460"/>
      <c r="C49" s="460"/>
      <c r="D49" s="460"/>
      <c r="E49" s="460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61" t="s">
        <v>417</v>
      </c>
      <c r="B50" s="462"/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3"/>
      <c r="N50" s="464" t="s">
        <v>432</v>
      </c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67" t="s">
        <v>2</v>
      </c>
      <c r="B51" s="468"/>
      <c r="C51" s="214" t="s">
        <v>47</v>
      </c>
      <c r="D51" s="214" t="s">
        <v>48</v>
      </c>
      <c r="E51" s="214" t="s">
        <v>113</v>
      </c>
      <c r="F51" s="468" t="s">
        <v>112</v>
      </c>
      <c r="G51" s="468"/>
      <c r="H51" s="468"/>
      <c r="I51" s="468"/>
      <c r="J51" s="468"/>
      <c r="K51" s="468"/>
      <c r="L51" s="468"/>
      <c r="M51" s="469"/>
      <c r="N51" s="73" t="s">
        <v>117</v>
      </c>
      <c r="O51" s="214" t="s">
        <v>47</v>
      </c>
      <c r="P51" s="470" t="s">
        <v>48</v>
      </c>
      <c r="Q51" s="471"/>
      <c r="R51" s="470" t="s">
        <v>39</v>
      </c>
      <c r="S51" s="472"/>
      <c r="T51" s="472"/>
      <c r="U51" s="471"/>
      <c r="V51" s="470" t="s">
        <v>49</v>
      </c>
      <c r="W51" s="472"/>
      <c r="X51" s="472"/>
      <c r="Y51" s="472"/>
      <c r="Z51" s="472"/>
      <c r="AA51" s="472"/>
      <c r="AB51" s="472"/>
      <c r="AC51" s="472"/>
      <c r="AD51" s="473"/>
    </row>
    <row r="52" spans="1:32" ht="27" customHeight="1">
      <c r="A52" s="444" t="s">
        <v>167</v>
      </c>
      <c r="B52" s="445"/>
      <c r="C52" s="210" t="s">
        <v>168</v>
      </c>
      <c r="D52" s="210" t="s">
        <v>58</v>
      </c>
      <c r="E52" s="213" t="s">
        <v>141</v>
      </c>
      <c r="F52" s="432" t="s">
        <v>418</v>
      </c>
      <c r="G52" s="432"/>
      <c r="H52" s="432"/>
      <c r="I52" s="432"/>
      <c r="J52" s="432"/>
      <c r="K52" s="432"/>
      <c r="L52" s="432"/>
      <c r="M52" s="446"/>
      <c r="N52" s="209" t="s">
        <v>433</v>
      </c>
      <c r="O52" s="74" t="s">
        <v>434</v>
      </c>
      <c r="P52" s="451" t="s">
        <v>435</v>
      </c>
      <c r="Q52" s="452"/>
      <c r="R52" s="445" t="s">
        <v>436</v>
      </c>
      <c r="S52" s="445"/>
      <c r="T52" s="445"/>
      <c r="U52" s="445"/>
      <c r="V52" s="432" t="s">
        <v>437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122</v>
      </c>
      <c r="B53" s="454"/>
      <c r="C53" s="213" t="s">
        <v>131</v>
      </c>
      <c r="D53" s="210" t="s">
        <v>144</v>
      </c>
      <c r="E53" s="210" t="s">
        <v>269</v>
      </c>
      <c r="F53" s="432" t="s">
        <v>419</v>
      </c>
      <c r="G53" s="432"/>
      <c r="H53" s="432"/>
      <c r="I53" s="432"/>
      <c r="J53" s="432"/>
      <c r="K53" s="432"/>
      <c r="L53" s="432"/>
      <c r="M53" s="446"/>
      <c r="N53" s="209" t="s">
        <v>122</v>
      </c>
      <c r="O53" s="74" t="s">
        <v>131</v>
      </c>
      <c r="P53" s="451" t="s">
        <v>438</v>
      </c>
      <c r="Q53" s="452"/>
      <c r="R53" s="445" t="s">
        <v>439</v>
      </c>
      <c r="S53" s="445"/>
      <c r="T53" s="445"/>
      <c r="U53" s="445"/>
      <c r="V53" s="432" t="s">
        <v>440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122</v>
      </c>
      <c r="B54" s="445"/>
      <c r="C54" s="210" t="s">
        <v>340</v>
      </c>
      <c r="D54" s="210" t="s">
        <v>334</v>
      </c>
      <c r="E54" s="213" t="s">
        <v>335</v>
      </c>
      <c r="F54" s="432" t="s">
        <v>341</v>
      </c>
      <c r="G54" s="432"/>
      <c r="H54" s="432"/>
      <c r="I54" s="432"/>
      <c r="J54" s="432"/>
      <c r="K54" s="432"/>
      <c r="L54" s="432"/>
      <c r="M54" s="446"/>
      <c r="N54" s="209"/>
      <c r="O54" s="74"/>
      <c r="P54" s="451"/>
      <c r="Q54" s="452"/>
      <c r="R54" s="445"/>
      <c r="S54" s="445"/>
      <c r="T54" s="445"/>
      <c r="U54" s="445"/>
      <c r="V54" s="432"/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44" t="s">
        <v>122</v>
      </c>
      <c r="B55" s="445"/>
      <c r="C55" s="210" t="s">
        <v>389</v>
      </c>
      <c r="D55" s="210" t="s">
        <v>371</v>
      </c>
      <c r="E55" s="213" t="s">
        <v>390</v>
      </c>
      <c r="F55" s="432" t="s">
        <v>420</v>
      </c>
      <c r="G55" s="432"/>
      <c r="H55" s="432"/>
      <c r="I55" s="432"/>
      <c r="J55" s="432"/>
      <c r="K55" s="432"/>
      <c r="L55" s="432"/>
      <c r="M55" s="446"/>
      <c r="N55" s="209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129</v>
      </c>
      <c r="B56" s="454"/>
      <c r="C56" s="213" t="s">
        <v>421</v>
      </c>
      <c r="D56" s="210" t="s">
        <v>422</v>
      </c>
      <c r="E56" s="210" t="s">
        <v>410</v>
      </c>
      <c r="F56" s="432" t="s">
        <v>423</v>
      </c>
      <c r="G56" s="432"/>
      <c r="H56" s="432"/>
      <c r="I56" s="432"/>
      <c r="J56" s="432"/>
      <c r="K56" s="432"/>
      <c r="L56" s="432"/>
      <c r="M56" s="446"/>
      <c r="N56" s="209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405</v>
      </c>
      <c r="B57" s="445"/>
      <c r="C57" s="210" t="s">
        <v>421</v>
      </c>
      <c r="D57" s="210" t="s">
        <v>406</v>
      </c>
      <c r="E57" s="213" t="s">
        <v>407</v>
      </c>
      <c r="F57" s="432" t="s">
        <v>424</v>
      </c>
      <c r="G57" s="432"/>
      <c r="H57" s="432"/>
      <c r="I57" s="432"/>
      <c r="J57" s="432"/>
      <c r="K57" s="432"/>
      <c r="L57" s="432"/>
      <c r="M57" s="446"/>
      <c r="N57" s="209"/>
      <c r="O57" s="74"/>
      <c r="P57" s="445"/>
      <c r="Q57" s="445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 t="s">
        <v>129</v>
      </c>
      <c r="B58" s="445"/>
      <c r="C58" s="210" t="s">
        <v>425</v>
      </c>
      <c r="D58" s="210" t="s">
        <v>412</v>
      </c>
      <c r="E58" s="213" t="s">
        <v>413</v>
      </c>
      <c r="F58" s="432" t="s">
        <v>424</v>
      </c>
      <c r="G58" s="432"/>
      <c r="H58" s="432"/>
      <c r="I58" s="432"/>
      <c r="J58" s="432"/>
      <c r="K58" s="432"/>
      <c r="L58" s="432"/>
      <c r="M58" s="446"/>
      <c r="N58" s="209"/>
      <c r="O58" s="74"/>
      <c r="P58" s="451"/>
      <c r="Q58" s="452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53" t="s">
        <v>129</v>
      </c>
      <c r="B59" s="454"/>
      <c r="C59" s="213" t="s">
        <v>426</v>
      </c>
      <c r="D59" s="210" t="s">
        <v>133</v>
      </c>
      <c r="E59" s="213" t="s">
        <v>427</v>
      </c>
      <c r="F59" s="432" t="s">
        <v>428</v>
      </c>
      <c r="G59" s="432"/>
      <c r="H59" s="432"/>
      <c r="I59" s="432"/>
      <c r="J59" s="432"/>
      <c r="K59" s="432"/>
      <c r="L59" s="432"/>
      <c r="M59" s="446"/>
      <c r="N59" s="209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44" t="s">
        <v>405</v>
      </c>
      <c r="B60" s="445"/>
      <c r="C60" s="210" t="s">
        <v>429</v>
      </c>
      <c r="D60" s="210" t="s">
        <v>430</v>
      </c>
      <c r="E60" s="210" t="s">
        <v>431</v>
      </c>
      <c r="F60" s="432" t="s">
        <v>424</v>
      </c>
      <c r="G60" s="432"/>
      <c r="H60" s="432"/>
      <c r="I60" s="432"/>
      <c r="J60" s="432"/>
      <c r="K60" s="432"/>
      <c r="L60" s="432"/>
      <c r="M60" s="446"/>
      <c r="N60" s="209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  <c r="AF60" s="94">
        <f>8*3000</f>
        <v>24000</v>
      </c>
    </row>
    <row r="61" spans="1:32" ht="27" customHeight="1" thickBot="1">
      <c r="A61" s="447"/>
      <c r="B61" s="448"/>
      <c r="C61" s="212"/>
      <c r="D61" s="212"/>
      <c r="E61" s="212"/>
      <c r="F61" s="449"/>
      <c r="G61" s="449"/>
      <c r="H61" s="449"/>
      <c r="I61" s="449"/>
      <c r="J61" s="449"/>
      <c r="K61" s="449"/>
      <c r="L61" s="449"/>
      <c r="M61" s="450"/>
      <c r="N61" s="211"/>
      <c r="O61" s="121"/>
      <c r="P61" s="448"/>
      <c r="Q61" s="448"/>
      <c r="R61" s="448"/>
      <c r="S61" s="448"/>
      <c r="T61" s="448"/>
      <c r="U61" s="448"/>
      <c r="V61" s="449"/>
      <c r="W61" s="449"/>
      <c r="X61" s="449"/>
      <c r="Y61" s="449"/>
      <c r="Z61" s="449"/>
      <c r="AA61" s="449"/>
      <c r="AB61" s="449"/>
      <c r="AC61" s="449"/>
      <c r="AD61" s="450"/>
      <c r="AF61" s="94">
        <f>16*3000</f>
        <v>48000</v>
      </c>
    </row>
    <row r="62" spans="1:32" ht="27.75" thickBot="1">
      <c r="A62" s="442" t="s">
        <v>441</v>
      </c>
      <c r="B62" s="442"/>
      <c r="C62" s="442"/>
      <c r="D62" s="442"/>
      <c r="E62" s="44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3" t="s">
        <v>118</v>
      </c>
      <c r="B63" s="439"/>
      <c r="C63" s="207" t="s">
        <v>2</v>
      </c>
      <c r="D63" s="207" t="s">
        <v>38</v>
      </c>
      <c r="E63" s="207" t="s">
        <v>3</v>
      </c>
      <c r="F63" s="439" t="s">
        <v>115</v>
      </c>
      <c r="G63" s="439"/>
      <c r="H63" s="439"/>
      <c r="I63" s="439"/>
      <c r="J63" s="439"/>
      <c r="K63" s="439" t="s">
        <v>40</v>
      </c>
      <c r="L63" s="439"/>
      <c r="M63" s="207" t="s">
        <v>41</v>
      </c>
      <c r="N63" s="439" t="s">
        <v>42</v>
      </c>
      <c r="O63" s="439"/>
      <c r="P63" s="436" t="s">
        <v>43</v>
      </c>
      <c r="Q63" s="438"/>
      <c r="R63" s="436" t="s">
        <v>44</v>
      </c>
      <c r="S63" s="437"/>
      <c r="T63" s="437"/>
      <c r="U63" s="437"/>
      <c r="V63" s="437"/>
      <c r="W63" s="437"/>
      <c r="X63" s="437"/>
      <c r="Y63" s="437"/>
      <c r="Z63" s="437"/>
      <c r="AA63" s="438"/>
      <c r="AB63" s="439" t="s">
        <v>45</v>
      </c>
      <c r="AC63" s="439"/>
      <c r="AD63" s="440"/>
      <c r="AF63" s="94">
        <f>SUM(AF60:AF62)</f>
        <v>96000</v>
      </c>
    </row>
    <row r="64" spans="1:32" ht="26.25" customHeight="1">
      <c r="A64" s="429">
        <v>1</v>
      </c>
      <c r="B64" s="430"/>
      <c r="C64" s="208" t="s">
        <v>442</v>
      </c>
      <c r="D64" s="203"/>
      <c r="E64" s="205"/>
      <c r="F64" s="421" t="s">
        <v>443</v>
      </c>
      <c r="G64" s="421"/>
      <c r="H64" s="421"/>
      <c r="I64" s="421"/>
      <c r="J64" s="421"/>
      <c r="K64" s="441" t="s">
        <v>444</v>
      </c>
      <c r="L64" s="441"/>
      <c r="M64" s="54" t="s">
        <v>445</v>
      </c>
      <c r="N64" s="421">
        <v>7</v>
      </c>
      <c r="O64" s="421"/>
      <c r="P64" s="431">
        <v>20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2</v>
      </c>
      <c r="B65" s="430"/>
      <c r="C65" s="208" t="s">
        <v>442</v>
      </c>
      <c r="D65" s="203"/>
      <c r="E65" s="205"/>
      <c r="F65" s="421" t="s">
        <v>446</v>
      </c>
      <c r="G65" s="421"/>
      <c r="H65" s="421"/>
      <c r="I65" s="421"/>
      <c r="J65" s="421"/>
      <c r="K65" s="441" t="s">
        <v>444</v>
      </c>
      <c r="L65" s="441"/>
      <c r="M65" s="54" t="s">
        <v>445</v>
      </c>
      <c r="N65" s="421">
        <v>7</v>
      </c>
      <c r="O65" s="421"/>
      <c r="P65" s="431">
        <v>20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6.25" customHeight="1">
      <c r="A66" s="429">
        <v>3</v>
      </c>
      <c r="B66" s="430"/>
      <c r="C66" s="208"/>
      <c r="D66" s="203"/>
      <c r="E66" s="205"/>
      <c r="F66" s="421"/>
      <c r="G66" s="421"/>
      <c r="H66" s="421"/>
      <c r="I66" s="421"/>
      <c r="J66" s="421"/>
      <c r="K66" s="433"/>
      <c r="L66" s="434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4</v>
      </c>
      <c r="B67" s="430"/>
      <c r="C67" s="208"/>
      <c r="D67" s="203"/>
      <c r="E67" s="205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5</v>
      </c>
      <c r="B68" s="430"/>
      <c r="C68" s="208"/>
      <c r="D68" s="203"/>
      <c r="E68" s="205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6</v>
      </c>
      <c r="B69" s="430"/>
      <c r="C69" s="208"/>
      <c r="D69" s="203"/>
      <c r="E69" s="205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7</v>
      </c>
      <c r="B70" s="430"/>
      <c r="C70" s="208"/>
      <c r="D70" s="203"/>
      <c r="E70" s="205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>
      <c r="A71" s="429">
        <v>8</v>
      </c>
      <c r="B71" s="430"/>
      <c r="C71" s="208"/>
      <c r="D71" s="203"/>
      <c r="E71" s="205"/>
      <c r="F71" s="421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26.25" customHeight="1" thickBot="1">
      <c r="A72" s="400" t="s">
        <v>447</v>
      </c>
      <c r="B72" s="400"/>
      <c r="C72" s="400"/>
      <c r="D72" s="400"/>
      <c r="E72" s="40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3" t="s">
        <v>118</v>
      </c>
      <c r="B73" s="424"/>
      <c r="C73" s="206" t="s">
        <v>2</v>
      </c>
      <c r="D73" s="206" t="s">
        <v>38</v>
      </c>
      <c r="E73" s="206" t="s">
        <v>3</v>
      </c>
      <c r="F73" s="424" t="s">
        <v>39</v>
      </c>
      <c r="G73" s="424"/>
      <c r="H73" s="424"/>
      <c r="I73" s="424"/>
      <c r="J73" s="424"/>
      <c r="K73" s="425" t="s">
        <v>60</v>
      </c>
      <c r="L73" s="426"/>
      <c r="M73" s="426"/>
      <c r="N73" s="426"/>
      <c r="O73" s="426"/>
      <c r="P73" s="426"/>
      <c r="Q73" s="426"/>
      <c r="R73" s="426"/>
      <c r="S73" s="427"/>
      <c r="T73" s="424" t="s">
        <v>50</v>
      </c>
      <c r="U73" s="424"/>
      <c r="V73" s="425" t="s">
        <v>51</v>
      </c>
      <c r="W73" s="427"/>
      <c r="X73" s="426" t="s">
        <v>52</v>
      </c>
      <c r="Y73" s="426"/>
      <c r="Z73" s="426"/>
      <c r="AA73" s="426"/>
      <c r="AB73" s="426"/>
      <c r="AC73" s="426"/>
      <c r="AD73" s="428"/>
      <c r="AF73" s="53"/>
    </row>
    <row r="74" spans="1:32" ht="33.75" customHeight="1">
      <c r="A74" s="408">
        <v>1</v>
      </c>
      <c r="B74" s="409"/>
      <c r="C74" s="204" t="s">
        <v>62</v>
      </c>
      <c r="D74" s="204"/>
      <c r="E74" s="71" t="s">
        <v>58</v>
      </c>
      <c r="F74" s="410" t="s">
        <v>63</v>
      </c>
      <c r="G74" s="411"/>
      <c r="H74" s="411"/>
      <c r="I74" s="411"/>
      <c r="J74" s="412"/>
      <c r="K74" s="413" t="s">
        <v>61</v>
      </c>
      <c r="L74" s="414"/>
      <c r="M74" s="414"/>
      <c r="N74" s="414"/>
      <c r="O74" s="414"/>
      <c r="P74" s="414"/>
      <c r="Q74" s="414"/>
      <c r="R74" s="414"/>
      <c r="S74" s="415"/>
      <c r="T74" s="416">
        <v>41791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92">
        <f>A74+1</f>
        <v>2</v>
      </c>
      <c r="B75" s="393"/>
      <c r="C75" s="203" t="s">
        <v>129</v>
      </c>
      <c r="D75" s="203"/>
      <c r="E75" s="35" t="s">
        <v>121</v>
      </c>
      <c r="F75" s="393" t="s">
        <v>138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42779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ref="A76:A82" si="21">A75+1</f>
        <v>3</v>
      </c>
      <c r="B76" s="393"/>
      <c r="C76" s="203" t="s">
        <v>62</v>
      </c>
      <c r="D76" s="203"/>
      <c r="E76" s="35" t="s">
        <v>121</v>
      </c>
      <c r="F76" s="393" t="s">
        <v>125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21"/>
        <v>4</v>
      </c>
      <c r="B77" s="393"/>
      <c r="C77" s="203" t="s">
        <v>62</v>
      </c>
      <c r="D77" s="203"/>
      <c r="E77" s="35" t="s">
        <v>121</v>
      </c>
      <c r="F77" s="393" t="s">
        <v>124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21"/>
        <v>5</v>
      </c>
      <c r="B78" s="393"/>
      <c r="C78" s="203" t="s">
        <v>62</v>
      </c>
      <c r="D78" s="203"/>
      <c r="E78" s="35" t="s">
        <v>58</v>
      </c>
      <c r="F78" s="393" t="s">
        <v>126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21"/>
        <v>6</v>
      </c>
      <c r="B79" s="393"/>
      <c r="C79" s="203" t="s">
        <v>129</v>
      </c>
      <c r="D79" s="203"/>
      <c r="E79" s="35" t="s">
        <v>121</v>
      </c>
      <c r="F79" s="393" t="s">
        <v>132</v>
      </c>
      <c r="G79" s="393"/>
      <c r="H79" s="393"/>
      <c r="I79" s="393"/>
      <c r="J79" s="393"/>
      <c r="K79" s="402" t="s">
        <v>128</v>
      </c>
      <c r="L79" s="403"/>
      <c r="M79" s="403"/>
      <c r="N79" s="403"/>
      <c r="O79" s="403"/>
      <c r="P79" s="403"/>
      <c r="Q79" s="403"/>
      <c r="R79" s="403"/>
      <c r="S79" s="404"/>
      <c r="T79" s="405">
        <v>42770</v>
      </c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21"/>
        <v>7</v>
      </c>
      <c r="B80" s="393"/>
      <c r="C80" s="203"/>
      <c r="D80" s="203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21"/>
        <v>8</v>
      </c>
      <c r="B81" s="393"/>
      <c r="C81" s="203"/>
      <c r="D81" s="203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21"/>
        <v>9</v>
      </c>
      <c r="B82" s="393"/>
      <c r="C82" s="203"/>
      <c r="D82" s="203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6" thickBot="1">
      <c r="A83" s="400" t="s">
        <v>448</v>
      </c>
      <c r="B83" s="400"/>
      <c r="C83" s="400"/>
      <c r="D83" s="400"/>
      <c r="E83" s="40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1" t="s">
        <v>37</v>
      </c>
      <c r="B84" s="396"/>
      <c r="C84" s="396" t="s">
        <v>53</v>
      </c>
      <c r="D84" s="396"/>
      <c r="E84" s="396" t="s">
        <v>54</v>
      </c>
      <c r="F84" s="396"/>
      <c r="G84" s="396"/>
      <c r="H84" s="396"/>
      <c r="I84" s="396"/>
      <c r="J84" s="396"/>
      <c r="K84" s="396" t="s">
        <v>55</v>
      </c>
      <c r="L84" s="396"/>
      <c r="M84" s="396"/>
      <c r="N84" s="396"/>
      <c r="O84" s="396"/>
      <c r="P84" s="396"/>
      <c r="Q84" s="396"/>
      <c r="R84" s="396"/>
      <c r="S84" s="396"/>
      <c r="T84" s="396" t="s">
        <v>56</v>
      </c>
      <c r="U84" s="396"/>
      <c r="V84" s="396" t="s">
        <v>57</v>
      </c>
      <c r="W84" s="396"/>
      <c r="X84" s="396"/>
      <c r="Y84" s="396" t="s">
        <v>52</v>
      </c>
      <c r="Z84" s="396"/>
      <c r="AA84" s="396"/>
      <c r="AB84" s="396"/>
      <c r="AC84" s="396"/>
      <c r="AD84" s="397"/>
      <c r="AF84" s="53"/>
    </row>
    <row r="85" spans="1:32" ht="30.75" customHeight="1">
      <c r="A85" s="398">
        <v>1</v>
      </c>
      <c r="B85" s="399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>
      <c r="A86" s="392">
        <v>2</v>
      </c>
      <c r="B86" s="393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5"/>
      <c r="W86" s="395"/>
      <c r="X86" s="395"/>
      <c r="Y86" s="386"/>
      <c r="Z86" s="386"/>
      <c r="AA86" s="386"/>
      <c r="AB86" s="386"/>
      <c r="AC86" s="386"/>
      <c r="AD86" s="387"/>
      <c r="AF86" s="53"/>
    </row>
    <row r="87" spans="1:32" ht="30.75" customHeight="1" thickBot="1">
      <c r="A87" s="388">
        <v>3</v>
      </c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89"/>
      <c r="S87" s="389"/>
      <c r="T87" s="389"/>
      <c r="U87" s="389"/>
      <c r="V87" s="389"/>
      <c r="W87" s="389"/>
      <c r="X87" s="389"/>
      <c r="Y87" s="390"/>
      <c r="Z87" s="390"/>
      <c r="AA87" s="390"/>
      <c r="AB87" s="390"/>
      <c r="AC87" s="390"/>
      <c r="AD87" s="39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E11" sqref="AE11:AE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449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16" t="s">
        <v>17</v>
      </c>
      <c r="L5" s="216" t="s">
        <v>18</v>
      </c>
      <c r="M5" s="216" t="s">
        <v>19</v>
      </c>
      <c r="N5" s="21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1910</v>
      </c>
      <c r="K6" s="15">
        <f>L6+2454+5092+5124+5082</f>
        <v>19656</v>
      </c>
      <c r="L6" s="15">
        <v>1904</v>
      </c>
      <c r="M6" s="16">
        <f t="shared" ref="M6:M20" si="0">L6-N6</f>
        <v>1904</v>
      </c>
      <c r="N6" s="16">
        <v>0</v>
      </c>
      <c r="O6" s="62">
        <f t="shared" ref="O6:O21" si="1">IF(L6=0,"0",N6/L6)</f>
        <v>0</v>
      </c>
      <c r="P6" s="42">
        <f t="shared" ref="P6:P20" si="2">IF(L6=0,"0",(24-Q6))</f>
        <v>9</v>
      </c>
      <c r="Q6" s="43">
        <f t="shared" ref="Q6:Q20" si="3">SUM(R6:AA6)</f>
        <v>15</v>
      </c>
      <c r="R6" s="7">
        <v>15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0.99685863874345548</v>
      </c>
      <c r="AC6" s="9">
        <f t="shared" ref="AC6:AC20" si="5">IF(P6=0,"0",(P6/24))</f>
        <v>0.375</v>
      </c>
      <c r="AD6" s="10">
        <f t="shared" ref="AD6:AD20" si="6">AC6*AB6*(1-O6)</f>
        <v>0.37382198952879581</v>
      </c>
      <c r="AE6" s="39">
        <f>$AD$21</f>
        <v>0.47744017444296155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4730</v>
      </c>
      <c r="K7" s="15">
        <f>L7+2272</f>
        <v>6996</v>
      </c>
      <c r="L7" s="15">
        <f>2309+2415</f>
        <v>4724</v>
      </c>
      <c r="M7" s="16">
        <f t="shared" si="0"/>
        <v>4724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0.99873150105708242</v>
      </c>
      <c r="AC7" s="9">
        <f t="shared" si="5"/>
        <v>1</v>
      </c>
      <c r="AD7" s="10">
        <f t="shared" si="6"/>
        <v>0.99873150105708242</v>
      </c>
      <c r="AE7" s="39">
        <f>$AD$21</f>
        <v>0.47744017444296155</v>
      </c>
      <c r="AF7" s="94">
        <f t="shared" si="7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4820</v>
      </c>
      <c r="K8" s="15">
        <f>L8+4409+3630+4007+4889+4777+4548</f>
        <v>31080</v>
      </c>
      <c r="L8" s="15">
        <f>2269+2551</f>
        <v>4820</v>
      </c>
      <c r="M8" s="16">
        <f t="shared" si="0"/>
        <v>4820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1</v>
      </c>
      <c r="AC8" s="9">
        <f t="shared" si="5"/>
        <v>1</v>
      </c>
      <c r="AD8" s="10">
        <f t="shared" si="6"/>
        <v>1</v>
      </c>
      <c r="AE8" s="39">
        <f>$AD$21</f>
        <v>0.47744017444296155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450</v>
      </c>
      <c r="E9" s="57" t="s">
        <v>451</v>
      </c>
      <c r="F9" s="12" t="s">
        <v>452</v>
      </c>
      <c r="G9" s="12">
        <v>1</v>
      </c>
      <c r="H9" s="13">
        <v>25</v>
      </c>
      <c r="I9" s="34">
        <v>5000</v>
      </c>
      <c r="J9" s="5">
        <v>1530</v>
      </c>
      <c r="K9" s="15">
        <f>L9</f>
        <v>1522</v>
      </c>
      <c r="L9" s="15">
        <v>1522</v>
      </c>
      <c r="M9" s="16">
        <f t="shared" si="0"/>
        <v>1522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>
        <v>18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0.99477124183006538</v>
      </c>
      <c r="AC9" s="9">
        <f t="shared" si="5"/>
        <v>0.25</v>
      </c>
      <c r="AD9" s="10">
        <f t="shared" si="6"/>
        <v>0.24869281045751634</v>
      </c>
      <c r="AE9" s="39">
        <f t="shared" ref="AE9" si="8">$AD$21</f>
        <v>0.47744017444296155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129</v>
      </c>
      <c r="D10" s="55" t="s">
        <v>409</v>
      </c>
      <c r="E10" s="57" t="s">
        <v>410</v>
      </c>
      <c r="F10" s="12" t="s">
        <v>411</v>
      </c>
      <c r="G10" s="12">
        <v>2</v>
      </c>
      <c r="H10" s="13">
        <v>25</v>
      </c>
      <c r="I10" s="34">
        <v>32000</v>
      </c>
      <c r="J10" s="5">
        <v>10790</v>
      </c>
      <c r="K10" s="15">
        <f>L10+6814</f>
        <v>17600</v>
      </c>
      <c r="L10" s="15">
        <f>2565*2+2828*2</f>
        <v>10786</v>
      </c>
      <c r="M10" s="16">
        <f t="shared" si="0"/>
        <v>10786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0.99962928637627435</v>
      </c>
      <c r="AC10" s="9">
        <f t="shared" si="5"/>
        <v>1</v>
      </c>
      <c r="AD10" s="10">
        <f t="shared" si="6"/>
        <v>0.99962928637627435</v>
      </c>
      <c r="AE10" s="39">
        <f>$AD$21</f>
        <v>0.47744017444296155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167</v>
      </c>
      <c r="D11" s="55" t="s">
        <v>412</v>
      </c>
      <c r="E11" s="57" t="s">
        <v>413</v>
      </c>
      <c r="F11" s="12" t="s">
        <v>414</v>
      </c>
      <c r="G11" s="12">
        <v>1</v>
      </c>
      <c r="H11" s="13">
        <v>25</v>
      </c>
      <c r="I11" s="34">
        <v>200</v>
      </c>
      <c r="J11" s="14">
        <v>361</v>
      </c>
      <c r="K11" s="15">
        <f>L11+361</f>
        <v>361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$AD$21</f>
        <v>0.47744017444296155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371</v>
      </c>
      <c r="E12" s="57" t="s">
        <v>372</v>
      </c>
      <c r="F12" s="12" t="s">
        <v>373</v>
      </c>
      <c r="G12" s="12">
        <v>1</v>
      </c>
      <c r="H12" s="13">
        <v>25</v>
      </c>
      <c r="I12" s="34">
        <v>500</v>
      </c>
      <c r="J12" s="5">
        <v>1130</v>
      </c>
      <c r="K12" s="15">
        <f>L12+1122</f>
        <v>1122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ref="AE12:AE17" si="9">$AD$21</f>
        <v>0.47744017444296155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158</v>
      </c>
      <c r="G13" s="12">
        <v>1</v>
      </c>
      <c r="H13" s="13">
        <v>25</v>
      </c>
      <c r="I13" s="7">
        <v>42000</v>
      </c>
      <c r="J13" s="14">
        <v>2660</v>
      </c>
      <c r="K13" s="15">
        <f>L13+2452+3389+4558+2185+3734+1821+2940</f>
        <v>23738</v>
      </c>
      <c r="L13" s="15">
        <f>391+2268</f>
        <v>2659</v>
      </c>
      <c r="M13" s="16">
        <f t="shared" si="0"/>
        <v>2659</v>
      </c>
      <c r="N13" s="16">
        <v>0</v>
      </c>
      <c r="O13" s="62">
        <f t="shared" si="1"/>
        <v>0</v>
      </c>
      <c r="P13" s="42">
        <f t="shared" si="2"/>
        <v>15</v>
      </c>
      <c r="Q13" s="43">
        <f t="shared" si="3"/>
        <v>9</v>
      </c>
      <c r="R13" s="7"/>
      <c r="S13" s="6">
        <v>9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0.99962406015037597</v>
      </c>
      <c r="AC13" s="9">
        <f t="shared" si="5"/>
        <v>0.625</v>
      </c>
      <c r="AD13" s="10">
        <f t="shared" si="6"/>
        <v>0.62476503759398494</v>
      </c>
      <c r="AE13" s="39">
        <f t="shared" si="9"/>
        <v>0.47744017444296155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334</v>
      </c>
      <c r="E14" s="57" t="s">
        <v>335</v>
      </c>
      <c r="F14" s="33" t="s">
        <v>336</v>
      </c>
      <c r="G14" s="36">
        <v>1</v>
      </c>
      <c r="H14" s="38">
        <v>55</v>
      </c>
      <c r="I14" s="7">
        <v>200</v>
      </c>
      <c r="J14" s="5">
        <v>4100</v>
      </c>
      <c r="K14" s="15">
        <f>L14</f>
        <v>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9"/>
        <v>0.47744017444296155</v>
      </c>
      <c r="AF14" s="94">
        <f t="shared" si="7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10920</v>
      </c>
      <c r="K15" s="15">
        <f>L15+7200+15894+15894+10920</f>
        <v>49908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9"/>
        <v>0.47744017444296155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301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5810</v>
      </c>
      <c r="K16" s="15">
        <f>L16+5278+5817+5149+4230</f>
        <v>26281</v>
      </c>
      <c r="L16" s="15">
        <f>2785+3022</f>
        <v>5807</v>
      </c>
      <c r="M16" s="16">
        <f t="shared" si="0"/>
        <v>5807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0.9994836488812392</v>
      </c>
      <c r="AC16" s="9">
        <f t="shared" si="5"/>
        <v>1</v>
      </c>
      <c r="AD16" s="10">
        <f t="shared" si="6"/>
        <v>0.9994836488812392</v>
      </c>
      <c r="AE16" s="39">
        <f t="shared" si="9"/>
        <v>0.47744017444296155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405</v>
      </c>
      <c r="D17" s="55" t="s">
        <v>415</v>
      </c>
      <c r="E17" s="56" t="s">
        <v>416</v>
      </c>
      <c r="F17" s="12">
        <v>8301</v>
      </c>
      <c r="G17" s="12">
        <v>1</v>
      </c>
      <c r="H17" s="13">
        <v>25</v>
      </c>
      <c r="I17" s="34">
        <v>1000</v>
      </c>
      <c r="J17" s="5">
        <v>2250</v>
      </c>
      <c r="K17" s="15">
        <f>L17+2243</f>
        <v>2243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9"/>
        <v>0.47744017444296155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22000</v>
      </c>
      <c r="J18" s="5">
        <v>5310</v>
      </c>
      <c r="K18" s="15">
        <f>L18+2776+4960+2945+3734+5158+5100+959+4812</f>
        <v>35753</v>
      </c>
      <c r="L18" s="15">
        <f>2548+2761</f>
        <v>5309</v>
      </c>
      <c r="M18" s="16">
        <f t="shared" si="0"/>
        <v>5309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0.99981167608286248</v>
      </c>
      <c r="AC18" s="9">
        <f t="shared" si="5"/>
        <v>1</v>
      </c>
      <c r="AD18" s="10">
        <f t="shared" si="6"/>
        <v>0.99981167608286248</v>
      </c>
      <c r="AE18" s="39">
        <f t="shared" ref="AE18:AE20" si="10">$AD$21</f>
        <v>0.47744017444296155</v>
      </c>
      <c r="AF18" s="94">
        <f t="shared" si="7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4510</v>
      </c>
      <c r="K19" s="15">
        <f>L19+3360+3759+4940+3946</f>
        <v>20515</v>
      </c>
      <c r="L19" s="15">
        <f>1771+2739</f>
        <v>4510</v>
      </c>
      <c r="M19" s="16">
        <f t="shared" si="0"/>
        <v>4510</v>
      </c>
      <c r="N19" s="16">
        <v>0</v>
      </c>
      <c r="O19" s="62">
        <f t="shared" si="1"/>
        <v>0</v>
      </c>
      <c r="P19" s="42">
        <f t="shared" si="2"/>
        <v>22</v>
      </c>
      <c r="Q19" s="43">
        <f t="shared" si="3"/>
        <v>2</v>
      </c>
      <c r="R19" s="7"/>
      <c r="S19" s="6">
        <v>2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1</v>
      </c>
      <c r="AC19" s="9">
        <f t="shared" si="5"/>
        <v>0.91666666666666663</v>
      </c>
      <c r="AD19" s="10">
        <f t="shared" si="6"/>
        <v>0.91666666666666663</v>
      </c>
      <c r="AE19" s="39">
        <f t="shared" si="10"/>
        <v>0.47744017444296155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10"/>
        <v>0.47744017444296155</v>
      </c>
      <c r="AF20" s="94">
        <f t="shared" si="7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1">SUM(I6:I20)</f>
        <v>529900</v>
      </c>
      <c r="J21" s="22">
        <f t="shared" si="11"/>
        <v>96601</v>
      </c>
      <c r="K21" s="23">
        <f t="shared" si="11"/>
        <v>681991</v>
      </c>
      <c r="L21" s="24">
        <f t="shared" si="11"/>
        <v>42041</v>
      </c>
      <c r="M21" s="23">
        <f t="shared" si="11"/>
        <v>42041</v>
      </c>
      <c r="N21" s="24">
        <f t="shared" si="11"/>
        <v>0</v>
      </c>
      <c r="O21" s="44">
        <f t="shared" si="1"/>
        <v>0</v>
      </c>
      <c r="P21" s="45">
        <f t="shared" ref="P21:AA21" si="12">SUM(P6:P20)</f>
        <v>172</v>
      </c>
      <c r="Q21" s="46">
        <f t="shared" si="12"/>
        <v>188</v>
      </c>
      <c r="R21" s="26">
        <f t="shared" si="12"/>
        <v>15</v>
      </c>
      <c r="S21" s="27">
        <f t="shared" si="12"/>
        <v>77</v>
      </c>
      <c r="T21" s="27">
        <f t="shared" si="12"/>
        <v>0</v>
      </c>
      <c r="U21" s="27">
        <f t="shared" si="12"/>
        <v>0</v>
      </c>
      <c r="V21" s="28">
        <f t="shared" si="12"/>
        <v>0</v>
      </c>
      <c r="W21" s="29">
        <f t="shared" si="12"/>
        <v>96</v>
      </c>
      <c r="X21" s="30">
        <f t="shared" si="12"/>
        <v>0</v>
      </c>
      <c r="Y21" s="30">
        <f t="shared" si="12"/>
        <v>0</v>
      </c>
      <c r="Z21" s="30">
        <f t="shared" si="12"/>
        <v>0</v>
      </c>
      <c r="AA21" s="30">
        <f t="shared" si="12"/>
        <v>0</v>
      </c>
      <c r="AB21" s="31">
        <f>SUM(AB6:AB20)/15</f>
        <v>0.59926067020809037</v>
      </c>
      <c r="AC21" s="4">
        <f>SUM(AC6:AC20)/15</f>
        <v>0.4777777777777778</v>
      </c>
      <c r="AD21" s="4">
        <f>SUM(AD6:AD20)/15</f>
        <v>0.47744017444296155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453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461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217" t="s">
        <v>47</v>
      </c>
      <c r="D50" s="217" t="s">
        <v>48</v>
      </c>
      <c r="E50" s="217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217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44" t="s">
        <v>167</v>
      </c>
      <c r="B51" s="445"/>
      <c r="C51" s="219" t="s">
        <v>168</v>
      </c>
      <c r="D51" s="219" t="s">
        <v>58</v>
      </c>
      <c r="E51" s="218" t="s">
        <v>141</v>
      </c>
      <c r="F51" s="432" t="s">
        <v>454</v>
      </c>
      <c r="G51" s="432"/>
      <c r="H51" s="432"/>
      <c r="I51" s="432"/>
      <c r="J51" s="432"/>
      <c r="K51" s="432"/>
      <c r="L51" s="432"/>
      <c r="M51" s="446"/>
      <c r="N51" s="220" t="s">
        <v>433</v>
      </c>
      <c r="O51" s="74" t="s">
        <v>434</v>
      </c>
      <c r="P51" s="451" t="s">
        <v>435</v>
      </c>
      <c r="Q51" s="452"/>
      <c r="R51" s="445" t="s">
        <v>436</v>
      </c>
      <c r="S51" s="445"/>
      <c r="T51" s="445"/>
      <c r="U51" s="445"/>
      <c r="V51" s="432" t="s">
        <v>455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53" t="s">
        <v>122</v>
      </c>
      <c r="B52" s="454"/>
      <c r="C52" s="218" t="s">
        <v>131</v>
      </c>
      <c r="D52" s="219" t="s">
        <v>144</v>
      </c>
      <c r="E52" s="219" t="s">
        <v>269</v>
      </c>
      <c r="F52" s="432" t="s">
        <v>455</v>
      </c>
      <c r="G52" s="432"/>
      <c r="H52" s="432"/>
      <c r="I52" s="432"/>
      <c r="J52" s="432"/>
      <c r="K52" s="432"/>
      <c r="L52" s="432"/>
      <c r="M52" s="446"/>
      <c r="N52" s="220" t="s">
        <v>129</v>
      </c>
      <c r="O52" s="74" t="s">
        <v>135</v>
      </c>
      <c r="P52" s="451" t="s">
        <v>450</v>
      </c>
      <c r="Q52" s="452"/>
      <c r="R52" s="445" t="s">
        <v>462</v>
      </c>
      <c r="S52" s="445"/>
      <c r="T52" s="445"/>
      <c r="U52" s="445"/>
      <c r="V52" s="432" t="s">
        <v>463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129</v>
      </c>
      <c r="B53" s="445"/>
      <c r="C53" s="219" t="s">
        <v>135</v>
      </c>
      <c r="D53" s="219" t="s">
        <v>456</v>
      </c>
      <c r="E53" s="218" t="s">
        <v>457</v>
      </c>
      <c r="F53" s="432" t="s">
        <v>458</v>
      </c>
      <c r="G53" s="432"/>
      <c r="H53" s="432"/>
      <c r="I53" s="432"/>
      <c r="J53" s="432"/>
      <c r="K53" s="432"/>
      <c r="L53" s="432"/>
      <c r="M53" s="446"/>
      <c r="N53" s="220" t="s">
        <v>464</v>
      </c>
      <c r="O53" s="74" t="s">
        <v>465</v>
      </c>
      <c r="P53" s="451" t="s">
        <v>466</v>
      </c>
      <c r="Q53" s="452"/>
      <c r="R53" s="445" t="s">
        <v>467</v>
      </c>
      <c r="S53" s="445"/>
      <c r="T53" s="445"/>
      <c r="U53" s="445"/>
      <c r="V53" s="432" t="s">
        <v>468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129</v>
      </c>
      <c r="B54" s="445"/>
      <c r="C54" s="219" t="s">
        <v>459</v>
      </c>
      <c r="D54" s="219" t="s">
        <v>450</v>
      </c>
      <c r="E54" s="218" t="s">
        <v>451</v>
      </c>
      <c r="F54" s="432" t="s">
        <v>460</v>
      </c>
      <c r="G54" s="432"/>
      <c r="H54" s="432"/>
      <c r="I54" s="432"/>
      <c r="J54" s="432"/>
      <c r="K54" s="432"/>
      <c r="L54" s="432"/>
      <c r="M54" s="446"/>
      <c r="N54" s="220" t="s">
        <v>469</v>
      </c>
      <c r="O54" s="74" t="s">
        <v>470</v>
      </c>
      <c r="P54" s="451" t="s">
        <v>471</v>
      </c>
      <c r="Q54" s="452"/>
      <c r="R54" s="445" t="s">
        <v>472</v>
      </c>
      <c r="S54" s="445"/>
      <c r="T54" s="445"/>
      <c r="U54" s="445"/>
      <c r="V54" s="432" t="s">
        <v>473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/>
      <c r="B55" s="454"/>
      <c r="C55" s="218"/>
      <c r="D55" s="219"/>
      <c r="E55" s="219"/>
      <c r="F55" s="432"/>
      <c r="G55" s="432"/>
      <c r="H55" s="432"/>
      <c r="I55" s="432"/>
      <c r="J55" s="432"/>
      <c r="K55" s="432"/>
      <c r="L55" s="432"/>
      <c r="M55" s="446"/>
      <c r="N55" s="220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/>
      <c r="B56" s="445"/>
      <c r="C56" s="219"/>
      <c r="D56" s="219"/>
      <c r="E56" s="218"/>
      <c r="F56" s="432"/>
      <c r="G56" s="432"/>
      <c r="H56" s="432"/>
      <c r="I56" s="432"/>
      <c r="J56" s="432"/>
      <c r="K56" s="432"/>
      <c r="L56" s="432"/>
      <c r="M56" s="446"/>
      <c r="N56" s="220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219"/>
      <c r="D57" s="219"/>
      <c r="E57" s="218"/>
      <c r="F57" s="432"/>
      <c r="G57" s="432"/>
      <c r="H57" s="432"/>
      <c r="I57" s="432"/>
      <c r="J57" s="432"/>
      <c r="K57" s="432"/>
      <c r="L57" s="432"/>
      <c r="M57" s="446"/>
      <c r="N57" s="220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218"/>
      <c r="D58" s="219"/>
      <c r="E58" s="218"/>
      <c r="F58" s="432"/>
      <c r="G58" s="432"/>
      <c r="H58" s="432"/>
      <c r="I58" s="432"/>
      <c r="J58" s="432"/>
      <c r="K58" s="432"/>
      <c r="L58" s="432"/>
      <c r="M58" s="446"/>
      <c r="N58" s="220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219"/>
      <c r="D59" s="219"/>
      <c r="E59" s="219"/>
      <c r="F59" s="432"/>
      <c r="G59" s="432"/>
      <c r="H59" s="432"/>
      <c r="I59" s="432"/>
      <c r="J59" s="432"/>
      <c r="K59" s="432"/>
      <c r="L59" s="432"/>
      <c r="M59" s="446"/>
      <c r="N59" s="220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222"/>
      <c r="D60" s="222"/>
      <c r="E60" s="222"/>
      <c r="F60" s="449"/>
      <c r="G60" s="449"/>
      <c r="H60" s="449"/>
      <c r="I60" s="449"/>
      <c r="J60" s="449"/>
      <c r="K60" s="449"/>
      <c r="L60" s="449"/>
      <c r="M60" s="450"/>
      <c r="N60" s="221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474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223" t="s">
        <v>2</v>
      </c>
      <c r="D62" s="223" t="s">
        <v>38</v>
      </c>
      <c r="E62" s="223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223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225" t="s">
        <v>464</v>
      </c>
      <c r="D63" s="227"/>
      <c r="E63" s="224" t="s">
        <v>471</v>
      </c>
      <c r="F63" s="421" t="s">
        <v>475</v>
      </c>
      <c r="G63" s="421"/>
      <c r="H63" s="421"/>
      <c r="I63" s="421"/>
      <c r="J63" s="421"/>
      <c r="K63" s="441" t="s">
        <v>476</v>
      </c>
      <c r="L63" s="441"/>
      <c r="M63" s="54" t="s">
        <v>477</v>
      </c>
      <c r="N63" s="421">
        <v>7</v>
      </c>
      <c r="O63" s="421"/>
      <c r="P63" s="431">
        <v>50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225" t="s">
        <v>478</v>
      </c>
      <c r="D64" s="227"/>
      <c r="E64" s="224" t="s">
        <v>480</v>
      </c>
      <c r="F64" s="421" t="s">
        <v>479</v>
      </c>
      <c r="G64" s="421"/>
      <c r="H64" s="421"/>
      <c r="I64" s="421"/>
      <c r="J64" s="421"/>
      <c r="K64" s="441">
        <v>8301</v>
      </c>
      <c r="L64" s="441"/>
      <c r="M64" s="54" t="s">
        <v>477</v>
      </c>
      <c r="N64" s="421">
        <v>12</v>
      </c>
      <c r="O64" s="421"/>
      <c r="P64" s="431">
        <v>50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225"/>
      <c r="D65" s="227"/>
      <c r="E65" s="224"/>
      <c r="F65" s="421"/>
      <c r="G65" s="421"/>
      <c r="H65" s="421"/>
      <c r="I65" s="421"/>
      <c r="J65" s="421"/>
      <c r="K65" s="433"/>
      <c r="L65" s="434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225"/>
      <c r="D66" s="227"/>
      <c r="E66" s="224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225"/>
      <c r="D67" s="227"/>
      <c r="E67" s="224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6</v>
      </c>
      <c r="B68" s="430"/>
      <c r="C68" s="225"/>
      <c r="D68" s="227"/>
      <c r="E68" s="224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7</v>
      </c>
      <c r="B69" s="430"/>
      <c r="C69" s="225"/>
      <c r="D69" s="227"/>
      <c r="E69" s="224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8</v>
      </c>
      <c r="B70" s="430"/>
      <c r="C70" s="225"/>
      <c r="D70" s="227"/>
      <c r="E70" s="224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481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226" t="s">
        <v>2</v>
      </c>
      <c r="D72" s="226" t="s">
        <v>38</v>
      </c>
      <c r="E72" s="226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228" t="s">
        <v>62</v>
      </c>
      <c r="D73" s="228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227" t="s">
        <v>129</v>
      </c>
      <c r="D74" s="227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3">A74+1</f>
        <v>3</v>
      </c>
      <c r="B75" s="393"/>
      <c r="C75" s="227" t="s">
        <v>62</v>
      </c>
      <c r="D75" s="227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3"/>
        <v>4</v>
      </c>
      <c r="B76" s="393"/>
      <c r="C76" s="227" t="s">
        <v>62</v>
      </c>
      <c r="D76" s="227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3"/>
        <v>5</v>
      </c>
      <c r="B77" s="393"/>
      <c r="C77" s="227" t="s">
        <v>62</v>
      </c>
      <c r="D77" s="227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3"/>
        <v>6</v>
      </c>
      <c r="B78" s="393"/>
      <c r="C78" s="227" t="s">
        <v>129</v>
      </c>
      <c r="D78" s="227"/>
      <c r="E78" s="35" t="s">
        <v>482</v>
      </c>
      <c r="F78" s="393" t="s">
        <v>483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42803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3"/>
        <v>7</v>
      </c>
      <c r="B79" s="393"/>
      <c r="C79" s="227"/>
      <c r="D79" s="227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3"/>
        <v>8</v>
      </c>
      <c r="B80" s="393"/>
      <c r="C80" s="227"/>
      <c r="D80" s="227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3"/>
        <v>9</v>
      </c>
      <c r="B81" s="393"/>
      <c r="C81" s="227"/>
      <c r="D81" s="227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484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485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487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AE13" sqref="AE13:AE1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488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41" t="s">
        <v>17</v>
      </c>
      <c r="L5" s="241" t="s">
        <v>18</v>
      </c>
      <c r="M5" s="241" t="s">
        <v>19</v>
      </c>
      <c r="N5" s="24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</f>
        <v>21248</v>
      </c>
      <c r="L6" s="15">
        <f>725+867</f>
        <v>1592</v>
      </c>
      <c r="M6" s="16">
        <f t="shared" ref="M6:M21" si="0">L6-N6</f>
        <v>1592</v>
      </c>
      <c r="N6" s="16">
        <v>0</v>
      </c>
      <c r="O6" s="62">
        <f t="shared" ref="O6:O22" si="1">IF(L6=0,"0",N6/L6)</f>
        <v>0</v>
      </c>
      <c r="P6" s="42">
        <f t="shared" ref="P6:P21" si="2">IF(L6=0,"0",(24-Q6))</f>
        <v>9</v>
      </c>
      <c r="Q6" s="43">
        <f t="shared" ref="Q6:Q21" si="3">SUM(R6:AA6)</f>
        <v>15</v>
      </c>
      <c r="R6" s="7">
        <v>10</v>
      </c>
      <c r="S6" s="6">
        <v>5</v>
      </c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0.995</v>
      </c>
      <c r="AC6" s="9">
        <f t="shared" ref="AC6:AC21" si="5">IF(P6=0,"0",(P6/24))</f>
        <v>0.375</v>
      </c>
      <c r="AD6" s="10">
        <f t="shared" ref="AD6:AD21" si="6">AC6*AB6*(1-O6)</f>
        <v>0.37312499999999998</v>
      </c>
      <c r="AE6" s="39">
        <f>$AD$22</f>
        <v>0.54097993096947516</v>
      </c>
      <c r="AF6" s="94">
        <f t="shared" ref="AF6:AF21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7" t="s">
        <v>148</v>
      </c>
      <c r="F7" s="33" t="s">
        <v>140</v>
      </c>
      <c r="G7" s="36">
        <v>1</v>
      </c>
      <c r="H7" s="38">
        <v>25</v>
      </c>
      <c r="I7" s="7">
        <v>13000</v>
      </c>
      <c r="J7" s="5">
        <v>4830</v>
      </c>
      <c r="K7" s="15">
        <f>L7+2272+4724</f>
        <v>11826</v>
      </c>
      <c r="L7" s="15">
        <f>2486+2344</f>
        <v>4830</v>
      </c>
      <c r="M7" s="16">
        <f t="shared" si="0"/>
        <v>4830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1</v>
      </c>
      <c r="AD7" s="10">
        <f t="shared" si="6"/>
        <v>1</v>
      </c>
      <c r="AE7" s="39">
        <f>$AD$22</f>
        <v>0.54097993096947516</v>
      </c>
      <c r="AF7" s="94">
        <f t="shared" si="7"/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1970</v>
      </c>
      <c r="K8" s="15">
        <f>L8+4409+3630+4007+4889+4777+4548+4820</f>
        <v>33045</v>
      </c>
      <c r="L8" s="15">
        <f>1965</f>
        <v>1965</v>
      </c>
      <c r="M8" s="16">
        <f t="shared" si="0"/>
        <v>1965</v>
      </c>
      <c r="N8" s="16">
        <v>0</v>
      </c>
      <c r="O8" s="62">
        <f t="shared" si="1"/>
        <v>0</v>
      </c>
      <c r="P8" s="42">
        <f t="shared" si="2"/>
        <v>10</v>
      </c>
      <c r="Q8" s="43">
        <f t="shared" si="3"/>
        <v>14</v>
      </c>
      <c r="R8" s="7"/>
      <c r="S8" s="6">
        <v>14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0.9974619289340102</v>
      </c>
      <c r="AC8" s="9">
        <f t="shared" si="5"/>
        <v>0.41666666666666669</v>
      </c>
      <c r="AD8" s="10">
        <f t="shared" si="6"/>
        <v>0.41560913705583757</v>
      </c>
      <c r="AE8" s="39">
        <f>$AD$22</f>
        <v>0.54097993096947516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450</v>
      </c>
      <c r="E9" s="57" t="s">
        <v>451</v>
      </c>
      <c r="F9" s="12" t="s">
        <v>452</v>
      </c>
      <c r="G9" s="12">
        <v>1</v>
      </c>
      <c r="H9" s="13">
        <v>25</v>
      </c>
      <c r="I9" s="34">
        <v>5000</v>
      </c>
      <c r="J9" s="5">
        <v>930</v>
      </c>
      <c r="K9" s="15">
        <f>L9+1522</f>
        <v>2450</v>
      </c>
      <c r="L9" s="15">
        <f>928</f>
        <v>928</v>
      </c>
      <c r="M9" s="16">
        <f t="shared" si="0"/>
        <v>928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>
        <v>18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0.99784946236559136</v>
      </c>
      <c r="AC9" s="9">
        <f t="shared" si="5"/>
        <v>0.25</v>
      </c>
      <c r="AD9" s="10">
        <f t="shared" si="6"/>
        <v>0.24946236559139784</v>
      </c>
      <c r="AE9" s="39">
        <f t="shared" ref="AE9" si="8">$AD$22</f>
        <v>0.54097993096947516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129</v>
      </c>
      <c r="D10" s="55" t="s">
        <v>409</v>
      </c>
      <c r="E10" s="57" t="s">
        <v>410</v>
      </c>
      <c r="F10" s="12" t="s">
        <v>411</v>
      </c>
      <c r="G10" s="12">
        <v>2</v>
      </c>
      <c r="H10" s="13">
        <v>25</v>
      </c>
      <c r="I10" s="34">
        <v>32000</v>
      </c>
      <c r="J10" s="5">
        <v>9830</v>
      </c>
      <c r="K10" s="15">
        <f>L10+6814+10786</f>
        <v>27428</v>
      </c>
      <c r="L10" s="15">
        <f>2087*2+2827*2</f>
        <v>9828</v>
      </c>
      <c r="M10" s="16">
        <f t="shared" si="0"/>
        <v>9828</v>
      </c>
      <c r="N10" s="16">
        <v>0</v>
      </c>
      <c r="O10" s="62">
        <f t="shared" si="1"/>
        <v>0</v>
      </c>
      <c r="P10" s="42">
        <f t="shared" si="2"/>
        <v>24</v>
      </c>
      <c r="Q10" s="43">
        <f t="shared" si="3"/>
        <v>0</v>
      </c>
      <c r="R10" s="7"/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0.99979654120040695</v>
      </c>
      <c r="AC10" s="9">
        <f t="shared" si="5"/>
        <v>1</v>
      </c>
      <c r="AD10" s="10">
        <f t="shared" si="6"/>
        <v>0.99979654120040695</v>
      </c>
      <c r="AE10" s="39">
        <f>$AD$22</f>
        <v>0.54097993096947516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167</v>
      </c>
      <c r="D11" s="55" t="s">
        <v>412</v>
      </c>
      <c r="E11" s="57" t="s">
        <v>413</v>
      </c>
      <c r="F11" s="12" t="s">
        <v>414</v>
      </c>
      <c r="G11" s="12">
        <v>1</v>
      </c>
      <c r="H11" s="13">
        <v>25</v>
      </c>
      <c r="I11" s="34">
        <v>200</v>
      </c>
      <c r="J11" s="14">
        <v>361</v>
      </c>
      <c r="K11" s="15">
        <f>L11+361</f>
        <v>361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$AD$22</f>
        <v>0.54097993096947516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490</v>
      </c>
      <c r="E12" s="57" t="s">
        <v>491</v>
      </c>
      <c r="F12" s="12">
        <v>7301</v>
      </c>
      <c r="G12" s="12" t="s">
        <v>492</v>
      </c>
      <c r="H12" s="13">
        <v>25</v>
      </c>
      <c r="I12" s="34">
        <v>1000</v>
      </c>
      <c r="J12" s="5">
        <v>1080</v>
      </c>
      <c r="K12" s="15">
        <f>L12</f>
        <v>1080</v>
      </c>
      <c r="L12" s="15">
        <v>1080</v>
      </c>
      <c r="M12" s="16">
        <f t="shared" ref="M12" si="9">L12-N12</f>
        <v>1080</v>
      </c>
      <c r="N12" s="16">
        <v>0</v>
      </c>
      <c r="O12" s="62">
        <f t="shared" ref="O12" si="10">IF(L12=0,"0",N12/L12)</f>
        <v>0</v>
      </c>
      <c r="P12" s="42">
        <f t="shared" ref="P12" si="11">IF(L12=0,"0",(24-Q12))</f>
        <v>7</v>
      </c>
      <c r="Q12" s="43">
        <f t="shared" ref="Q12" si="12">SUM(R12:AA12)</f>
        <v>17</v>
      </c>
      <c r="R12" s="7"/>
      <c r="S12" s="6"/>
      <c r="T12" s="17"/>
      <c r="U12" s="17"/>
      <c r="V12" s="18"/>
      <c r="W12" s="19">
        <v>17</v>
      </c>
      <c r="X12" s="17"/>
      <c r="Y12" s="20"/>
      <c r="Z12" s="20"/>
      <c r="AA12" s="21"/>
      <c r="AB12" s="8">
        <f t="shared" ref="AB12" si="13">IF(J12=0,"0",(L12/J12))</f>
        <v>1</v>
      </c>
      <c r="AC12" s="9">
        <f t="shared" ref="AC12" si="14">IF(P12=0,"0",(P12/24))</f>
        <v>0.29166666666666669</v>
      </c>
      <c r="AD12" s="10">
        <f t="shared" ref="AD12" si="15">AC12*AB12*(1-O12)</f>
        <v>0.29166666666666669</v>
      </c>
      <c r="AE12" s="39">
        <f>$AD$22</f>
        <v>0.54097993096947516</v>
      </c>
      <c r="AF12" s="94">
        <f t="shared" ref="AF12" si="16">A12</f>
        <v>7</v>
      </c>
    </row>
    <row r="13" spans="1:32" ht="27" customHeight="1">
      <c r="A13" s="110">
        <v>7</v>
      </c>
      <c r="B13" s="11" t="s">
        <v>59</v>
      </c>
      <c r="C13" s="37" t="s">
        <v>122</v>
      </c>
      <c r="D13" s="55" t="s">
        <v>323</v>
      </c>
      <c r="E13" s="57" t="s">
        <v>489</v>
      </c>
      <c r="F13" s="12" t="s">
        <v>134</v>
      </c>
      <c r="G13" s="12">
        <v>1</v>
      </c>
      <c r="H13" s="13">
        <v>25</v>
      </c>
      <c r="I13" s="34">
        <v>1050</v>
      </c>
      <c r="J13" s="5">
        <v>1240</v>
      </c>
      <c r="K13" s="15">
        <f>L13</f>
        <v>1236</v>
      </c>
      <c r="L13" s="15">
        <f>778+458</f>
        <v>1236</v>
      </c>
      <c r="M13" s="16">
        <f t="shared" si="0"/>
        <v>1236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/>
      <c r="W13" s="19">
        <v>14</v>
      </c>
      <c r="X13" s="17"/>
      <c r="Y13" s="20"/>
      <c r="Z13" s="20"/>
      <c r="AA13" s="21"/>
      <c r="AB13" s="8">
        <f t="shared" si="4"/>
        <v>0.99677419354838714</v>
      </c>
      <c r="AC13" s="9">
        <f t="shared" si="5"/>
        <v>0.41666666666666669</v>
      </c>
      <c r="AD13" s="10">
        <f t="shared" si="6"/>
        <v>0.41532258064516131</v>
      </c>
      <c r="AE13" s="39">
        <f>$AD$22</f>
        <v>0.54097993096947516</v>
      </c>
      <c r="AF13" s="94">
        <f t="shared" si="7"/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144</v>
      </c>
      <c r="E14" s="57" t="s">
        <v>157</v>
      </c>
      <c r="F14" s="12" t="s">
        <v>134</v>
      </c>
      <c r="G14" s="12">
        <v>1</v>
      </c>
      <c r="H14" s="13">
        <v>25</v>
      </c>
      <c r="I14" s="7">
        <v>42000</v>
      </c>
      <c r="J14" s="14">
        <v>4790</v>
      </c>
      <c r="K14" s="15">
        <f>L14+2452+3389+4558+2185+3734+1821+2940+2659</f>
        <v>28525</v>
      </c>
      <c r="L14" s="15">
        <f>2430+2357</f>
        <v>4787</v>
      </c>
      <c r="M14" s="16">
        <f t="shared" si="0"/>
        <v>4787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0.99937369519832986</v>
      </c>
      <c r="AC14" s="9">
        <f t="shared" si="5"/>
        <v>1</v>
      </c>
      <c r="AD14" s="10">
        <f t="shared" si="6"/>
        <v>0.99937369519832986</v>
      </c>
      <c r="AE14" s="39">
        <f t="shared" ref="AE14:AE17" si="17">$AD$22</f>
        <v>0.54097993096947516</v>
      </c>
      <c r="AF14" s="94">
        <f t="shared" si="7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207</v>
      </c>
      <c r="E15" s="57" t="s">
        <v>335</v>
      </c>
      <c r="F15" s="33" t="s">
        <v>336</v>
      </c>
      <c r="G15" s="36">
        <v>1</v>
      </c>
      <c r="H15" s="38">
        <v>55</v>
      </c>
      <c r="I15" s="7">
        <v>200</v>
      </c>
      <c r="J15" s="5">
        <v>4100</v>
      </c>
      <c r="K15" s="15">
        <f>L15</f>
        <v>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17"/>
        <v>0.54097993096947516</v>
      </c>
      <c r="AF15" s="94">
        <f t="shared" si="7"/>
        <v>9</v>
      </c>
    </row>
    <row r="16" spans="1:32" ht="27" customHeight="1">
      <c r="A16" s="109">
        <v>10</v>
      </c>
      <c r="B16" s="11" t="s">
        <v>59</v>
      </c>
      <c r="C16" s="37" t="s">
        <v>159</v>
      </c>
      <c r="D16" s="55" t="s">
        <v>160</v>
      </c>
      <c r="E16" s="57" t="s">
        <v>171</v>
      </c>
      <c r="F16" s="12" t="s">
        <v>161</v>
      </c>
      <c r="G16" s="12">
        <v>2</v>
      </c>
      <c r="H16" s="13">
        <v>20</v>
      </c>
      <c r="I16" s="34">
        <v>20000</v>
      </c>
      <c r="J16" s="5">
        <v>10920</v>
      </c>
      <c r="K16" s="15">
        <f>L16+7200+15894+15894+10920</f>
        <v>49908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>
        <v>24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17"/>
        <v>0.54097993096947516</v>
      </c>
      <c r="AF16" s="94">
        <f t="shared" si="7"/>
        <v>10</v>
      </c>
    </row>
    <row r="17" spans="1:32" ht="27" customHeight="1">
      <c r="A17" s="109">
        <v>11</v>
      </c>
      <c r="B17" s="11" t="s">
        <v>59</v>
      </c>
      <c r="C17" s="11" t="s">
        <v>301</v>
      </c>
      <c r="D17" s="55" t="s">
        <v>133</v>
      </c>
      <c r="E17" s="56" t="s">
        <v>303</v>
      </c>
      <c r="F17" s="12">
        <v>7301</v>
      </c>
      <c r="G17" s="36">
        <v>1</v>
      </c>
      <c r="H17" s="38">
        <v>25</v>
      </c>
      <c r="I17" s="7">
        <v>60000</v>
      </c>
      <c r="J17" s="14">
        <v>5850</v>
      </c>
      <c r="K17" s="15">
        <f>L17+5278+5817+5149+4230+5807</f>
        <v>32126</v>
      </c>
      <c r="L17" s="15">
        <f>2986+2859</f>
        <v>5845</v>
      </c>
      <c r="M17" s="16">
        <f t="shared" si="0"/>
        <v>5845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0.99914529914529915</v>
      </c>
      <c r="AC17" s="9">
        <f t="shared" si="5"/>
        <v>1</v>
      </c>
      <c r="AD17" s="10">
        <f t="shared" si="6"/>
        <v>0.99914529914529915</v>
      </c>
      <c r="AE17" s="39">
        <f t="shared" si="17"/>
        <v>0.54097993096947516</v>
      </c>
      <c r="AF17" s="94">
        <f t="shared" si="7"/>
        <v>11</v>
      </c>
    </row>
    <row r="18" spans="1:32" ht="27" customHeight="1">
      <c r="A18" s="109">
        <v>12</v>
      </c>
      <c r="B18" s="11" t="s">
        <v>59</v>
      </c>
      <c r="C18" s="37" t="s">
        <v>493</v>
      </c>
      <c r="D18" s="55" t="s">
        <v>494</v>
      </c>
      <c r="E18" s="56" t="s">
        <v>495</v>
      </c>
      <c r="F18" s="12">
        <v>8301</v>
      </c>
      <c r="G18" s="12">
        <v>1</v>
      </c>
      <c r="H18" s="13">
        <v>25</v>
      </c>
      <c r="I18" s="34">
        <v>1000</v>
      </c>
      <c r="J18" s="5">
        <v>2400</v>
      </c>
      <c r="K18" s="15">
        <f>L18</f>
        <v>2394</v>
      </c>
      <c r="L18" s="15">
        <f>335+2059</f>
        <v>2394</v>
      </c>
      <c r="M18" s="16">
        <f t="shared" si="0"/>
        <v>2394</v>
      </c>
      <c r="N18" s="16">
        <v>0</v>
      </c>
      <c r="O18" s="62">
        <f t="shared" si="1"/>
        <v>0</v>
      </c>
      <c r="P18" s="42">
        <f t="shared" si="2"/>
        <v>18</v>
      </c>
      <c r="Q18" s="43">
        <f t="shared" si="3"/>
        <v>6</v>
      </c>
      <c r="R18" s="7"/>
      <c r="S18" s="6"/>
      <c r="T18" s="17">
        <v>6</v>
      </c>
      <c r="U18" s="17"/>
      <c r="V18" s="18"/>
      <c r="W18" s="19"/>
      <c r="X18" s="17"/>
      <c r="Y18" s="20"/>
      <c r="Z18" s="20"/>
      <c r="AA18" s="21"/>
      <c r="AB18" s="8">
        <f t="shared" si="4"/>
        <v>0.99750000000000005</v>
      </c>
      <c r="AC18" s="9">
        <f t="shared" si="5"/>
        <v>0.75</v>
      </c>
      <c r="AD18" s="10">
        <f t="shared" si="6"/>
        <v>0.74812500000000004</v>
      </c>
      <c r="AE18" s="39">
        <f t="shared" ref="AE18:AE21" si="18">$AD$22</f>
        <v>0.54097993096947516</v>
      </c>
      <c r="AF18" s="94">
        <f t="shared" si="7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162</v>
      </c>
      <c r="E19" s="56" t="s">
        <v>163</v>
      </c>
      <c r="F19" s="33" t="s">
        <v>127</v>
      </c>
      <c r="G19" s="36">
        <v>1</v>
      </c>
      <c r="H19" s="38">
        <v>25</v>
      </c>
      <c r="I19" s="7">
        <v>22000</v>
      </c>
      <c r="J19" s="5">
        <v>3690</v>
      </c>
      <c r="K19" s="15">
        <f>L19+2776+4960+2945+3734+5158+5100+959+4812+5309</f>
        <v>39435</v>
      </c>
      <c r="L19" s="15">
        <f>2724+958</f>
        <v>3682</v>
      </c>
      <c r="M19" s="16">
        <f t="shared" si="0"/>
        <v>3682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0.99783197831978321</v>
      </c>
      <c r="AC19" s="9">
        <f t="shared" si="5"/>
        <v>0.79166666666666663</v>
      </c>
      <c r="AD19" s="10">
        <f t="shared" si="6"/>
        <v>0.78995031616982836</v>
      </c>
      <c r="AE19" s="39">
        <f t="shared" si="18"/>
        <v>0.54097993096947516</v>
      </c>
      <c r="AF19" s="94">
        <f t="shared" si="7"/>
        <v>13</v>
      </c>
    </row>
    <row r="20" spans="1:32" ht="27" customHeight="1">
      <c r="A20" s="110">
        <v>14</v>
      </c>
      <c r="B20" s="11" t="s">
        <v>59</v>
      </c>
      <c r="C20" s="37" t="s">
        <v>129</v>
      </c>
      <c r="D20" s="55" t="s">
        <v>58</v>
      </c>
      <c r="E20" s="57" t="s">
        <v>141</v>
      </c>
      <c r="F20" s="33" t="s">
        <v>130</v>
      </c>
      <c r="G20" s="36">
        <v>1</v>
      </c>
      <c r="H20" s="38">
        <v>25</v>
      </c>
      <c r="I20" s="34">
        <v>44000</v>
      </c>
      <c r="J20" s="5">
        <v>3950</v>
      </c>
      <c r="K20" s="15">
        <f>L20+3360+3759+4940+3946+4510</f>
        <v>24464</v>
      </c>
      <c r="L20" s="15">
        <f>1734+2215</f>
        <v>3949</v>
      </c>
      <c r="M20" s="16">
        <f t="shared" si="0"/>
        <v>3949</v>
      </c>
      <c r="N20" s="16">
        <v>0</v>
      </c>
      <c r="O20" s="62">
        <f t="shared" si="1"/>
        <v>0</v>
      </c>
      <c r="P20" s="42">
        <f t="shared" si="2"/>
        <v>20</v>
      </c>
      <c r="Q20" s="43">
        <f t="shared" si="3"/>
        <v>4</v>
      </c>
      <c r="R20" s="7"/>
      <c r="S20" s="6">
        <v>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0.999746835443038</v>
      </c>
      <c r="AC20" s="9">
        <f t="shared" si="5"/>
        <v>0.83333333333333337</v>
      </c>
      <c r="AD20" s="10">
        <f t="shared" si="6"/>
        <v>0.83312236286919839</v>
      </c>
      <c r="AE20" s="39">
        <f t="shared" si="18"/>
        <v>0.54097993096947516</v>
      </c>
      <c r="AF20" s="94">
        <f t="shared" si="7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143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35770</v>
      </c>
      <c r="K21" s="15">
        <f>L21+40636+52572+50384+54156+47100+55408+54312+54884+35764</f>
        <v>445216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18"/>
        <v>0.54097993096947516</v>
      </c>
      <c r="AF21" s="94">
        <f t="shared" si="7"/>
        <v>15</v>
      </c>
    </row>
    <row r="22" spans="1:32" ht="31.5" customHeight="1" thickBot="1">
      <c r="A22" s="457" t="s">
        <v>34</v>
      </c>
      <c r="B22" s="458"/>
      <c r="C22" s="458"/>
      <c r="D22" s="458"/>
      <c r="E22" s="458"/>
      <c r="F22" s="458"/>
      <c r="G22" s="458"/>
      <c r="H22" s="459"/>
      <c r="I22" s="25">
        <f t="shared" ref="I22:N22" si="19">SUM(I6:I21)</f>
        <v>531450</v>
      </c>
      <c r="J22" s="22">
        <f t="shared" si="19"/>
        <v>93311</v>
      </c>
      <c r="K22" s="23">
        <f t="shared" si="19"/>
        <v>720742</v>
      </c>
      <c r="L22" s="24">
        <f t="shared" si="19"/>
        <v>42116</v>
      </c>
      <c r="M22" s="23">
        <f t="shared" si="19"/>
        <v>42116</v>
      </c>
      <c r="N22" s="24">
        <f t="shared" si="19"/>
        <v>0</v>
      </c>
      <c r="O22" s="44">
        <f t="shared" si="1"/>
        <v>0</v>
      </c>
      <c r="P22" s="45">
        <f t="shared" ref="P22:AA22" si="20">SUM(P6:P21)</f>
        <v>195</v>
      </c>
      <c r="Q22" s="46">
        <f t="shared" si="20"/>
        <v>189</v>
      </c>
      <c r="R22" s="26">
        <f t="shared" si="20"/>
        <v>10</v>
      </c>
      <c r="S22" s="27">
        <f t="shared" si="20"/>
        <v>94</v>
      </c>
      <c r="T22" s="27">
        <f t="shared" si="20"/>
        <v>6</v>
      </c>
      <c r="U22" s="27">
        <f t="shared" si="20"/>
        <v>0</v>
      </c>
      <c r="V22" s="28">
        <f t="shared" si="20"/>
        <v>0</v>
      </c>
      <c r="W22" s="29">
        <f t="shared" si="20"/>
        <v>79</v>
      </c>
      <c r="X22" s="30">
        <f t="shared" si="20"/>
        <v>0</v>
      </c>
      <c r="Y22" s="30">
        <f t="shared" si="20"/>
        <v>0</v>
      </c>
      <c r="Z22" s="30">
        <f t="shared" si="20"/>
        <v>0</v>
      </c>
      <c r="AA22" s="30">
        <f t="shared" si="20"/>
        <v>0</v>
      </c>
      <c r="AB22" s="31">
        <f>SUM(AB6:AB21)/15</f>
        <v>0.79869866227698982</v>
      </c>
      <c r="AC22" s="4">
        <f>SUM(AC6:AC21)/15</f>
        <v>0.54166666666666663</v>
      </c>
      <c r="AD22" s="4">
        <f>SUM(AD6:AD21)/15</f>
        <v>0.54097993096947516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60" t="s">
        <v>46</v>
      </c>
      <c r="B49" s="460"/>
      <c r="C49" s="460"/>
      <c r="D49" s="460"/>
      <c r="E49" s="460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61" t="s">
        <v>496</v>
      </c>
      <c r="B50" s="462"/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3"/>
      <c r="N50" s="464" t="s">
        <v>509</v>
      </c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67" t="s">
        <v>2</v>
      </c>
      <c r="B51" s="468"/>
      <c r="C51" s="240" t="s">
        <v>47</v>
      </c>
      <c r="D51" s="240" t="s">
        <v>48</v>
      </c>
      <c r="E51" s="240" t="s">
        <v>113</v>
      </c>
      <c r="F51" s="468" t="s">
        <v>112</v>
      </c>
      <c r="G51" s="468"/>
      <c r="H51" s="468"/>
      <c r="I51" s="468"/>
      <c r="J51" s="468"/>
      <c r="K51" s="468"/>
      <c r="L51" s="468"/>
      <c r="M51" s="469"/>
      <c r="N51" s="73" t="s">
        <v>117</v>
      </c>
      <c r="O51" s="240" t="s">
        <v>47</v>
      </c>
      <c r="P51" s="470" t="s">
        <v>48</v>
      </c>
      <c r="Q51" s="471"/>
      <c r="R51" s="470" t="s">
        <v>39</v>
      </c>
      <c r="S51" s="472"/>
      <c r="T51" s="472"/>
      <c r="U51" s="471"/>
      <c r="V51" s="470" t="s">
        <v>49</v>
      </c>
      <c r="W51" s="472"/>
      <c r="X51" s="472"/>
      <c r="Y51" s="472"/>
      <c r="Z51" s="472"/>
      <c r="AA51" s="472"/>
      <c r="AB51" s="472"/>
      <c r="AC51" s="472"/>
      <c r="AD51" s="473"/>
    </row>
    <row r="52" spans="1:32" ht="27" customHeight="1">
      <c r="A52" s="444" t="s">
        <v>167</v>
      </c>
      <c r="B52" s="445"/>
      <c r="C52" s="236" t="s">
        <v>168</v>
      </c>
      <c r="D52" s="236" t="s">
        <v>58</v>
      </c>
      <c r="E52" s="239" t="s">
        <v>141</v>
      </c>
      <c r="F52" s="432" t="s">
        <v>497</v>
      </c>
      <c r="G52" s="432"/>
      <c r="H52" s="432"/>
      <c r="I52" s="432"/>
      <c r="J52" s="432"/>
      <c r="K52" s="432"/>
      <c r="L52" s="432"/>
      <c r="M52" s="446"/>
      <c r="N52" s="235" t="s">
        <v>433</v>
      </c>
      <c r="O52" s="74" t="s">
        <v>434</v>
      </c>
      <c r="P52" s="451" t="s">
        <v>435</v>
      </c>
      <c r="Q52" s="452"/>
      <c r="R52" s="445" t="s">
        <v>436</v>
      </c>
      <c r="S52" s="445"/>
      <c r="T52" s="445"/>
      <c r="U52" s="445"/>
      <c r="V52" s="432" t="s">
        <v>455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129</v>
      </c>
      <c r="B53" s="445"/>
      <c r="C53" s="236" t="s">
        <v>135</v>
      </c>
      <c r="D53" s="236" t="s">
        <v>456</v>
      </c>
      <c r="E53" s="239" t="s">
        <v>457</v>
      </c>
      <c r="F53" s="432" t="s">
        <v>498</v>
      </c>
      <c r="G53" s="432"/>
      <c r="H53" s="432"/>
      <c r="I53" s="432"/>
      <c r="J53" s="432"/>
      <c r="K53" s="432"/>
      <c r="L53" s="432"/>
      <c r="M53" s="446"/>
      <c r="N53" s="235" t="s">
        <v>129</v>
      </c>
      <c r="O53" s="74" t="s">
        <v>135</v>
      </c>
      <c r="P53" s="451" t="s">
        <v>450</v>
      </c>
      <c r="Q53" s="452"/>
      <c r="R53" s="445" t="s">
        <v>142</v>
      </c>
      <c r="S53" s="445"/>
      <c r="T53" s="445"/>
      <c r="U53" s="445"/>
      <c r="V53" s="432" t="s">
        <v>463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129</v>
      </c>
      <c r="B54" s="445"/>
      <c r="C54" s="236" t="s">
        <v>459</v>
      </c>
      <c r="D54" s="236" t="s">
        <v>450</v>
      </c>
      <c r="E54" s="239" t="s">
        <v>451</v>
      </c>
      <c r="F54" s="432" t="s">
        <v>499</v>
      </c>
      <c r="G54" s="432"/>
      <c r="H54" s="432"/>
      <c r="I54" s="432"/>
      <c r="J54" s="432"/>
      <c r="K54" s="432"/>
      <c r="L54" s="432"/>
      <c r="M54" s="446"/>
      <c r="N54" s="235" t="s">
        <v>182</v>
      </c>
      <c r="O54" s="74" t="s">
        <v>239</v>
      </c>
      <c r="P54" s="451" t="s">
        <v>510</v>
      </c>
      <c r="Q54" s="452"/>
      <c r="R54" s="445" t="s">
        <v>511</v>
      </c>
      <c r="S54" s="445"/>
      <c r="T54" s="445"/>
      <c r="U54" s="445"/>
      <c r="V54" s="432" t="s">
        <v>506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44" t="s">
        <v>500</v>
      </c>
      <c r="B55" s="445"/>
      <c r="C55" s="236" t="s">
        <v>501</v>
      </c>
      <c r="D55" s="236" t="s">
        <v>502</v>
      </c>
      <c r="E55" s="239" t="s">
        <v>503</v>
      </c>
      <c r="F55" s="432" t="s">
        <v>504</v>
      </c>
      <c r="G55" s="432"/>
      <c r="H55" s="432"/>
      <c r="I55" s="432"/>
      <c r="J55" s="432"/>
      <c r="K55" s="432"/>
      <c r="L55" s="432"/>
      <c r="M55" s="446"/>
      <c r="N55" s="235" t="s">
        <v>500</v>
      </c>
      <c r="O55" s="74" t="s">
        <v>223</v>
      </c>
      <c r="P55" s="451" t="s">
        <v>494</v>
      </c>
      <c r="Q55" s="452"/>
      <c r="R55" s="445" t="s">
        <v>512</v>
      </c>
      <c r="S55" s="445"/>
      <c r="T55" s="445"/>
      <c r="U55" s="445"/>
      <c r="V55" s="432" t="s">
        <v>329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122</v>
      </c>
      <c r="B56" s="454"/>
      <c r="C56" s="239" t="s">
        <v>199</v>
      </c>
      <c r="D56" s="236" t="s">
        <v>490</v>
      </c>
      <c r="E56" s="236" t="s">
        <v>505</v>
      </c>
      <c r="F56" s="432" t="s">
        <v>506</v>
      </c>
      <c r="G56" s="432"/>
      <c r="H56" s="432"/>
      <c r="I56" s="432"/>
      <c r="J56" s="432"/>
      <c r="K56" s="432"/>
      <c r="L56" s="432"/>
      <c r="M56" s="446"/>
      <c r="N56" s="235" t="s">
        <v>182</v>
      </c>
      <c r="O56" s="74" t="s">
        <v>220</v>
      </c>
      <c r="P56" s="451" t="s">
        <v>513</v>
      </c>
      <c r="Q56" s="452"/>
      <c r="R56" s="445" t="s">
        <v>514</v>
      </c>
      <c r="S56" s="445"/>
      <c r="T56" s="445"/>
      <c r="U56" s="445"/>
      <c r="V56" s="432" t="s">
        <v>195</v>
      </c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122</v>
      </c>
      <c r="B57" s="445"/>
      <c r="C57" s="236" t="s">
        <v>199</v>
      </c>
      <c r="D57" s="236" t="s">
        <v>494</v>
      </c>
      <c r="E57" s="239" t="s">
        <v>507</v>
      </c>
      <c r="F57" s="432" t="s">
        <v>329</v>
      </c>
      <c r="G57" s="432"/>
      <c r="H57" s="432"/>
      <c r="I57" s="432"/>
      <c r="J57" s="432"/>
      <c r="K57" s="432"/>
      <c r="L57" s="432"/>
      <c r="M57" s="446"/>
      <c r="N57" s="235"/>
      <c r="O57" s="74"/>
      <c r="P57" s="445"/>
      <c r="Q57" s="445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 t="s">
        <v>493</v>
      </c>
      <c r="B58" s="445"/>
      <c r="C58" s="236" t="s">
        <v>508</v>
      </c>
      <c r="D58" s="236" t="s">
        <v>207</v>
      </c>
      <c r="E58" s="239" t="s">
        <v>495</v>
      </c>
      <c r="F58" s="432" t="s">
        <v>329</v>
      </c>
      <c r="G58" s="432"/>
      <c r="H58" s="432"/>
      <c r="I58" s="432"/>
      <c r="J58" s="432"/>
      <c r="K58" s="432"/>
      <c r="L58" s="432"/>
      <c r="M58" s="446"/>
      <c r="N58" s="235"/>
      <c r="O58" s="74"/>
      <c r="P58" s="451"/>
      <c r="Q58" s="452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53" t="s">
        <v>182</v>
      </c>
      <c r="B59" s="454"/>
      <c r="C59" s="239" t="s">
        <v>220</v>
      </c>
      <c r="D59" s="236" t="s">
        <v>513</v>
      </c>
      <c r="E59" s="239" t="s">
        <v>515</v>
      </c>
      <c r="F59" s="432" t="s">
        <v>516</v>
      </c>
      <c r="G59" s="432"/>
      <c r="H59" s="432"/>
      <c r="I59" s="432"/>
      <c r="J59" s="432"/>
      <c r="K59" s="432"/>
      <c r="L59" s="432"/>
      <c r="M59" s="446"/>
      <c r="N59" s="235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44"/>
      <c r="B60" s="445"/>
      <c r="C60" s="236"/>
      <c r="D60" s="236"/>
      <c r="E60" s="236"/>
      <c r="F60" s="432"/>
      <c r="G60" s="432"/>
      <c r="H60" s="432"/>
      <c r="I60" s="432"/>
      <c r="J60" s="432"/>
      <c r="K60" s="432"/>
      <c r="L60" s="432"/>
      <c r="M60" s="446"/>
      <c r="N60" s="235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  <c r="AF60" s="94">
        <f>8*3000</f>
        <v>24000</v>
      </c>
    </row>
    <row r="61" spans="1:32" ht="27" customHeight="1" thickBot="1">
      <c r="A61" s="447"/>
      <c r="B61" s="448"/>
      <c r="C61" s="238"/>
      <c r="D61" s="238"/>
      <c r="E61" s="238"/>
      <c r="F61" s="449"/>
      <c r="G61" s="449"/>
      <c r="H61" s="449"/>
      <c r="I61" s="449"/>
      <c r="J61" s="449"/>
      <c r="K61" s="449"/>
      <c r="L61" s="449"/>
      <c r="M61" s="450"/>
      <c r="N61" s="237"/>
      <c r="O61" s="121"/>
      <c r="P61" s="448"/>
      <c r="Q61" s="448"/>
      <c r="R61" s="448"/>
      <c r="S61" s="448"/>
      <c r="T61" s="448"/>
      <c r="U61" s="448"/>
      <c r="V61" s="449"/>
      <c r="W61" s="449"/>
      <c r="X61" s="449"/>
      <c r="Y61" s="449"/>
      <c r="Z61" s="449"/>
      <c r="AA61" s="449"/>
      <c r="AB61" s="449"/>
      <c r="AC61" s="449"/>
      <c r="AD61" s="450"/>
      <c r="AF61" s="94">
        <f>16*3000</f>
        <v>48000</v>
      </c>
    </row>
    <row r="62" spans="1:32" ht="27.75" thickBot="1">
      <c r="A62" s="442" t="s">
        <v>517</v>
      </c>
      <c r="B62" s="442"/>
      <c r="C62" s="442"/>
      <c r="D62" s="442"/>
      <c r="E62" s="44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3" t="s">
        <v>118</v>
      </c>
      <c r="B63" s="439"/>
      <c r="C63" s="233" t="s">
        <v>2</v>
      </c>
      <c r="D63" s="233" t="s">
        <v>38</v>
      </c>
      <c r="E63" s="233" t="s">
        <v>3</v>
      </c>
      <c r="F63" s="439" t="s">
        <v>115</v>
      </c>
      <c r="G63" s="439"/>
      <c r="H63" s="439"/>
      <c r="I63" s="439"/>
      <c r="J63" s="439"/>
      <c r="K63" s="439" t="s">
        <v>40</v>
      </c>
      <c r="L63" s="439"/>
      <c r="M63" s="233" t="s">
        <v>41</v>
      </c>
      <c r="N63" s="439" t="s">
        <v>42</v>
      </c>
      <c r="O63" s="439"/>
      <c r="P63" s="436" t="s">
        <v>43</v>
      </c>
      <c r="Q63" s="438"/>
      <c r="R63" s="436" t="s">
        <v>44</v>
      </c>
      <c r="S63" s="437"/>
      <c r="T63" s="437"/>
      <c r="U63" s="437"/>
      <c r="V63" s="437"/>
      <c r="W63" s="437"/>
      <c r="X63" s="437"/>
      <c r="Y63" s="437"/>
      <c r="Z63" s="437"/>
      <c r="AA63" s="438"/>
      <c r="AB63" s="439" t="s">
        <v>45</v>
      </c>
      <c r="AC63" s="439"/>
      <c r="AD63" s="440"/>
      <c r="AF63" s="94">
        <f>SUM(AF60:AF62)</f>
        <v>96000</v>
      </c>
    </row>
    <row r="64" spans="1:32" ht="26.25" customHeight="1">
      <c r="A64" s="429">
        <v>1</v>
      </c>
      <c r="B64" s="430"/>
      <c r="C64" s="234"/>
      <c r="D64" s="229"/>
      <c r="E64" s="231"/>
      <c r="F64" s="421"/>
      <c r="G64" s="421"/>
      <c r="H64" s="421"/>
      <c r="I64" s="421"/>
      <c r="J64" s="421"/>
      <c r="K64" s="441"/>
      <c r="L64" s="441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2</v>
      </c>
      <c r="B65" s="430"/>
      <c r="C65" s="234"/>
      <c r="D65" s="229"/>
      <c r="E65" s="231"/>
      <c r="F65" s="421"/>
      <c r="G65" s="421"/>
      <c r="H65" s="421"/>
      <c r="I65" s="421"/>
      <c r="J65" s="421"/>
      <c r="K65" s="441"/>
      <c r="L65" s="441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6.25" customHeight="1">
      <c r="A66" s="429">
        <v>3</v>
      </c>
      <c r="B66" s="430"/>
      <c r="C66" s="234"/>
      <c r="D66" s="229"/>
      <c r="E66" s="231"/>
      <c r="F66" s="421"/>
      <c r="G66" s="421"/>
      <c r="H66" s="421"/>
      <c r="I66" s="421"/>
      <c r="J66" s="421"/>
      <c r="K66" s="433"/>
      <c r="L66" s="434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4</v>
      </c>
      <c r="B67" s="430"/>
      <c r="C67" s="234"/>
      <c r="D67" s="229"/>
      <c r="E67" s="231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5</v>
      </c>
      <c r="B68" s="430"/>
      <c r="C68" s="234"/>
      <c r="D68" s="229"/>
      <c r="E68" s="231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6</v>
      </c>
      <c r="B69" s="430"/>
      <c r="C69" s="234"/>
      <c r="D69" s="229"/>
      <c r="E69" s="231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7</v>
      </c>
      <c r="B70" s="430"/>
      <c r="C70" s="234"/>
      <c r="D70" s="229"/>
      <c r="E70" s="231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>
      <c r="A71" s="429">
        <v>8</v>
      </c>
      <c r="B71" s="430"/>
      <c r="C71" s="234"/>
      <c r="D71" s="229"/>
      <c r="E71" s="231"/>
      <c r="F71" s="421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26.25" customHeight="1" thickBot="1">
      <c r="A72" s="400" t="s">
        <v>518</v>
      </c>
      <c r="B72" s="400"/>
      <c r="C72" s="400"/>
      <c r="D72" s="400"/>
      <c r="E72" s="40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3" t="s">
        <v>118</v>
      </c>
      <c r="B73" s="424"/>
      <c r="C73" s="232" t="s">
        <v>2</v>
      </c>
      <c r="D73" s="232" t="s">
        <v>38</v>
      </c>
      <c r="E73" s="232" t="s">
        <v>3</v>
      </c>
      <c r="F73" s="424" t="s">
        <v>39</v>
      </c>
      <c r="G73" s="424"/>
      <c r="H73" s="424"/>
      <c r="I73" s="424"/>
      <c r="J73" s="424"/>
      <c r="K73" s="425" t="s">
        <v>60</v>
      </c>
      <c r="L73" s="426"/>
      <c r="M73" s="426"/>
      <c r="N73" s="426"/>
      <c r="O73" s="426"/>
      <c r="P73" s="426"/>
      <c r="Q73" s="426"/>
      <c r="R73" s="426"/>
      <c r="S73" s="427"/>
      <c r="T73" s="424" t="s">
        <v>50</v>
      </c>
      <c r="U73" s="424"/>
      <c r="V73" s="425" t="s">
        <v>51</v>
      </c>
      <c r="W73" s="427"/>
      <c r="X73" s="426" t="s">
        <v>52</v>
      </c>
      <c r="Y73" s="426"/>
      <c r="Z73" s="426"/>
      <c r="AA73" s="426"/>
      <c r="AB73" s="426"/>
      <c r="AC73" s="426"/>
      <c r="AD73" s="428"/>
      <c r="AF73" s="53"/>
    </row>
    <row r="74" spans="1:32" ht="33.75" customHeight="1">
      <c r="A74" s="408">
        <v>1</v>
      </c>
      <c r="B74" s="409"/>
      <c r="C74" s="230" t="s">
        <v>62</v>
      </c>
      <c r="D74" s="230"/>
      <c r="E74" s="71" t="s">
        <v>58</v>
      </c>
      <c r="F74" s="410" t="s">
        <v>63</v>
      </c>
      <c r="G74" s="411"/>
      <c r="H74" s="411"/>
      <c r="I74" s="411"/>
      <c r="J74" s="412"/>
      <c r="K74" s="413" t="s">
        <v>61</v>
      </c>
      <c r="L74" s="414"/>
      <c r="M74" s="414"/>
      <c r="N74" s="414"/>
      <c r="O74" s="414"/>
      <c r="P74" s="414"/>
      <c r="Q74" s="414"/>
      <c r="R74" s="414"/>
      <c r="S74" s="415"/>
      <c r="T74" s="416">
        <v>41791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92">
        <f>A74+1</f>
        <v>2</v>
      </c>
      <c r="B75" s="393"/>
      <c r="C75" s="229" t="s">
        <v>129</v>
      </c>
      <c r="D75" s="229"/>
      <c r="E75" s="35" t="s">
        <v>121</v>
      </c>
      <c r="F75" s="393" t="s">
        <v>138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42779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ref="A76:A82" si="21">A75+1</f>
        <v>3</v>
      </c>
      <c r="B76" s="393"/>
      <c r="C76" s="229" t="s">
        <v>62</v>
      </c>
      <c r="D76" s="229"/>
      <c r="E76" s="35" t="s">
        <v>121</v>
      </c>
      <c r="F76" s="393" t="s">
        <v>125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21"/>
        <v>4</v>
      </c>
      <c r="B77" s="393"/>
      <c r="C77" s="229" t="s">
        <v>62</v>
      </c>
      <c r="D77" s="229"/>
      <c r="E77" s="35" t="s">
        <v>121</v>
      </c>
      <c r="F77" s="393" t="s">
        <v>124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21"/>
        <v>5</v>
      </c>
      <c r="B78" s="393"/>
      <c r="C78" s="229" t="s">
        <v>62</v>
      </c>
      <c r="D78" s="229"/>
      <c r="E78" s="35" t="s">
        <v>58</v>
      </c>
      <c r="F78" s="393" t="s">
        <v>126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21"/>
        <v>6</v>
      </c>
      <c r="B79" s="393"/>
      <c r="C79" s="229" t="s">
        <v>129</v>
      </c>
      <c r="D79" s="229"/>
      <c r="E79" s="35" t="s">
        <v>175</v>
      </c>
      <c r="F79" s="393" t="s">
        <v>483</v>
      </c>
      <c r="G79" s="393"/>
      <c r="H79" s="393"/>
      <c r="I79" s="393"/>
      <c r="J79" s="393"/>
      <c r="K79" s="402" t="s">
        <v>128</v>
      </c>
      <c r="L79" s="403"/>
      <c r="M79" s="403"/>
      <c r="N79" s="403"/>
      <c r="O79" s="403"/>
      <c r="P79" s="403"/>
      <c r="Q79" s="403"/>
      <c r="R79" s="403"/>
      <c r="S79" s="404"/>
      <c r="T79" s="405">
        <v>42803</v>
      </c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21"/>
        <v>7</v>
      </c>
      <c r="B80" s="393"/>
      <c r="C80" s="229"/>
      <c r="D80" s="229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21"/>
        <v>8</v>
      </c>
      <c r="B81" s="393"/>
      <c r="C81" s="229"/>
      <c r="D81" s="229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21"/>
        <v>9</v>
      </c>
      <c r="B82" s="393"/>
      <c r="C82" s="229"/>
      <c r="D82" s="229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6" thickBot="1">
      <c r="A83" s="400" t="s">
        <v>519</v>
      </c>
      <c r="B83" s="400"/>
      <c r="C83" s="400"/>
      <c r="D83" s="400"/>
      <c r="E83" s="40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1" t="s">
        <v>37</v>
      </c>
      <c r="B84" s="396"/>
      <c r="C84" s="396" t="s">
        <v>53</v>
      </c>
      <c r="D84" s="396"/>
      <c r="E84" s="396" t="s">
        <v>54</v>
      </c>
      <c r="F84" s="396"/>
      <c r="G84" s="396"/>
      <c r="H84" s="396"/>
      <c r="I84" s="396"/>
      <c r="J84" s="396"/>
      <c r="K84" s="396" t="s">
        <v>55</v>
      </c>
      <c r="L84" s="396"/>
      <c r="M84" s="396"/>
      <c r="N84" s="396"/>
      <c r="O84" s="396"/>
      <c r="P84" s="396"/>
      <c r="Q84" s="396"/>
      <c r="R84" s="396"/>
      <c r="S84" s="396"/>
      <c r="T84" s="396" t="s">
        <v>56</v>
      </c>
      <c r="U84" s="396"/>
      <c r="V84" s="396" t="s">
        <v>57</v>
      </c>
      <c r="W84" s="396"/>
      <c r="X84" s="396"/>
      <c r="Y84" s="396" t="s">
        <v>52</v>
      </c>
      <c r="Z84" s="396"/>
      <c r="AA84" s="396"/>
      <c r="AB84" s="396"/>
      <c r="AC84" s="396"/>
      <c r="AD84" s="397"/>
      <c r="AF84" s="53"/>
    </row>
    <row r="85" spans="1:32" ht="30.75" customHeight="1">
      <c r="A85" s="398">
        <v>1</v>
      </c>
      <c r="B85" s="399"/>
      <c r="C85" s="394">
        <v>1</v>
      </c>
      <c r="D85" s="394"/>
      <c r="E85" s="394" t="s">
        <v>485</v>
      </c>
      <c r="F85" s="394"/>
      <c r="G85" s="394"/>
      <c r="H85" s="394"/>
      <c r="I85" s="394"/>
      <c r="J85" s="394"/>
      <c r="K85" s="394" t="s">
        <v>520</v>
      </c>
      <c r="L85" s="394"/>
      <c r="M85" s="394"/>
      <c r="N85" s="394"/>
      <c r="O85" s="394"/>
      <c r="P85" s="394"/>
      <c r="Q85" s="394"/>
      <c r="R85" s="394"/>
      <c r="S85" s="394"/>
      <c r="T85" s="394" t="s">
        <v>486</v>
      </c>
      <c r="U85" s="394"/>
      <c r="V85" s="395">
        <v>0</v>
      </c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>
      <c r="A86" s="392">
        <v>2</v>
      </c>
      <c r="B86" s="393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5"/>
      <c r="W86" s="395"/>
      <c r="X86" s="395"/>
      <c r="Y86" s="386"/>
      <c r="Z86" s="386"/>
      <c r="AA86" s="386"/>
      <c r="AB86" s="386"/>
      <c r="AC86" s="386"/>
      <c r="AD86" s="387"/>
      <c r="AF86" s="53"/>
    </row>
    <row r="87" spans="1:32" ht="30.75" customHeight="1" thickBot="1">
      <c r="A87" s="388">
        <v>3</v>
      </c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89"/>
      <c r="S87" s="389"/>
      <c r="T87" s="389"/>
      <c r="U87" s="389"/>
      <c r="V87" s="389"/>
      <c r="W87" s="389"/>
      <c r="X87" s="389"/>
      <c r="Y87" s="390"/>
      <c r="Z87" s="390"/>
      <c r="AA87" s="390"/>
      <c r="AB87" s="390"/>
      <c r="AC87" s="390"/>
      <c r="AD87" s="39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Y85" sqref="Y85:AD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521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42" t="s">
        <v>17</v>
      </c>
      <c r="L5" s="242" t="s">
        <v>18</v>
      </c>
      <c r="M5" s="242" t="s">
        <v>19</v>
      </c>
      <c r="N5" s="24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>$AD$21</f>
        <v>0.48417465474667282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4750</v>
      </c>
      <c r="K7" s="15">
        <f>L7+2454+5092+5124+5082+1904+1592</f>
        <v>25993</v>
      </c>
      <c r="L7" s="15">
        <f>2901+1844</f>
        <v>4745</v>
      </c>
      <c r="M7" s="16">
        <f t="shared" ref="M7" si="8">L7-N7</f>
        <v>4745</v>
      </c>
      <c r="N7" s="16">
        <v>0</v>
      </c>
      <c r="O7" s="62">
        <f t="shared" ref="O7" si="9">IF(L7=0,"0",N7/L7)</f>
        <v>0</v>
      </c>
      <c r="P7" s="42">
        <f t="shared" ref="P7" si="10">IF(L7=0,"0",(24-Q7))</f>
        <v>23</v>
      </c>
      <c r="Q7" s="43">
        <f t="shared" ref="Q7" si="11">SUM(R7:AA7)</f>
        <v>1</v>
      </c>
      <c r="R7" s="7"/>
      <c r="S7" s="6"/>
      <c r="T7" s="17">
        <v>1</v>
      </c>
      <c r="U7" s="17"/>
      <c r="V7" s="18"/>
      <c r="W7" s="19"/>
      <c r="X7" s="17"/>
      <c r="Y7" s="20"/>
      <c r="Z7" s="20"/>
      <c r="AA7" s="21"/>
      <c r="AB7" s="8">
        <f t="shared" ref="AB7" si="12">IF(J7=0,"0",(L7/J7))</f>
        <v>0.99894736842105258</v>
      </c>
      <c r="AC7" s="9">
        <f t="shared" ref="AC7" si="13">IF(P7=0,"0",(P7/24))</f>
        <v>0.95833333333333337</v>
      </c>
      <c r="AD7" s="10">
        <f t="shared" ref="AD7" si="14">AC7*AB7*(1-O7)</f>
        <v>0.95732456140350874</v>
      </c>
      <c r="AE7" s="39">
        <f>$AD$21</f>
        <v>0.48417465474667282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4270</v>
      </c>
      <c r="K8" s="15">
        <f>L8+4409+3630+4007+4889+4777+4548+4820+1965</f>
        <v>37312</v>
      </c>
      <c r="L8" s="15">
        <f>2533+1734</f>
        <v>4267</v>
      </c>
      <c r="M8" s="16">
        <f t="shared" si="0"/>
        <v>4267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0.9992974238875878</v>
      </c>
      <c r="AC8" s="9">
        <f t="shared" si="5"/>
        <v>1</v>
      </c>
      <c r="AD8" s="10">
        <f t="shared" si="6"/>
        <v>0.9992974238875878</v>
      </c>
      <c r="AE8" s="39">
        <f>$AD$21</f>
        <v>0.48417465474667282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450</v>
      </c>
      <c r="E9" s="57" t="s">
        <v>451</v>
      </c>
      <c r="F9" s="12" t="s">
        <v>452</v>
      </c>
      <c r="G9" s="12">
        <v>1</v>
      </c>
      <c r="H9" s="13">
        <v>25</v>
      </c>
      <c r="I9" s="34">
        <v>5000</v>
      </c>
      <c r="J9" s="5">
        <v>2790</v>
      </c>
      <c r="K9" s="15">
        <f>L9+1522+928</f>
        <v>5239</v>
      </c>
      <c r="L9" s="15">
        <f>1099+1690</f>
        <v>2789</v>
      </c>
      <c r="M9" s="16">
        <f t="shared" si="0"/>
        <v>2789</v>
      </c>
      <c r="N9" s="16">
        <v>0</v>
      </c>
      <c r="O9" s="62">
        <f t="shared" si="1"/>
        <v>0</v>
      </c>
      <c r="P9" s="42">
        <f t="shared" si="2"/>
        <v>14</v>
      </c>
      <c r="Q9" s="43">
        <f t="shared" si="3"/>
        <v>10</v>
      </c>
      <c r="R9" s="7"/>
      <c r="S9" s="6">
        <v>10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0.99964157706093193</v>
      </c>
      <c r="AC9" s="9">
        <f t="shared" si="5"/>
        <v>0.58333333333333337</v>
      </c>
      <c r="AD9" s="10">
        <f t="shared" si="6"/>
        <v>0.58312425328554363</v>
      </c>
      <c r="AE9" s="39">
        <f t="shared" ref="AE9" si="15">$AD$21</f>
        <v>0.48417465474667282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129</v>
      </c>
      <c r="D10" s="55" t="s">
        <v>522</v>
      </c>
      <c r="E10" s="57" t="s">
        <v>523</v>
      </c>
      <c r="F10" s="12" t="s">
        <v>524</v>
      </c>
      <c r="G10" s="12">
        <v>1</v>
      </c>
      <c r="H10" s="13">
        <v>25</v>
      </c>
      <c r="I10" s="34">
        <v>5000</v>
      </c>
      <c r="J10" s="5">
        <v>5550</v>
      </c>
      <c r="K10" s="15">
        <f>L10</f>
        <v>5546</v>
      </c>
      <c r="L10" s="15">
        <f>2311+3235</f>
        <v>5546</v>
      </c>
      <c r="M10" s="16">
        <f t="shared" si="0"/>
        <v>5546</v>
      </c>
      <c r="N10" s="16">
        <v>0</v>
      </c>
      <c r="O10" s="62">
        <f t="shared" si="1"/>
        <v>0</v>
      </c>
      <c r="P10" s="42">
        <f t="shared" si="2"/>
        <v>23</v>
      </c>
      <c r="Q10" s="43">
        <f t="shared" si="3"/>
        <v>1</v>
      </c>
      <c r="R10" s="7"/>
      <c r="S10" s="6"/>
      <c r="T10" s="17">
        <v>1</v>
      </c>
      <c r="U10" s="17"/>
      <c r="V10" s="18"/>
      <c r="W10" s="19"/>
      <c r="X10" s="17"/>
      <c r="Y10" s="20"/>
      <c r="Z10" s="20"/>
      <c r="AA10" s="21"/>
      <c r="AB10" s="8">
        <f t="shared" si="4"/>
        <v>0.99927927927927929</v>
      </c>
      <c r="AC10" s="9">
        <f t="shared" si="5"/>
        <v>0.95833333333333337</v>
      </c>
      <c r="AD10" s="10">
        <f t="shared" si="6"/>
        <v>0.95764264264264265</v>
      </c>
      <c r="AE10" s="39">
        <f>$AD$21</f>
        <v>0.48417465474667282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167</v>
      </c>
      <c r="D11" s="55" t="s">
        <v>412</v>
      </c>
      <c r="E11" s="57" t="s">
        <v>525</v>
      </c>
      <c r="F11" s="12" t="s">
        <v>414</v>
      </c>
      <c r="G11" s="12">
        <v>1</v>
      </c>
      <c r="H11" s="13">
        <v>25</v>
      </c>
      <c r="I11" s="34">
        <v>300</v>
      </c>
      <c r="J11" s="14">
        <v>361</v>
      </c>
      <c r="K11" s="15">
        <f>L11</f>
        <v>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$AD$21</f>
        <v>0.48417465474667282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323</v>
      </c>
      <c r="E12" s="57" t="s">
        <v>489</v>
      </c>
      <c r="F12" s="12" t="s">
        <v>134</v>
      </c>
      <c r="G12" s="12">
        <v>1</v>
      </c>
      <c r="H12" s="13">
        <v>25</v>
      </c>
      <c r="I12" s="34">
        <v>1050</v>
      </c>
      <c r="J12" s="5">
        <v>1240</v>
      </c>
      <c r="K12" s="15">
        <f>L12+1236</f>
        <v>1236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>$AD$21</f>
        <v>0.48417465474667282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134</v>
      </c>
      <c r="G13" s="12">
        <v>1</v>
      </c>
      <c r="H13" s="13">
        <v>25</v>
      </c>
      <c r="I13" s="7">
        <v>42000</v>
      </c>
      <c r="J13" s="14">
        <v>4600</v>
      </c>
      <c r="K13" s="15">
        <f>L13+2452+3389+4558+2185+3734+1821+2940+2659+4787</f>
        <v>33121</v>
      </c>
      <c r="L13" s="15">
        <f>2286+2310</f>
        <v>4596</v>
      </c>
      <c r="M13" s="16">
        <f t="shared" si="0"/>
        <v>4596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0.99913043478260866</v>
      </c>
      <c r="AC13" s="9">
        <f t="shared" si="5"/>
        <v>1</v>
      </c>
      <c r="AD13" s="10">
        <f t="shared" si="6"/>
        <v>0.99913043478260866</v>
      </c>
      <c r="AE13" s="39">
        <f>$AD$21</f>
        <v>0.48417465474667282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183</v>
      </c>
      <c r="E14" s="57" t="s">
        <v>335</v>
      </c>
      <c r="F14" s="33" t="s">
        <v>336</v>
      </c>
      <c r="G14" s="36">
        <v>1</v>
      </c>
      <c r="H14" s="38">
        <v>55</v>
      </c>
      <c r="I14" s="7">
        <v>200</v>
      </c>
      <c r="J14" s="5">
        <v>500</v>
      </c>
      <c r="K14" s="15">
        <f>L14</f>
        <v>390</v>
      </c>
      <c r="L14" s="15">
        <v>390</v>
      </c>
      <c r="M14" s="16">
        <f t="shared" si="0"/>
        <v>390</v>
      </c>
      <c r="N14" s="16">
        <v>0</v>
      </c>
      <c r="O14" s="62">
        <f t="shared" si="1"/>
        <v>0</v>
      </c>
      <c r="P14" s="42">
        <f t="shared" si="2"/>
        <v>7</v>
      </c>
      <c r="Q14" s="43">
        <f t="shared" si="3"/>
        <v>17</v>
      </c>
      <c r="R14" s="7"/>
      <c r="S14" s="6">
        <v>17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0.78</v>
      </c>
      <c r="AC14" s="9">
        <f t="shared" si="5"/>
        <v>0.29166666666666669</v>
      </c>
      <c r="AD14" s="10">
        <f t="shared" si="6"/>
        <v>0.22750000000000004</v>
      </c>
      <c r="AE14" s="39">
        <f t="shared" ref="AE14:AE19" si="16">$AD$21</f>
        <v>0.48417465474667282</v>
      </c>
      <c r="AF14" s="94">
        <f t="shared" si="7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10920</v>
      </c>
      <c r="K15" s="15">
        <f>L15+7200+15894+15894+10920</f>
        <v>49908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16"/>
        <v>0.48417465474667282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301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3900</v>
      </c>
      <c r="K16" s="15">
        <f>L16+5278+5817+5149+4230+5807+5845</f>
        <v>36025</v>
      </c>
      <c r="L16" s="15">
        <f>2938+961</f>
        <v>3899</v>
      </c>
      <c r="M16" s="16">
        <f t="shared" si="0"/>
        <v>3899</v>
      </c>
      <c r="N16" s="16">
        <v>0</v>
      </c>
      <c r="O16" s="62">
        <f t="shared" si="1"/>
        <v>0</v>
      </c>
      <c r="P16" s="42">
        <f t="shared" si="2"/>
        <v>18</v>
      </c>
      <c r="Q16" s="43">
        <f t="shared" si="3"/>
        <v>6</v>
      </c>
      <c r="R16" s="7"/>
      <c r="S16" s="6">
        <v>6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0.99974358974358979</v>
      </c>
      <c r="AC16" s="9">
        <f t="shared" si="5"/>
        <v>0.75</v>
      </c>
      <c r="AD16" s="10">
        <f t="shared" si="6"/>
        <v>0.7498076923076924</v>
      </c>
      <c r="AE16" s="39">
        <f t="shared" si="16"/>
        <v>0.48417465474667282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493</v>
      </c>
      <c r="D17" s="55" t="s">
        <v>494</v>
      </c>
      <c r="E17" s="56" t="s">
        <v>495</v>
      </c>
      <c r="F17" s="12">
        <v>8301</v>
      </c>
      <c r="G17" s="12">
        <v>1</v>
      </c>
      <c r="H17" s="13">
        <v>25</v>
      </c>
      <c r="I17" s="34">
        <v>1000</v>
      </c>
      <c r="J17" s="5">
        <v>2400</v>
      </c>
      <c r="K17" s="15">
        <f>L17+2394</f>
        <v>2394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16"/>
        <v>0.48417465474667282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22000</v>
      </c>
      <c r="J18" s="5">
        <v>5350</v>
      </c>
      <c r="K18" s="15">
        <f>L18+2776+4960+2945+3734+5158+5100+959+4812+5309+3682</f>
        <v>44778</v>
      </c>
      <c r="L18" s="15">
        <f>2747+2596</f>
        <v>5343</v>
      </c>
      <c r="M18" s="16">
        <f t="shared" si="0"/>
        <v>5343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0.99869158878504671</v>
      </c>
      <c r="AC18" s="9">
        <f t="shared" si="5"/>
        <v>1</v>
      </c>
      <c r="AD18" s="10">
        <f t="shared" si="6"/>
        <v>0.99869158878504671</v>
      </c>
      <c r="AE18" s="39">
        <f t="shared" si="16"/>
        <v>0.48417465474667282</v>
      </c>
      <c r="AF18" s="94">
        <f t="shared" si="7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3540</v>
      </c>
      <c r="K19" s="15">
        <f>L19+3360+3759+4940+3946+4510+3949</f>
        <v>27997</v>
      </c>
      <c r="L19" s="15">
        <f>1105+2428</f>
        <v>3533</v>
      </c>
      <c r="M19" s="16">
        <f t="shared" si="0"/>
        <v>3533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0.99802259887005651</v>
      </c>
      <c r="AC19" s="9">
        <f t="shared" si="5"/>
        <v>0.79166666666666663</v>
      </c>
      <c r="AD19" s="10">
        <f t="shared" si="6"/>
        <v>0.79010122410546135</v>
      </c>
      <c r="AE19" s="39">
        <f t="shared" si="16"/>
        <v>0.48417465474667282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ref="AE20" si="17">$AD$21</f>
        <v>0.48417465474667282</v>
      </c>
      <c r="AF20" s="94">
        <f t="shared" si="7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8">SUM(I6:I20)</f>
        <v>540550</v>
      </c>
      <c r="J21" s="22">
        <f t="shared" si="18"/>
        <v>87541</v>
      </c>
      <c r="K21" s="23">
        <f t="shared" si="18"/>
        <v>736403</v>
      </c>
      <c r="L21" s="24">
        <f t="shared" si="18"/>
        <v>35108</v>
      </c>
      <c r="M21" s="23">
        <f t="shared" si="18"/>
        <v>35108</v>
      </c>
      <c r="N21" s="24">
        <f t="shared" si="18"/>
        <v>0</v>
      </c>
      <c r="O21" s="44">
        <f t="shared" si="1"/>
        <v>0</v>
      </c>
      <c r="P21" s="45">
        <f t="shared" ref="P21:AA21" si="19">SUM(P6:P20)</f>
        <v>176</v>
      </c>
      <c r="Q21" s="46">
        <f t="shared" si="19"/>
        <v>184</v>
      </c>
      <c r="R21" s="26">
        <f t="shared" si="19"/>
        <v>24</v>
      </c>
      <c r="S21" s="27">
        <f t="shared" si="19"/>
        <v>86</v>
      </c>
      <c r="T21" s="27">
        <f t="shared" si="19"/>
        <v>2</v>
      </c>
      <c r="U21" s="27">
        <f t="shared" si="19"/>
        <v>0</v>
      </c>
      <c r="V21" s="28">
        <f t="shared" si="19"/>
        <v>0</v>
      </c>
      <c r="W21" s="29">
        <f t="shared" si="19"/>
        <v>48</v>
      </c>
      <c r="X21" s="30">
        <f t="shared" si="19"/>
        <v>0</v>
      </c>
      <c r="Y21" s="30">
        <f t="shared" si="19"/>
        <v>0</v>
      </c>
      <c r="Z21" s="30">
        <f t="shared" si="19"/>
        <v>0</v>
      </c>
      <c r="AA21" s="30">
        <f t="shared" si="19"/>
        <v>24</v>
      </c>
      <c r="AB21" s="31">
        <f>SUM(AB6:AB20)/15</f>
        <v>0.58485025738867691</v>
      </c>
      <c r="AC21" s="4">
        <f>SUM(AC6:AC20)/15</f>
        <v>0.48888888888888893</v>
      </c>
      <c r="AD21" s="4">
        <f>SUM(AD6:AD20)/15</f>
        <v>0.48417465474667282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526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545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243" t="s">
        <v>47</v>
      </c>
      <c r="D50" s="243" t="s">
        <v>48</v>
      </c>
      <c r="E50" s="243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243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44" t="s">
        <v>167</v>
      </c>
      <c r="B51" s="445"/>
      <c r="C51" s="245" t="s">
        <v>168</v>
      </c>
      <c r="D51" s="245" t="s">
        <v>58</v>
      </c>
      <c r="E51" s="244" t="s">
        <v>141</v>
      </c>
      <c r="F51" s="432" t="s">
        <v>527</v>
      </c>
      <c r="G51" s="432"/>
      <c r="H51" s="432"/>
      <c r="I51" s="432"/>
      <c r="J51" s="432"/>
      <c r="K51" s="432"/>
      <c r="L51" s="432"/>
      <c r="M51" s="446"/>
      <c r="N51" s="246" t="s">
        <v>500</v>
      </c>
      <c r="O51" s="74" t="s">
        <v>223</v>
      </c>
      <c r="P51" s="451" t="s">
        <v>494</v>
      </c>
      <c r="Q51" s="452"/>
      <c r="R51" s="445" t="s">
        <v>512</v>
      </c>
      <c r="S51" s="445"/>
      <c r="T51" s="445"/>
      <c r="U51" s="445"/>
      <c r="V51" s="432" t="s">
        <v>527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129</v>
      </c>
      <c r="B52" s="445"/>
      <c r="C52" s="245" t="s">
        <v>528</v>
      </c>
      <c r="D52" s="245" t="s">
        <v>456</v>
      </c>
      <c r="E52" s="244" t="s">
        <v>457</v>
      </c>
      <c r="F52" s="432" t="s">
        <v>529</v>
      </c>
      <c r="G52" s="432"/>
      <c r="H52" s="432"/>
      <c r="I52" s="432"/>
      <c r="J52" s="432"/>
      <c r="K52" s="432"/>
      <c r="L52" s="432"/>
      <c r="M52" s="446"/>
      <c r="N52" s="246" t="s">
        <v>546</v>
      </c>
      <c r="O52" s="74" t="s">
        <v>534</v>
      </c>
      <c r="P52" s="451" t="s">
        <v>535</v>
      </c>
      <c r="Q52" s="452"/>
      <c r="R52" s="445" t="s">
        <v>525</v>
      </c>
      <c r="S52" s="445"/>
      <c r="T52" s="445"/>
      <c r="U52" s="445"/>
      <c r="V52" s="432" t="s">
        <v>547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129</v>
      </c>
      <c r="B53" s="445"/>
      <c r="C53" s="245" t="s">
        <v>459</v>
      </c>
      <c r="D53" s="245" t="s">
        <v>450</v>
      </c>
      <c r="E53" s="244" t="s">
        <v>451</v>
      </c>
      <c r="F53" s="432" t="s">
        <v>499</v>
      </c>
      <c r="G53" s="432"/>
      <c r="H53" s="432"/>
      <c r="I53" s="432"/>
      <c r="J53" s="432"/>
      <c r="K53" s="432"/>
      <c r="L53" s="432"/>
      <c r="M53" s="446"/>
      <c r="N53" s="246"/>
      <c r="O53" s="74"/>
      <c r="P53" s="451"/>
      <c r="Q53" s="452"/>
      <c r="R53" s="445"/>
      <c r="S53" s="445"/>
      <c r="T53" s="445"/>
      <c r="U53" s="445"/>
      <c r="V53" s="432"/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182</v>
      </c>
      <c r="B54" s="454"/>
      <c r="C54" s="244" t="s">
        <v>220</v>
      </c>
      <c r="D54" s="245" t="s">
        <v>513</v>
      </c>
      <c r="E54" s="244" t="s">
        <v>515</v>
      </c>
      <c r="F54" s="432" t="s">
        <v>527</v>
      </c>
      <c r="G54" s="432"/>
      <c r="H54" s="432"/>
      <c r="I54" s="432"/>
      <c r="J54" s="432"/>
      <c r="K54" s="432"/>
      <c r="L54" s="432"/>
      <c r="M54" s="446"/>
      <c r="N54" s="246"/>
      <c r="O54" s="74"/>
      <c r="P54" s="451"/>
      <c r="Q54" s="452"/>
      <c r="R54" s="445"/>
      <c r="S54" s="445"/>
      <c r="T54" s="445"/>
      <c r="U54" s="445"/>
      <c r="V54" s="432"/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182</v>
      </c>
      <c r="B55" s="454"/>
      <c r="C55" s="244" t="s">
        <v>531</v>
      </c>
      <c r="D55" s="245" t="s">
        <v>522</v>
      </c>
      <c r="E55" s="245" t="s">
        <v>530</v>
      </c>
      <c r="F55" s="432" t="s">
        <v>532</v>
      </c>
      <c r="G55" s="432"/>
      <c r="H55" s="432"/>
      <c r="I55" s="432"/>
      <c r="J55" s="432"/>
      <c r="K55" s="432"/>
      <c r="L55" s="432"/>
      <c r="M55" s="446"/>
      <c r="N55" s="246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 t="s">
        <v>182</v>
      </c>
      <c r="B56" s="445"/>
      <c r="C56" s="245" t="s">
        <v>534</v>
      </c>
      <c r="D56" s="245" t="s">
        <v>535</v>
      </c>
      <c r="E56" s="244" t="s">
        <v>533</v>
      </c>
      <c r="F56" s="432" t="s">
        <v>536</v>
      </c>
      <c r="G56" s="432"/>
      <c r="H56" s="432"/>
      <c r="I56" s="432"/>
      <c r="J56" s="432"/>
      <c r="K56" s="432"/>
      <c r="L56" s="432"/>
      <c r="M56" s="446"/>
      <c r="N56" s="246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538</v>
      </c>
      <c r="B57" s="445"/>
      <c r="C57" s="245" t="s">
        <v>539</v>
      </c>
      <c r="D57" s="245" t="s">
        <v>540</v>
      </c>
      <c r="E57" s="244" t="s">
        <v>537</v>
      </c>
      <c r="F57" s="432" t="s">
        <v>541</v>
      </c>
      <c r="G57" s="432"/>
      <c r="H57" s="432"/>
      <c r="I57" s="432"/>
      <c r="J57" s="432"/>
      <c r="K57" s="432"/>
      <c r="L57" s="432"/>
      <c r="M57" s="446"/>
      <c r="N57" s="246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 t="s">
        <v>182</v>
      </c>
      <c r="B58" s="454"/>
      <c r="C58" s="244" t="s">
        <v>542</v>
      </c>
      <c r="D58" s="245" t="s">
        <v>522</v>
      </c>
      <c r="E58" s="244" t="s">
        <v>543</v>
      </c>
      <c r="F58" s="432" t="s">
        <v>544</v>
      </c>
      <c r="G58" s="432"/>
      <c r="H58" s="432"/>
      <c r="I58" s="432"/>
      <c r="J58" s="432"/>
      <c r="K58" s="432"/>
      <c r="L58" s="432"/>
      <c r="M58" s="446"/>
      <c r="N58" s="246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245"/>
      <c r="D59" s="245"/>
      <c r="E59" s="245"/>
      <c r="F59" s="432"/>
      <c r="G59" s="432"/>
      <c r="H59" s="432"/>
      <c r="I59" s="432"/>
      <c r="J59" s="432"/>
      <c r="K59" s="432"/>
      <c r="L59" s="432"/>
      <c r="M59" s="446"/>
      <c r="N59" s="246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248"/>
      <c r="D60" s="248"/>
      <c r="E60" s="248"/>
      <c r="F60" s="449"/>
      <c r="G60" s="449"/>
      <c r="H60" s="449"/>
      <c r="I60" s="449"/>
      <c r="J60" s="449"/>
      <c r="K60" s="449"/>
      <c r="L60" s="449"/>
      <c r="M60" s="450"/>
      <c r="N60" s="247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548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249" t="s">
        <v>2</v>
      </c>
      <c r="D62" s="249" t="s">
        <v>38</v>
      </c>
      <c r="E62" s="249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249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251" t="s">
        <v>538</v>
      </c>
      <c r="D63" s="253"/>
      <c r="E63" s="250" t="s">
        <v>549</v>
      </c>
      <c r="F63" s="421" t="s">
        <v>550</v>
      </c>
      <c r="G63" s="421"/>
      <c r="H63" s="421"/>
      <c r="I63" s="421"/>
      <c r="J63" s="421"/>
      <c r="K63" s="441" t="s">
        <v>551</v>
      </c>
      <c r="L63" s="441"/>
      <c r="M63" s="54" t="s">
        <v>552</v>
      </c>
      <c r="N63" s="421">
        <v>7</v>
      </c>
      <c r="O63" s="421"/>
      <c r="P63" s="431">
        <v>50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251" t="s">
        <v>553</v>
      </c>
      <c r="D64" s="253"/>
      <c r="E64" s="250"/>
      <c r="F64" s="496" t="s">
        <v>554</v>
      </c>
      <c r="G64" s="421"/>
      <c r="H64" s="421"/>
      <c r="I64" s="421"/>
      <c r="J64" s="421"/>
      <c r="K64" s="441" t="s">
        <v>555</v>
      </c>
      <c r="L64" s="441"/>
      <c r="M64" s="54" t="s">
        <v>556</v>
      </c>
      <c r="N64" s="421">
        <v>7</v>
      </c>
      <c r="O64" s="421"/>
      <c r="P64" s="431">
        <v>50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251" t="s">
        <v>558</v>
      </c>
      <c r="D65" s="253"/>
      <c r="E65" s="250"/>
      <c r="F65" s="496" t="s">
        <v>557</v>
      </c>
      <c r="G65" s="421"/>
      <c r="H65" s="421"/>
      <c r="I65" s="421"/>
      <c r="J65" s="421"/>
      <c r="K65" s="441" t="s">
        <v>555</v>
      </c>
      <c r="L65" s="441"/>
      <c r="M65" s="54" t="s">
        <v>556</v>
      </c>
      <c r="N65" s="421">
        <v>7</v>
      </c>
      <c r="O65" s="421"/>
      <c r="P65" s="431">
        <v>50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251"/>
      <c r="D66" s="253"/>
      <c r="E66" s="250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251"/>
      <c r="D67" s="253"/>
      <c r="E67" s="250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6</v>
      </c>
      <c r="B68" s="430"/>
      <c r="C68" s="251"/>
      <c r="D68" s="253"/>
      <c r="E68" s="250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7</v>
      </c>
      <c r="B69" s="430"/>
      <c r="C69" s="251"/>
      <c r="D69" s="253"/>
      <c r="E69" s="250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8</v>
      </c>
      <c r="B70" s="430"/>
      <c r="C70" s="251"/>
      <c r="D70" s="253"/>
      <c r="E70" s="250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559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252" t="s">
        <v>2</v>
      </c>
      <c r="D72" s="252" t="s">
        <v>38</v>
      </c>
      <c r="E72" s="252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254" t="s">
        <v>62</v>
      </c>
      <c r="D73" s="254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253" t="s">
        <v>129</v>
      </c>
      <c r="D74" s="253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20">A74+1</f>
        <v>3</v>
      </c>
      <c r="B75" s="393"/>
      <c r="C75" s="253" t="s">
        <v>62</v>
      </c>
      <c r="D75" s="253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20"/>
        <v>4</v>
      </c>
      <c r="B76" s="393"/>
      <c r="C76" s="253" t="s">
        <v>62</v>
      </c>
      <c r="D76" s="253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20"/>
        <v>5</v>
      </c>
      <c r="B77" s="393"/>
      <c r="C77" s="253" t="s">
        <v>62</v>
      </c>
      <c r="D77" s="253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20"/>
        <v>6</v>
      </c>
      <c r="B78" s="393"/>
      <c r="C78" s="253" t="s">
        <v>129</v>
      </c>
      <c r="D78" s="253"/>
      <c r="E78" s="35" t="s">
        <v>175</v>
      </c>
      <c r="F78" s="393" t="s">
        <v>483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42803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20"/>
        <v>7</v>
      </c>
      <c r="B79" s="393"/>
      <c r="C79" s="253"/>
      <c r="D79" s="253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20"/>
        <v>8</v>
      </c>
      <c r="B80" s="393"/>
      <c r="C80" s="253"/>
      <c r="D80" s="253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20"/>
        <v>9</v>
      </c>
      <c r="B81" s="393"/>
      <c r="C81" s="253"/>
      <c r="D81" s="253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560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72" sqref="A72:B72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563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67" t="s">
        <v>17</v>
      </c>
      <c r="L5" s="267" t="s">
        <v>18</v>
      </c>
      <c r="M5" s="267" t="s">
        <v>19</v>
      </c>
      <c r="N5" s="267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>$AD$21</f>
        <v>0.34105083072442732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5730</v>
      </c>
      <c r="K7" s="15">
        <f>L7+2454+5092+5124+5082+1904+1592+4745</f>
        <v>31714</v>
      </c>
      <c r="L7" s="15">
        <f>3261+2460</f>
        <v>5721</v>
      </c>
      <c r="M7" s="16">
        <f t="shared" si="0"/>
        <v>5721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0.99842931937172774</v>
      </c>
      <c r="AC7" s="9">
        <f t="shared" si="5"/>
        <v>1</v>
      </c>
      <c r="AD7" s="10">
        <f t="shared" si="6"/>
        <v>0.99842931937172774</v>
      </c>
      <c r="AE7" s="39">
        <f>$AD$21</f>
        <v>0.34105083072442732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1070</v>
      </c>
      <c r="K8" s="15">
        <f>L8+4409+3630+4007+4889+4777+4548+4820+1965+4267</f>
        <v>38375</v>
      </c>
      <c r="L8" s="15">
        <f>1063</f>
        <v>1063</v>
      </c>
      <c r="M8" s="16">
        <f t="shared" si="0"/>
        <v>1063</v>
      </c>
      <c r="N8" s="16">
        <v>0</v>
      </c>
      <c r="O8" s="62">
        <f t="shared" si="1"/>
        <v>0</v>
      </c>
      <c r="P8" s="42">
        <f t="shared" si="2"/>
        <v>8</v>
      </c>
      <c r="Q8" s="43">
        <f t="shared" si="3"/>
        <v>16</v>
      </c>
      <c r="R8" s="7"/>
      <c r="S8" s="6">
        <v>16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0.99345794392523368</v>
      </c>
      <c r="AC8" s="9">
        <f t="shared" si="5"/>
        <v>0.33333333333333331</v>
      </c>
      <c r="AD8" s="10">
        <f t="shared" si="6"/>
        <v>0.33115264797507787</v>
      </c>
      <c r="AE8" s="39">
        <f>$AD$21</f>
        <v>0.34105083072442732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450</v>
      </c>
      <c r="E9" s="57" t="s">
        <v>451</v>
      </c>
      <c r="F9" s="12" t="s">
        <v>452</v>
      </c>
      <c r="G9" s="12">
        <v>1</v>
      </c>
      <c r="H9" s="13">
        <v>25</v>
      </c>
      <c r="I9" s="34">
        <v>5000</v>
      </c>
      <c r="J9" s="5">
        <v>2790</v>
      </c>
      <c r="K9" s="15">
        <f>L9+1522+928+2789</f>
        <v>5239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ref="AE9" si="8">$AD$21</f>
        <v>0.34105083072442732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129</v>
      </c>
      <c r="D10" s="55" t="s">
        <v>133</v>
      </c>
      <c r="E10" s="57" t="s">
        <v>511</v>
      </c>
      <c r="F10" s="12" t="s">
        <v>130</v>
      </c>
      <c r="G10" s="12">
        <v>1</v>
      </c>
      <c r="H10" s="13">
        <v>25</v>
      </c>
      <c r="I10" s="34">
        <v>5000</v>
      </c>
      <c r="J10" s="5">
        <v>5550</v>
      </c>
      <c r="K10" s="15">
        <f>L10+5546</f>
        <v>5546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>$AD$21</f>
        <v>0.34105083072442732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129</v>
      </c>
      <c r="D11" s="55" t="s">
        <v>412</v>
      </c>
      <c r="E11" s="57" t="s">
        <v>525</v>
      </c>
      <c r="F11" s="12" t="s">
        <v>414</v>
      </c>
      <c r="G11" s="12">
        <v>1</v>
      </c>
      <c r="H11" s="13">
        <v>25</v>
      </c>
      <c r="I11" s="34">
        <v>300</v>
      </c>
      <c r="J11" s="14">
        <v>430</v>
      </c>
      <c r="K11" s="15">
        <f>L11</f>
        <v>430</v>
      </c>
      <c r="L11" s="15">
        <v>430</v>
      </c>
      <c r="M11" s="16">
        <f t="shared" si="0"/>
        <v>430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>
        <v>20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0.16666666666666666</v>
      </c>
      <c r="AD11" s="10">
        <f t="shared" si="6"/>
        <v>0.16666666666666666</v>
      </c>
      <c r="AE11" s="39">
        <f>$AD$21</f>
        <v>0.34105083072442732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489</v>
      </c>
      <c r="F12" s="12" t="s">
        <v>134</v>
      </c>
      <c r="G12" s="12">
        <v>1</v>
      </c>
      <c r="H12" s="13">
        <v>25</v>
      </c>
      <c r="I12" s="34">
        <v>1050</v>
      </c>
      <c r="J12" s="5">
        <v>1240</v>
      </c>
      <c r="K12" s="15">
        <f>L12+1236</f>
        <v>1236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>$AD$21</f>
        <v>0.34105083072442732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134</v>
      </c>
      <c r="G13" s="12">
        <v>1</v>
      </c>
      <c r="H13" s="13">
        <v>25</v>
      </c>
      <c r="I13" s="7">
        <v>42000</v>
      </c>
      <c r="J13" s="14">
        <v>2550</v>
      </c>
      <c r="K13" s="15">
        <f>L13+2452+3389+4558+2185+3734+1821+2940+2659+4787+4596</f>
        <v>35668</v>
      </c>
      <c r="L13" s="15">
        <f>981+1566</f>
        <v>2547</v>
      </c>
      <c r="M13" s="16">
        <f t="shared" si="0"/>
        <v>2547</v>
      </c>
      <c r="N13" s="16">
        <v>0</v>
      </c>
      <c r="O13" s="62">
        <f t="shared" si="1"/>
        <v>0</v>
      </c>
      <c r="P13" s="42">
        <f t="shared" si="2"/>
        <v>15</v>
      </c>
      <c r="Q13" s="43">
        <f t="shared" si="3"/>
        <v>9</v>
      </c>
      <c r="R13" s="7"/>
      <c r="S13" s="6">
        <v>9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0.99882352941176467</v>
      </c>
      <c r="AC13" s="9">
        <f t="shared" si="5"/>
        <v>0.625</v>
      </c>
      <c r="AD13" s="10">
        <f t="shared" si="6"/>
        <v>0.62426470588235294</v>
      </c>
      <c r="AE13" s="39">
        <f>$AD$21</f>
        <v>0.34105083072442732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328</v>
      </c>
      <c r="F14" s="33" t="s">
        <v>336</v>
      </c>
      <c r="G14" s="36">
        <v>1</v>
      </c>
      <c r="H14" s="38">
        <v>55</v>
      </c>
      <c r="I14" s="7">
        <v>200</v>
      </c>
      <c r="J14" s="5">
        <v>500</v>
      </c>
      <c r="K14" s="15">
        <f>L14+390</f>
        <v>390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ref="AE14:AE20" si="9">$AD$21</f>
        <v>0.34105083072442732</v>
      </c>
      <c r="AF14" s="94">
        <f t="shared" si="7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10920</v>
      </c>
      <c r="K15" s="15">
        <f>L15+7200+15894+15894+10920</f>
        <v>49908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9"/>
        <v>0.34105083072442732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5840</v>
      </c>
      <c r="K16" s="15">
        <f>L16+5278+5817+5149+4230+5807+5845+3899</f>
        <v>41856</v>
      </c>
      <c r="L16" s="15">
        <f>3276+2555</f>
        <v>5831</v>
      </c>
      <c r="M16" s="16">
        <f t="shared" si="0"/>
        <v>5831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0.99845890410958904</v>
      </c>
      <c r="AC16" s="9">
        <f t="shared" si="5"/>
        <v>1</v>
      </c>
      <c r="AD16" s="10">
        <f t="shared" si="6"/>
        <v>0.99845890410958904</v>
      </c>
      <c r="AE16" s="39">
        <f t="shared" si="9"/>
        <v>0.34105083072442732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493</v>
      </c>
      <c r="D17" s="55" t="s">
        <v>58</v>
      </c>
      <c r="E17" s="56" t="s">
        <v>472</v>
      </c>
      <c r="F17" s="12">
        <v>8301</v>
      </c>
      <c r="G17" s="12">
        <v>1</v>
      </c>
      <c r="H17" s="13">
        <v>25</v>
      </c>
      <c r="I17" s="34">
        <v>1000</v>
      </c>
      <c r="J17" s="5">
        <v>2400</v>
      </c>
      <c r="K17" s="15">
        <f>L17+2394</f>
        <v>2394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9"/>
        <v>0.34105083072442732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42000</v>
      </c>
      <c r="J18" s="5">
        <v>5590</v>
      </c>
      <c r="K18" s="15">
        <f>L18+2776+4960+2945+3734+5158+5100+959+4812+5309+3682+5343</f>
        <v>50360</v>
      </c>
      <c r="L18" s="15">
        <f>3243+2339</f>
        <v>5582</v>
      </c>
      <c r="M18" s="16">
        <f t="shared" si="0"/>
        <v>5582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0.99856887298747765</v>
      </c>
      <c r="AC18" s="9">
        <f t="shared" si="5"/>
        <v>1</v>
      </c>
      <c r="AD18" s="10">
        <f t="shared" si="6"/>
        <v>0.99856887298747765</v>
      </c>
      <c r="AE18" s="39">
        <f t="shared" si="9"/>
        <v>0.34105083072442732</v>
      </c>
      <c r="AF18" s="94">
        <f t="shared" si="7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5060</v>
      </c>
      <c r="K19" s="15">
        <f>L19+3360+3759+4940+3946+4510+3949+3533</f>
        <v>33048</v>
      </c>
      <c r="L19" s="15">
        <f>2866+2185</f>
        <v>5051</v>
      </c>
      <c r="M19" s="16">
        <f t="shared" si="0"/>
        <v>5051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0.9982213438735178</v>
      </c>
      <c r="AC19" s="9">
        <f t="shared" si="5"/>
        <v>1</v>
      </c>
      <c r="AD19" s="10">
        <f t="shared" si="6"/>
        <v>0.9982213438735178</v>
      </c>
      <c r="AE19" s="39">
        <f t="shared" si="9"/>
        <v>0.34105083072442732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9"/>
        <v>0.34105083072442732</v>
      </c>
      <c r="AF20" s="94">
        <f t="shared" si="7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0">SUM(I6:I20)</f>
        <v>560550</v>
      </c>
      <c r="J21" s="22">
        <f t="shared" si="10"/>
        <v>87040</v>
      </c>
      <c r="K21" s="23">
        <f t="shared" si="10"/>
        <v>762628</v>
      </c>
      <c r="L21" s="24">
        <f t="shared" si="10"/>
        <v>26225</v>
      </c>
      <c r="M21" s="23">
        <f t="shared" si="10"/>
        <v>26225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123</v>
      </c>
      <c r="Q21" s="46">
        <f t="shared" si="11"/>
        <v>237</v>
      </c>
      <c r="R21" s="26">
        <f t="shared" si="11"/>
        <v>24</v>
      </c>
      <c r="S21" s="27">
        <f t="shared" si="11"/>
        <v>117</v>
      </c>
      <c r="T21" s="27">
        <f t="shared" si="11"/>
        <v>0</v>
      </c>
      <c r="U21" s="27">
        <f t="shared" si="11"/>
        <v>0</v>
      </c>
      <c r="V21" s="28">
        <f t="shared" si="11"/>
        <v>0</v>
      </c>
      <c r="W21" s="29">
        <f t="shared" si="11"/>
        <v>72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0.46573066091195409</v>
      </c>
      <c r="AC21" s="4">
        <f>SUM(AC6:AC20)/15</f>
        <v>0.34166666666666667</v>
      </c>
      <c r="AD21" s="4">
        <f>SUM(AD6:AD20)/15</f>
        <v>0.34105083072442732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565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566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266" t="s">
        <v>47</v>
      </c>
      <c r="D50" s="266" t="s">
        <v>48</v>
      </c>
      <c r="E50" s="266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266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53" t="s">
        <v>129</v>
      </c>
      <c r="B51" s="454"/>
      <c r="C51" s="265" t="s">
        <v>220</v>
      </c>
      <c r="D51" s="262" t="s">
        <v>136</v>
      </c>
      <c r="E51" s="265" t="s">
        <v>213</v>
      </c>
      <c r="F51" s="432" t="s">
        <v>564</v>
      </c>
      <c r="G51" s="432"/>
      <c r="H51" s="432"/>
      <c r="I51" s="432"/>
      <c r="J51" s="432"/>
      <c r="K51" s="432"/>
      <c r="L51" s="432"/>
      <c r="M51" s="446"/>
      <c r="N51" s="261" t="s">
        <v>129</v>
      </c>
      <c r="O51" s="74" t="s">
        <v>220</v>
      </c>
      <c r="P51" s="451" t="s">
        <v>136</v>
      </c>
      <c r="Q51" s="452"/>
      <c r="R51" s="445" t="s">
        <v>570</v>
      </c>
      <c r="S51" s="445"/>
      <c r="T51" s="445"/>
      <c r="U51" s="445"/>
      <c r="V51" s="432" t="s">
        <v>147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129</v>
      </c>
      <c r="B52" s="445"/>
      <c r="C52" s="262" t="s">
        <v>193</v>
      </c>
      <c r="D52" s="262" t="s">
        <v>288</v>
      </c>
      <c r="E52" s="265" t="s">
        <v>525</v>
      </c>
      <c r="F52" s="432" t="s">
        <v>567</v>
      </c>
      <c r="G52" s="432"/>
      <c r="H52" s="432"/>
      <c r="I52" s="432"/>
      <c r="J52" s="432"/>
      <c r="K52" s="432"/>
      <c r="L52" s="432"/>
      <c r="M52" s="446"/>
      <c r="N52" s="261" t="s">
        <v>129</v>
      </c>
      <c r="O52" s="74" t="s">
        <v>193</v>
      </c>
      <c r="P52" s="451" t="s">
        <v>288</v>
      </c>
      <c r="Q52" s="452"/>
      <c r="R52" s="445" t="s">
        <v>525</v>
      </c>
      <c r="S52" s="445"/>
      <c r="T52" s="445"/>
      <c r="U52" s="445"/>
      <c r="V52" s="432" t="s">
        <v>147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122</v>
      </c>
      <c r="B53" s="445"/>
      <c r="C53" s="262" t="s">
        <v>223</v>
      </c>
      <c r="D53" s="262" t="s">
        <v>58</v>
      </c>
      <c r="E53" s="265" t="s">
        <v>328</v>
      </c>
      <c r="F53" s="432" t="s">
        <v>164</v>
      </c>
      <c r="G53" s="432"/>
      <c r="H53" s="432"/>
      <c r="I53" s="432"/>
      <c r="J53" s="432"/>
      <c r="K53" s="432"/>
      <c r="L53" s="432"/>
      <c r="M53" s="446"/>
      <c r="N53" s="261" t="s">
        <v>571</v>
      </c>
      <c r="O53" s="74" t="s">
        <v>131</v>
      </c>
      <c r="P53" s="451" t="s">
        <v>572</v>
      </c>
      <c r="Q53" s="452"/>
      <c r="R53" s="445" t="s">
        <v>568</v>
      </c>
      <c r="S53" s="445"/>
      <c r="T53" s="445"/>
      <c r="U53" s="445"/>
      <c r="V53" s="432" t="s">
        <v>147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122</v>
      </c>
      <c r="B54" s="454"/>
      <c r="C54" s="265" t="s">
        <v>131</v>
      </c>
      <c r="D54" s="262" t="s">
        <v>144</v>
      </c>
      <c r="E54" s="265" t="s">
        <v>568</v>
      </c>
      <c r="F54" s="432" t="s">
        <v>569</v>
      </c>
      <c r="G54" s="432"/>
      <c r="H54" s="432"/>
      <c r="I54" s="432"/>
      <c r="J54" s="432"/>
      <c r="K54" s="432"/>
      <c r="L54" s="432"/>
      <c r="M54" s="446"/>
      <c r="N54" s="261" t="s">
        <v>574</v>
      </c>
      <c r="O54" s="74" t="s">
        <v>165</v>
      </c>
      <c r="P54" s="451" t="s">
        <v>58</v>
      </c>
      <c r="Q54" s="452"/>
      <c r="R54" s="445" t="s">
        <v>573</v>
      </c>
      <c r="S54" s="445"/>
      <c r="T54" s="445"/>
      <c r="U54" s="445"/>
      <c r="V54" s="432" t="s">
        <v>575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/>
      <c r="B55" s="454"/>
      <c r="C55" s="265"/>
      <c r="D55" s="262"/>
      <c r="E55" s="262"/>
      <c r="F55" s="432"/>
      <c r="G55" s="432"/>
      <c r="H55" s="432"/>
      <c r="I55" s="432"/>
      <c r="J55" s="432"/>
      <c r="K55" s="432"/>
      <c r="L55" s="432"/>
      <c r="M55" s="446"/>
      <c r="N55" s="261" t="s">
        <v>122</v>
      </c>
      <c r="O55" s="74" t="s">
        <v>223</v>
      </c>
      <c r="P55" s="451" t="s">
        <v>576</v>
      </c>
      <c r="Q55" s="452"/>
      <c r="R55" s="445" t="s">
        <v>328</v>
      </c>
      <c r="S55" s="445"/>
      <c r="T55" s="445"/>
      <c r="U55" s="445"/>
      <c r="V55" s="432" t="s">
        <v>147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/>
      <c r="B56" s="445"/>
      <c r="C56" s="262"/>
      <c r="D56" s="262"/>
      <c r="E56" s="265"/>
      <c r="F56" s="432"/>
      <c r="G56" s="432"/>
      <c r="H56" s="432"/>
      <c r="I56" s="432"/>
      <c r="J56" s="432"/>
      <c r="K56" s="432"/>
      <c r="L56" s="432"/>
      <c r="M56" s="446"/>
      <c r="N56" s="261" t="s">
        <v>122</v>
      </c>
      <c r="O56" s="74" t="s">
        <v>232</v>
      </c>
      <c r="P56" s="445" t="s">
        <v>577</v>
      </c>
      <c r="Q56" s="445"/>
      <c r="R56" s="445" t="s">
        <v>163</v>
      </c>
      <c r="S56" s="445"/>
      <c r="T56" s="445"/>
      <c r="U56" s="445"/>
      <c r="V56" s="432" t="s">
        <v>578</v>
      </c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262"/>
      <c r="D57" s="262"/>
      <c r="E57" s="265"/>
      <c r="F57" s="432"/>
      <c r="G57" s="432"/>
      <c r="H57" s="432"/>
      <c r="I57" s="432"/>
      <c r="J57" s="432"/>
      <c r="K57" s="432"/>
      <c r="L57" s="432"/>
      <c r="M57" s="446"/>
      <c r="N57" s="261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265"/>
      <c r="D58" s="262"/>
      <c r="E58" s="265"/>
      <c r="F58" s="432"/>
      <c r="G58" s="432"/>
      <c r="H58" s="432"/>
      <c r="I58" s="432"/>
      <c r="J58" s="432"/>
      <c r="K58" s="432"/>
      <c r="L58" s="432"/>
      <c r="M58" s="446"/>
      <c r="N58" s="261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262"/>
      <c r="D59" s="262"/>
      <c r="E59" s="262"/>
      <c r="F59" s="432"/>
      <c r="G59" s="432"/>
      <c r="H59" s="432"/>
      <c r="I59" s="432"/>
      <c r="J59" s="432"/>
      <c r="K59" s="432"/>
      <c r="L59" s="432"/>
      <c r="M59" s="446"/>
      <c r="N59" s="261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264"/>
      <c r="D60" s="264"/>
      <c r="E60" s="264"/>
      <c r="F60" s="449"/>
      <c r="G60" s="449"/>
      <c r="H60" s="449"/>
      <c r="I60" s="449"/>
      <c r="J60" s="449"/>
      <c r="K60" s="449"/>
      <c r="L60" s="449"/>
      <c r="M60" s="450"/>
      <c r="N60" s="263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579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259" t="s">
        <v>2</v>
      </c>
      <c r="D62" s="259" t="s">
        <v>38</v>
      </c>
      <c r="E62" s="259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259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260" t="s">
        <v>122</v>
      </c>
      <c r="D63" s="255"/>
      <c r="E63" s="257" t="s">
        <v>144</v>
      </c>
      <c r="F63" s="421" t="s">
        <v>580</v>
      </c>
      <c r="G63" s="421"/>
      <c r="H63" s="421"/>
      <c r="I63" s="421"/>
      <c r="J63" s="421"/>
      <c r="K63" s="441">
        <v>7301</v>
      </c>
      <c r="L63" s="441"/>
      <c r="M63" s="54" t="s">
        <v>581</v>
      </c>
      <c r="N63" s="421">
        <v>7</v>
      </c>
      <c r="O63" s="421"/>
      <c r="P63" s="431">
        <v>50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260"/>
      <c r="D64" s="255"/>
      <c r="E64" s="257"/>
      <c r="F64" s="496"/>
      <c r="G64" s="421"/>
      <c r="H64" s="421"/>
      <c r="I64" s="421"/>
      <c r="J64" s="421"/>
      <c r="K64" s="441"/>
      <c r="L64" s="441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260"/>
      <c r="D65" s="255"/>
      <c r="E65" s="257"/>
      <c r="F65" s="496"/>
      <c r="G65" s="421"/>
      <c r="H65" s="421"/>
      <c r="I65" s="421"/>
      <c r="J65" s="421"/>
      <c r="K65" s="441"/>
      <c r="L65" s="441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260"/>
      <c r="D66" s="255"/>
      <c r="E66" s="257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260"/>
      <c r="D67" s="255"/>
      <c r="E67" s="257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6</v>
      </c>
      <c r="B68" s="430"/>
      <c r="C68" s="260"/>
      <c r="D68" s="255"/>
      <c r="E68" s="257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7</v>
      </c>
      <c r="B69" s="430"/>
      <c r="C69" s="260"/>
      <c r="D69" s="255"/>
      <c r="E69" s="257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6.25" customHeight="1">
      <c r="A70" s="429">
        <v>8</v>
      </c>
      <c r="B70" s="430"/>
      <c r="C70" s="260"/>
      <c r="D70" s="255"/>
      <c r="E70" s="257"/>
      <c r="F70" s="421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582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258" t="s">
        <v>2</v>
      </c>
      <c r="D72" s="258" t="s">
        <v>38</v>
      </c>
      <c r="E72" s="258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256" t="s">
        <v>62</v>
      </c>
      <c r="D73" s="256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255" t="s">
        <v>129</v>
      </c>
      <c r="D74" s="255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2">A74+1</f>
        <v>3</v>
      </c>
      <c r="B75" s="393"/>
      <c r="C75" s="255" t="s">
        <v>62</v>
      </c>
      <c r="D75" s="255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2"/>
        <v>4</v>
      </c>
      <c r="B76" s="393"/>
      <c r="C76" s="255" t="s">
        <v>62</v>
      </c>
      <c r="D76" s="255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2"/>
        <v>5</v>
      </c>
      <c r="B77" s="393"/>
      <c r="C77" s="255" t="s">
        <v>62</v>
      </c>
      <c r="D77" s="255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2"/>
        <v>6</v>
      </c>
      <c r="B78" s="393"/>
      <c r="C78" s="255" t="s">
        <v>129</v>
      </c>
      <c r="D78" s="255"/>
      <c r="E78" s="35" t="s">
        <v>123</v>
      </c>
      <c r="F78" s="393" t="s">
        <v>253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42803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2"/>
        <v>7</v>
      </c>
      <c r="B79" s="393"/>
      <c r="C79" s="255"/>
      <c r="D79" s="255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2"/>
        <v>8</v>
      </c>
      <c r="B80" s="393"/>
      <c r="C80" s="255"/>
      <c r="D80" s="255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2"/>
        <v>9</v>
      </c>
      <c r="B81" s="393"/>
      <c r="C81" s="255"/>
      <c r="D81" s="255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560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3" zoomScale="72" zoomScaleNormal="72" zoomScaleSheetLayoutView="70" workbookViewId="0">
      <selection activeCell="A67" sqref="A67:XFD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583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68" t="s">
        <v>17</v>
      </c>
      <c r="L5" s="268" t="s">
        <v>18</v>
      </c>
      <c r="M5" s="268" t="s">
        <v>19</v>
      </c>
      <c r="N5" s="268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>$AD$21</f>
        <v>0.43551327947985108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5190</v>
      </c>
      <c r="K7" s="15">
        <f>L7+2454+5092+5124+5082+1904+1592+4745+5721</f>
        <v>36904</v>
      </c>
      <c r="L7" s="15">
        <f>2966+2224</f>
        <v>5190</v>
      </c>
      <c r="M7" s="16">
        <f t="shared" si="0"/>
        <v>5190</v>
      </c>
      <c r="N7" s="16">
        <v>0</v>
      </c>
      <c r="O7" s="62">
        <f t="shared" si="1"/>
        <v>0</v>
      </c>
      <c r="P7" s="42">
        <f t="shared" si="2"/>
        <v>23</v>
      </c>
      <c r="Q7" s="43">
        <f t="shared" si="3"/>
        <v>1</v>
      </c>
      <c r="R7" s="7"/>
      <c r="S7" s="6"/>
      <c r="T7" s="17"/>
      <c r="U7" s="17"/>
      <c r="V7" s="18">
        <v>1</v>
      </c>
      <c r="W7" s="19"/>
      <c r="X7" s="17"/>
      <c r="Y7" s="20"/>
      <c r="Z7" s="20"/>
      <c r="AA7" s="21"/>
      <c r="AB7" s="8">
        <f t="shared" si="4"/>
        <v>1</v>
      </c>
      <c r="AC7" s="9">
        <f t="shared" si="5"/>
        <v>0.95833333333333337</v>
      </c>
      <c r="AD7" s="10">
        <f t="shared" si="6"/>
        <v>0.95833333333333337</v>
      </c>
      <c r="AE7" s="39">
        <f>$AD$21</f>
        <v>0.43551327947985108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3220</v>
      </c>
      <c r="K8" s="15">
        <f>L8+4409+3630+4007+4889+4777+4548+4820+1965+4267+1063</f>
        <v>41594</v>
      </c>
      <c r="L8" s="15">
        <f>2826+393</f>
        <v>3219</v>
      </c>
      <c r="M8" s="16">
        <f t="shared" si="0"/>
        <v>3219</v>
      </c>
      <c r="N8" s="16">
        <v>0</v>
      </c>
      <c r="O8" s="62">
        <f t="shared" si="1"/>
        <v>0</v>
      </c>
      <c r="P8" s="42">
        <f t="shared" si="2"/>
        <v>17</v>
      </c>
      <c r="Q8" s="43">
        <f t="shared" si="3"/>
        <v>7</v>
      </c>
      <c r="R8" s="7"/>
      <c r="S8" s="6">
        <v>7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0.99968944099378887</v>
      </c>
      <c r="AC8" s="9">
        <f t="shared" si="5"/>
        <v>0.70833333333333337</v>
      </c>
      <c r="AD8" s="10">
        <f t="shared" si="6"/>
        <v>0.70811335403726716</v>
      </c>
      <c r="AE8" s="39">
        <f>$AD$21</f>
        <v>0.43551327947985108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450</v>
      </c>
      <c r="E9" s="57" t="s">
        <v>436</v>
      </c>
      <c r="F9" s="12" t="s">
        <v>127</v>
      </c>
      <c r="G9" s="12">
        <v>1</v>
      </c>
      <c r="H9" s="13">
        <v>25</v>
      </c>
      <c r="I9" s="34">
        <v>5000</v>
      </c>
      <c r="J9" s="5">
        <v>2790</v>
      </c>
      <c r="K9" s="15">
        <f>L9+1522+928+2789</f>
        <v>5239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>
        <v>24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ref="AE9" si="8">$AD$21</f>
        <v>0.43551327947985108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584</v>
      </c>
      <c r="D10" s="55" t="s">
        <v>585</v>
      </c>
      <c r="E10" s="57" t="s">
        <v>573</v>
      </c>
      <c r="F10" s="12" t="s">
        <v>130</v>
      </c>
      <c r="G10" s="12">
        <v>1</v>
      </c>
      <c r="H10" s="13">
        <v>25</v>
      </c>
      <c r="I10" s="34">
        <v>1000</v>
      </c>
      <c r="J10" s="5">
        <v>1500</v>
      </c>
      <c r="K10" s="15">
        <f>L10</f>
        <v>1493</v>
      </c>
      <c r="L10" s="15">
        <f>1205+288</f>
        <v>1493</v>
      </c>
      <c r="M10" s="16">
        <f t="shared" si="0"/>
        <v>1493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/>
      <c r="T10" s="17"/>
      <c r="U10" s="17"/>
      <c r="V10" s="18"/>
      <c r="W10" s="19">
        <v>14</v>
      </c>
      <c r="X10" s="17"/>
      <c r="Y10" s="20"/>
      <c r="Z10" s="20"/>
      <c r="AA10" s="21"/>
      <c r="AB10" s="8">
        <f t="shared" si="4"/>
        <v>0.99533333333333329</v>
      </c>
      <c r="AC10" s="9">
        <f t="shared" si="5"/>
        <v>0.41666666666666669</v>
      </c>
      <c r="AD10" s="10">
        <f t="shared" si="6"/>
        <v>0.41472222222222221</v>
      </c>
      <c r="AE10" s="39">
        <f>$AD$21</f>
        <v>0.43551327947985108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129</v>
      </c>
      <c r="D11" s="55" t="s">
        <v>412</v>
      </c>
      <c r="E11" s="57" t="s">
        <v>525</v>
      </c>
      <c r="F11" s="12" t="s">
        <v>414</v>
      </c>
      <c r="G11" s="12">
        <v>1</v>
      </c>
      <c r="H11" s="13">
        <v>25</v>
      </c>
      <c r="I11" s="34">
        <v>300</v>
      </c>
      <c r="J11" s="14">
        <v>430</v>
      </c>
      <c r="K11" s="15">
        <f>L11+430</f>
        <v>430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$AD$21</f>
        <v>0.43551327947985108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489</v>
      </c>
      <c r="F12" s="12" t="s">
        <v>134</v>
      </c>
      <c r="G12" s="12">
        <v>1</v>
      </c>
      <c r="H12" s="13">
        <v>25</v>
      </c>
      <c r="I12" s="34">
        <v>1050</v>
      </c>
      <c r="J12" s="5">
        <v>1240</v>
      </c>
      <c r="K12" s="15">
        <f>L12+1236</f>
        <v>1236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>$AD$21</f>
        <v>0.43551327947985108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134</v>
      </c>
      <c r="G13" s="12">
        <v>1</v>
      </c>
      <c r="H13" s="13">
        <v>25</v>
      </c>
      <c r="I13" s="7">
        <v>42000</v>
      </c>
      <c r="J13" s="14">
        <v>3570</v>
      </c>
      <c r="K13" s="15">
        <f>L13+2452+3389+4558+2185+3734+1821+2940+2659+4787+4596+2547</f>
        <v>39230</v>
      </c>
      <c r="L13" s="15">
        <f>2302+1260</f>
        <v>3562</v>
      </c>
      <c r="M13" s="16">
        <f t="shared" si="0"/>
        <v>3562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>
        <v>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0.99775910364145659</v>
      </c>
      <c r="AC13" s="9">
        <f t="shared" si="5"/>
        <v>0.83333333333333337</v>
      </c>
      <c r="AD13" s="10">
        <f t="shared" si="6"/>
        <v>0.83146591970121386</v>
      </c>
      <c r="AE13" s="39">
        <f>$AD$21</f>
        <v>0.43551327947985108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328</v>
      </c>
      <c r="F14" s="33" t="s">
        <v>336</v>
      </c>
      <c r="G14" s="36">
        <v>1</v>
      </c>
      <c r="H14" s="38">
        <v>55</v>
      </c>
      <c r="I14" s="7">
        <v>200</v>
      </c>
      <c r="J14" s="5">
        <v>190</v>
      </c>
      <c r="K14" s="15">
        <f>L14+390</f>
        <v>578</v>
      </c>
      <c r="L14" s="15">
        <f>188</f>
        <v>188</v>
      </c>
      <c r="M14" s="16">
        <f t="shared" si="0"/>
        <v>188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>
        <v>19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0.98947368421052628</v>
      </c>
      <c r="AC14" s="9">
        <f t="shared" si="5"/>
        <v>0.20833333333333334</v>
      </c>
      <c r="AD14" s="10">
        <f t="shared" si="6"/>
        <v>0.20614035087719298</v>
      </c>
      <c r="AE14" s="39">
        <f t="shared" ref="AE14:AE20" si="9">$AD$21</f>
        <v>0.43551327947985108</v>
      </c>
      <c r="AF14" s="94">
        <f t="shared" si="7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11170</v>
      </c>
      <c r="K15" s="15">
        <f>L15+7200+15894+15894+10920</f>
        <v>61072</v>
      </c>
      <c r="L15" s="15">
        <f>4093*2+1489*2</f>
        <v>11164</v>
      </c>
      <c r="M15" s="16">
        <f t="shared" si="0"/>
        <v>11164</v>
      </c>
      <c r="N15" s="16">
        <v>0</v>
      </c>
      <c r="O15" s="62">
        <f t="shared" si="1"/>
        <v>0</v>
      </c>
      <c r="P15" s="42">
        <f t="shared" si="2"/>
        <v>22</v>
      </c>
      <c r="Q15" s="43">
        <f t="shared" si="3"/>
        <v>2</v>
      </c>
      <c r="R15" s="7"/>
      <c r="S15" s="6">
        <v>2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0.99946284691136977</v>
      </c>
      <c r="AC15" s="9">
        <f t="shared" si="5"/>
        <v>0.91666666666666663</v>
      </c>
      <c r="AD15" s="10">
        <f t="shared" si="6"/>
        <v>0.91617427633542226</v>
      </c>
      <c r="AE15" s="39">
        <f t="shared" si="9"/>
        <v>0.43551327947985108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5250</v>
      </c>
      <c r="K16" s="15">
        <f>L16+5278+5817+5149+4230+5807+5845+3899+5831</f>
        <v>47101</v>
      </c>
      <c r="L16" s="15">
        <f>2966+2279</f>
        <v>5245</v>
      </c>
      <c r="M16" s="16">
        <f t="shared" si="0"/>
        <v>5245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/>
      <c r="T16" s="17"/>
      <c r="U16" s="17"/>
      <c r="V16" s="18">
        <v>1</v>
      </c>
      <c r="W16" s="19"/>
      <c r="X16" s="17"/>
      <c r="Y16" s="20"/>
      <c r="Z16" s="20"/>
      <c r="AA16" s="21"/>
      <c r="AB16" s="8">
        <f t="shared" si="4"/>
        <v>0.99904761904761907</v>
      </c>
      <c r="AC16" s="9">
        <f t="shared" si="5"/>
        <v>0.95833333333333337</v>
      </c>
      <c r="AD16" s="10">
        <f t="shared" si="6"/>
        <v>0.95742063492063501</v>
      </c>
      <c r="AE16" s="39">
        <f t="shared" si="9"/>
        <v>0.43551327947985108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493</v>
      </c>
      <c r="D17" s="55" t="s">
        <v>58</v>
      </c>
      <c r="E17" s="56" t="s">
        <v>472</v>
      </c>
      <c r="F17" s="12">
        <v>8301</v>
      </c>
      <c r="G17" s="12">
        <v>1</v>
      </c>
      <c r="H17" s="13">
        <v>25</v>
      </c>
      <c r="I17" s="34">
        <v>1000</v>
      </c>
      <c r="J17" s="5">
        <v>2400</v>
      </c>
      <c r="K17" s="15">
        <f>L17+2394</f>
        <v>2394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9"/>
        <v>0.43551327947985108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42000</v>
      </c>
      <c r="J18" s="5">
        <v>2740</v>
      </c>
      <c r="K18" s="15">
        <f>L18+2776+4960+2945+3734+5158+5100+959+4812+5309+3682+5343+5582</f>
        <v>53097</v>
      </c>
      <c r="L18" s="15">
        <f>2707+30</f>
        <v>2737</v>
      </c>
      <c r="M18" s="16">
        <f t="shared" si="0"/>
        <v>2737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>
        <v>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0.99890510948905109</v>
      </c>
      <c r="AC18" s="9">
        <f t="shared" si="5"/>
        <v>0.66666666666666663</v>
      </c>
      <c r="AD18" s="10">
        <f t="shared" si="6"/>
        <v>0.66593673965936739</v>
      </c>
      <c r="AE18" s="39">
        <f t="shared" si="9"/>
        <v>0.43551327947985108</v>
      </c>
      <c r="AF18" s="94">
        <f t="shared" si="7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4320</v>
      </c>
      <c r="K19" s="15">
        <f>L19+3360+3759+4940+3946+4510+3949+3533+5051</f>
        <v>37365</v>
      </c>
      <c r="L19" s="15">
        <f>2711+1606</f>
        <v>4317</v>
      </c>
      <c r="M19" s="16">
        <f t="shared" si="0"/>
        <v>4317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0.99930555555555556</v>
      </c>
      <c r="AC19" s="9">
        <f t="shared" si="5"/>
        <v>0.875</v>
      </c>
      <c r="AD19" s="10">
        <f t="shared" si="6"/>
        <v>0.87439236111111107</v>
      </c>
      <c r="AE19" s="39">
        <f t="shared" si="9"/>
        <v>0.43551327947985108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>
        <v>0</v>
      </c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9"/>
        <v>0.43551327947985108</v>
      </c>
      <c r="AF20" s="94">
        <f t="shared" si="7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0">SUM(I6:I20)</f>
        <v>556550</v>
      </c>
      <c r="J21" s="22">
        <f t="shared" si="10"/>
        <v>81380</v>
      </c>
      <c r="K21" s="23">
        <f t="shared" si="10"/>
        <v>794197</v>
      </c>
      <c r="L21" s="24">
        <f t="shared" si="10"/>
        <v>37115</v>
      </c>
      <c r="M21" s="23">
        <f t="shared" si="10"/>
        <v>37115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157</v>
      </c>
      <c r="Q21" s="46">
        <f t="shared" si="11"/>
        <v>203</v>
      </c>
      <c r="R21" s="26">
        <f t="shared" si="11"/>
        <v>24</v>
      </c>
      <c r="S21" s="27">
        <f t="shared" si="11"/>
        <v>91</v>
      </c>
      <c r="T21" s="27">
        <f t="shared" si="11"/>
        <v>0</v>
      </c>
      <c r="U21" s="27">
        <f t="shared" si="11"/>
        <v>0</v>
      </c>
      <c r="V21" s="28">
        <f t="shared" si="11"/>
        <v>2</v>
      </c>
      <c r="W21" s="29">
        <f t="shared" si="11"/>
        <v>62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0.59859844621218017</v>
      </c>
      <c r="AC21" s="4">
        <f>SUM(AC6:AC20)/15</f>
        <v>0.43611111111111112</v>
      </c>
      <c r="AD21" s="4">
        <f>SUM(AD6:AD20)/15</f>
        <v>0.43551327947985108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586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603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269" t="s">
        <v>47</v>
      </c>
      <c r="D50" s="269" t="s">
        <v>48</v>
      </c>
      <c r="E50" s="269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269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53" t="s">
        <v>129</v>
      </c>
      <c r="B51" s="454"/>
      <c r="C51" s="270" t="s">
        <v>220</v>
      </c>
      <c r="D51" s="271" t="s">
        <v>136</v>
      </c>
      <c r="E51" s="270" t="s">
        <v>213</v>
      </c>
      <c r="F51" s="432" t="s">
        <v>587</v>
      </c>
      <c r="G51" s="432"/>
      <c r="H51" s="432"/>
      <c r="I51" s="432"/>
      <c r="J51" s="432"/>
      <c r="K51" s="432"/>
      <c r="L51" s="432"/>
      <c r="M51" s="446"/>
      <c r="N51" s="272" t="s">
        <v>605</v>
      </c>
      <c r="O51" s="74" t="s">
        <v>237</v>
      </c>
      <c r="P51" s="451" t="s">
        <v>606</v>
      </c>
      <c r="Q51" s="452"/>
      <c r="R51" s="445" t="s">
        <v>604</v>
      </c>
      <c r="S51" s="445"/>
      <c r="T51" s="445"/>
      <c r="U51" s="445"/>
      <c r="V51" s="432" t="s">
        <v>607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122</v>
      </c>
      <c r="B52" s="445"/>
      <c r="C52" s="271" t="s">
        <v>223</v>
      </c>
      <c r="D52" s="271" t="s">
        <v>58</v>
      </c>
      <c r="E52" s="270" t="s">
        <v>328</v>
      </c>
      <c r="F52" s="432" t="s">
        <v>164</v>
      </c>
      <c r="G52" s="432"/>
      <c r="H52" s="432"/>
      <c r="I52" s="432"/>
      <c r="J52" s="432"/>
      <c r="K52" s="432"/>
      <c r="L52" s="432"/>
      <c r="M52" s="446"/>
      <c r="N52" s="272" t="s">
        <v>592</v>
      </c>
      <c r="O52" s="74" t="s">
        <v>609</v>
      </c>
      <c r="P52" s="451" t="s">
        <v>610</v>
      </c>
      <c r="Q52" s="452"/>
      <c r="R52" s="445" t="s">
        <v>608</v>
      </c>
      <c r="S52" s="445"/>
      <c r="T52" s="445"/>
      <c r="U52" s="445"/>
      <c r="V52" s="432" t="s">
        <v>424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122</v>
      </c>
      <c r="B53" s="454"/>
      <c r="C53" s="270" t="s">
        <v>131</v>
      </c>
      <c r="D53" s="271" t="s">
        <v>144</v>
      </c>
      <c r="E53" s="270" t="s">
        <v>568</v>
      </c>
      <c r="F53" s="432" t="s">
        <v>587</v>
      </c>
      <c r="G53" s="432"/>
      <c r="H53" s="432"/>
      <c r="I53" s="432"/>
      <c r="J53" s="432"/>
      <c r="K53" s="432"/>
      <c r="L53" s="432"/>
      <c r="M53" s="446"/>
      <c r="N53" s="272"/>
      <c r="O53" s="74"/>
      <c r="P53" s="451"/>
      <c r="Q53" s="452"/>
      <c r="R53" s="445"/>
      <c r="S53" s="445"/>
      <c r="T53" s="445"/>
      <c r="U53" s="445"/>
      <c r="V53" s="432"/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122</v>
      </c>
      <c r="B54" s="454"/>
      <c r="C54" s="270" t="s">
        <v>588</v>
      </c>
      <c r="D54" s="271" t="s">
        <v>589</v>
      </c>
      <c r="E54" s="270" t="s">
        <v>590</v>
      </c>
      <c r="F54" s="432" t="s">
        <v>591</v>
      </c>
      <c r="G54" s="432"/>
      <c r="H54" s="432"/>
      <c r="I54" s="432"/>
      <c r="J54" s="432"/>
      <c r="K54" s="432"/>
      <c r="L54" s="432"/>
      <c r="M54" s="446"/>
      <c r="N54" s="272"/>
      <c r="O54" s="74"/>
      <c r="P54" s="451"/>
      <c r="Q54" s="452"/>
      <c r="R54" s="445"/>
      <c r="S54" s="445"/>
      <c r="T54" s="445"/>
      <c r="U54" s="445"/>
      <c r="V54" s="432"/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592</v>
      </c>
      <c r="B55" s="454"/>
      <c r="C55" s="270" t="s">
        <v>225</v>
      </c>
      <c r="D55" s="271" t="s">
        <v>585</v>
      </c>
      <c r="E55" s="271" t="s">
        <v>573</v>
      </c>
      <c r="F55" s="432" t="s">
        <v>593</v>
      </c>
      <c r="G55" s="432"/>
      <c r="H55" s="432"/>
      <c r="I55" s="432"/>
      <c r="J55" s="432"/>
      <c r="K55" s="432"/>
      <c r="L55" s="432"/>
      <c r="M55" s="446"/>
      <c r="N55" s="272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 t="s">
        <v>595</v>
      </c>
      <c r="B56" s="445"/>
      <c r="C56" s="271" t="s">
        <v>596</v>
      </c>
      <c r="D56" s="271" t="s">
        <v>597</v>
      </c>
      <c r="E56" s="270" t="s">
        <v>594</v>
      </c>
      <c r="F56" s="432" t="s">
        <v>598</v>
      </c>
      <c r="G56" s="432"/>
      <c r="H56" s="432"/>
      <c r="I56" s="432"/>
      <c r="J56" s="432"/>
      <c r="K56" s="432"/>
      <c r="L56" s="432"/>
      <c r="M56" s="446"/>
      <c r="N56" s="272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600</v>
      </c>
      <c r="B57" s="445"/>
      <c r="C57" s="271" t="s">
        <v>601</v>
      </c>
      <c r="D57" s="271" t="s">
        <v>585</v>
      </c>
      <c r="E57" s="270" t="s">
        <v>599</v>
      </c>
      <c r="F57" s="432" t="s">
        <v>602</v>
      </c>
      <c r="G57" s="432"/>
      <c r="H57" s="432"/>
      <c r="I57" s="432"/>
      <c r="J57" s="432"/>
      <c r="K57" s="432"/>
      <c r="L57" s="432"/>
      <c r="M57" s="446"/>
      <c r="N57" s="272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270"/>
      <c r="D58" s="271"/>
      <c r="E58" s="270"/>
      <c r="F58" s="432"/>
      <c r="G58" s="432"/>
      <c r="H58" s="432"/>
      <c r="I58" s="432"/>
      <c r="J58" s="432"/>
      <c r="K58" s="432"/>
      <c r="L58" s="432"/>
      <c r="M58" s="446"/>
      <c r="N58" s="272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271"/>
      <c r="D59" s="271"/>
      <c r="E59" s="271"/>
      <c r="F59" s="432"/>
      <c r="G59" s="432"/>
      <c r="H59" s="432"/>
      <c r="I59" s="432"/>
      <c r="J59" s="432"/>
      <c r="K59" s="432"/>
      <c r="L59" s="432"/>
      <c r="M59" s="446"/>
      <c r="N59" s="272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274"/>
      <c r="D60" s="274"/>
      <c r="E60" s="274"/>
      <c r="F60" s="449"/>
      <c r="G60" s="449"/>
      <c r="H60" s="449"/>
      <c r="I60" s="449"/>
      <c r="J60" s="449"/>
      <c r="K60" s="449"/>
      <c r="L60" s="449"/>
      <c r="M60" s="450"/>
      <c r="N60" s="273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611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275" t="s">
        <v>2</v>
      </c>
      <c r="D62" s="275" t="s">
        <v>38</v>
      </c>
      <c r="E62" s="275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275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277" t="s">
        <v>122</v>
      </c>
      <c r="D63" s="279"/>
      <c r="E63" s="276" t="s">
        <v>589</v>
      </c>
      <c r="F63" s="421" t="s">
        <v>613</v>
      </c>
      <c r="G63" s="421"/>
      <c r="H63" s="421"/>
      <c r="I63" s="421"/>
      <c r="J63" s="421"/>
      <c r="K63" s="441" t="s">
        <v>614</v>
      </c>
      <c r="L63" s="441"/>
      <c r="M63" s="54" t="s">
        <v>615</v>
      </c>
      <c r="N63" s="421">
        <v>4</v>
      </c>
      <c r="O63" s="421"/>
      <c r="P63" s="431">
        <v>50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277" t="s">
        <v>182</v>
      </c>
      <c r="D64" s="279"/>
      <c r="E64" s="276" t="s">
        <v>618</v>
      </c>
      <c r="F64" s="496" t="s">
        <v>616</v>
      </c>
      <c r="G64" s="421"/>
      <c r="H64" s="421"/>
      <c r="I64" s="421"/>
      <c r="J64" s="421"/>
      <c r="K64" s="441" t="s">
        <v>617</v>
      </c>
      <c r="L64" s="441"/>
      <c r="M64" s="54" t="s">
        <v>615</v>
      </c>
      <c r="N64" s="421">
        <v>6</v>
      </c>
      <c r="O64" s="421"/>
      <c r="P64" s="431">
        <v>230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277" t="s">
        <v>122</v>
      </c>
      <c r="D65" s="279"/>
      <c r="E65" s="276" t="s">
        <v>585</v>
      </c>
      <c r="F65" s="496" t="s">
        <v>619</v>
      </c>
      <c r="G65" s="421"/>
      <c r="H65" s="421"/>
      <c r="I65" s="421"/>
      <c r="J65" s="421"/>
      <c r="K65" s="441" t="s">
        <v>620</v>
      </c>
      <c r="L65" s="441"/>
      <c r="M65" s="54" t="s">
        <v>615</v>
      </c>
      <c r="N65" s="421">
        <v>7</v>
      </c>
      <c r="O65" s="421"/>
      <c r="P65" s="431">
        <v>50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277" t="s">
        <v>622</v>
      </c>
      <c r="D66" s="279"/>
      <c r="E66" s="276" t="s">
        <v>623</v>
      </c>
      <c r="F66" s="421" t="s">
        <v>621</v>
      </c>
      <c r="G66" s="421"/>
      <c r="H66" s="421"/>
      <c r="I66" s="421"/>
      <c r="J66" s="421"/>
      <c r="K66" s="421" t="s">
        <v>624</v>
      </c>
      <c r="L66" s="421"/>
      <c r="M66" s="54" t="s">
        <v>625</v>
      </c>
      <c r="N66" s="421">
        <v>7</v>
      </c>
      <c r="O66" s="421"/>
      <c r="P66" s="431">
        <v>30</v>
      </c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277" t="s">
        <v>612</v>
      </c>
      <c r="D67" s="279"/>
      <c r="E67" s="276" t="s">
        <v>627</v>
      </c>
      <c r="F67" s="421" t="s">
        <v>626</v>
      </c>
      <c r="G67" s="421"/>
      <c r="H67" s="421"/>
      <c r="I67" s="421"/>
      <c r="J67" s="421"/>
      <c r="K67" s="421" t="s">
        <v>620</v>
      </c>
      <c r="L67" s="421"/>
      <c r="M67" s="54" t="s">
        <v>615</v>
      </c>
      <c r="N67" s="421">
        <v>7</v>
      </c>
      <c r="O67" s="421"/>
      <c r="P67" s="431" t="s">
        <v>628</v>
      </c>
      <c r="Q67" s="431"/>
      <c r="R67" s="432" t="s">
        <v>629</v>
      </c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39" customHeight="1">
      <c r="A68" s="429">
        <v>6</v>
      </c>
      <c r="B68" s="430"/>
      <c r="C68" s="277" t="s">
        <v>612</v>
      </c>
      <c r="D68" s="279"/>
      <c r="E68" s="276"/>
      <c r="F68" s="496" t="s">
        <v>630</v>
      </c>
      <c r="G68" s="421"/>
      <c r="H68" s="421"/>
      <c r="I68" s="421"/>
      <c r="J68" s="421"/>
      <c r="K68" s="421" t="s">
        <v>620</v>
      </c>
      <c r="L68" s="421"/>
      <c r="M68" s="54" t="s">
        <v>615</v>
      </c>
      <c r="N68" s="421">
        <v>7</v>
      </c>
      <c r="O68" s="421"/>
      <c r="P68" s="431" t="s">
        <v>628</v>
      </c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39" customHeight="1">
      <c r="A69" s="429">
        <v>7</v>
      </c>
      <c r="B69" s="430"/>
      <c r="C69" s="277" t="s">
        <v>612</v>
      </c>
      <c r="D69" s="279"/>
      <c r="E69" s="276"/>
      <c r="F69" s="496" t="s">
        <v>631</v>
      </c>
      <c r="G69" s="421"/>
      <c r="H69" s="421"/>
      <c r="I69" s="421"/>
      <c r="J69" s="421"/>
      <c r="K69" s="421" t="s">
        <v>620</v>
      </c>
      <c r="L69" s="421"/>
      <c r="M69" s="54" t="s">
        <v>615</v>
      </c>
      <c r="N69" s="421">
        <v>7</v>
      </c>
      <c r="O69" s="421"/>
      <c r="P69" s="431" t="s">
        <v>628</v>
      </c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8</v>
      </c>
      <c r="B70" s="430"/>
      <c r="C70" s="277" t="s">
        <v>612</v>
      </c>
      <c r="D70" s="279"/>
      <c r="E70" s="276"/>
      <c r="F70" s="496" t="s">
        <v>632</v>
      </c>
      <c r="G70" s="421"/>
      <c r="H70" s="421"/>
      <c r="I70" s="421"/>
      <c r="J70" s="421"/>
      <c r="K70" s="421" t="s">
        <v>620</v>
      </c>
      <c r="L70" s="421"/>
      <c r="M70" s="54" t="s">
        <v>615</v>
      </c>
      <c r="N70" s="421">
        <v>7</v>
      </c>
      <c r="O70" s="421"/>
      <c r="P70" s="431" t="s">
        <v>628</v>
      </c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633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278" t="s">
        <v>2</v>
      </c>
      <c r="D72" s="278" t="s">
        <v>38</v>
      </c>
      <c r="E72" s="278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280" t="s">
        <v>62</v>
      </c>
      <c r="D73" s="280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279" t="s">
        <v>129</v>
      </c>
      <c r="D74" s="279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2">A74+1</f>
        <v>3</v>
      </c>
      <c r="B75" s="393"/>
      <c r="C75" s="279" t="s">
        <v>62</v>
      </c>
      <c r="D75" s="279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2"/>
        <v>4</v>
      </c>
      <c r="B76" s="393"/>
      <c r="C76" s="279" t="s">
        <v>62</v>
      </c>
      <c r="D76" s="279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2"/>
        <v>5</v>
      </c>
      <c r="B77" s="393"/>
      <c r="C77" s="279" t="s">
        <v>62</v>
      </c>
      <c r="D77" s="279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2"/>
        <v>6</v>
      </c>
      <c r="B78" s="393"/>
      <c r="C78" s="279" t="s">
        <v>129</v>
      </c>
      <c r="D78" s="279"/>
      <c r="E78" s="35" t="s">
        <v>123</v>
      </c>
      <c r="F78" s="393" t="s">
        <v>253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42803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2"/>
        <v>7</v>
      </c>
      <c r="B79" s="393"/>
      <c r="C79" s="279"/>
      <c r="D79" s="279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2"/>
        <v>8</v>
      </c>
      <c r="B80" s="393"/>
      <c r="C80" s="279"/>
      <c r="D80" s="279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2"/>
        <v>9</v>
      </c>
      <c r="B81" s="393"/>
      <c r="C81" s="279"/>
      <c r="D81" s="279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634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0" zoomScale="72" zoomScaleNormal="72" zoomScaleSheetLayoutView="70" workbookViewId="0">
      <selection activeCell="A16" sqref="A16:XFD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635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>$AD$21</f>
        <v>0.55782522068857143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4950</v>
      </c>
      <c r="K7" s="15">
        <f>L7+2454+5092+5124+5082+1904+1592+4745+5721+5190</f>
        <v>41846</v>
      </c>
      <c r="L7" s="15">
        <f>2202+2740</f>
        <v>4942</v>
      </c>
      <c r="M7" s="16">
        <f t="shared" si="0"/>
        <v>4942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>
        <v>2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0.99838383838383837</v>
      </c>
      <c r="AC7" s="9">
        <f t="shared" si="5"/>
        <v>0.91666666666666663</v>
      </c>
      <c r="AD7" s="10">
        <f t="shared" si="6"/>
        <v>0.9151851851851851</v>
      </c>
      <c r="AE7" s="39">
        <f>$AD$21</f>
        <v>0.55782522068857143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5280</v>
      </c>
      <c r="K8" s="15">
        <f>L8+4409+3630+4007+4889+4777+4548+4820+1965+4267+1063+3219</f>
        <v>46867</v>
      </c>
      <c r="L8" s="15">
        <f>2660+2613</f>
        <v>5273</v>
      </c>
      <c r="M8" s="16">
        <f t="shared" si="0"/>
        <v>5273</v>
      </c>
      <c r="N8" s="16">
        <v>0</v>
      </c>
      <c r="O8" s="62">
        <f t="shared" si="1"/>
        <v>0</v>
      </c>
      <c r="P8" s="42">
        <f t="shared" si="2"/>
        <v>24</v>
      </c>
      <c r="Q8" s="43">
        <f t="shared" si="3"/>
        <v>0</v>
      </c>
      <c r="R8" s="7"/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0.99867424242424241</v>
      </c>
      <c r="AC8" s="9">
        <f t="shared" si="5"/>
        <v>1</v>
      </c>
      <c r="AD8" s="10">
        <f t="shared" si="6"/>
        <v>0.99867424242424241</v>
      </c>
      <c r="AE8" s="39">
        <f>$AD$21</f>
        <v>0.55782522068857143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636</v>
      </c>
      <c r="D9" s="55"/>
      <c r="E9" s="57" t="s">
        <v>637</v>
      </c>
      <c r="F9" s="12" t="s">
        <v>638</v>
      </c>
      <c r="G9" s="12">
        <v>12</v>
      </c>
      <c r="H9" s="13">
        <v>20</v>
      </c>
      <c r="I9" s="34">
        <v>200000</v>
      </c>
      <c r="J9" s="5">
        <v>63390</v>
      </c>
      <c r="K9" s="15">
        <f>L9</f>
        <v>63384</v>
      </c>
      <c r="L9" s="15">
        <f>3191*12+2091*12</f>
        <v>63384</v>
      </c>
      <c r="M9" s="16">
        <f t="shared" si="0"/>
        <v>63384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0.99990534784666352</v>
      </c>
      <c r="AC9" s="9">
        <f t="shared" si="5"/>
        <v>0.95833333333333337</v>
      </c>
      <c r="AD9" s="10">
        <f t="shared" si="6"/>
        <v>0.95824262501971924</v>
      </c>
      <c r="AE9" s="39">
        <f t="shared" ref="AE9" si="8">$AD$21</f>
        <v>0.55782522068857143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639</v>
      </c>
      <c r="D10" s="55" t="s">
        <v>640</v>
      </c>
      <c r="E10" s="57" t="s">
        <v>641</v>
      </c>
      <c r="F10" s="12" t="s">
        <v>642</v>
      </c>
      <c r="G10" s="12">
        <v>1</v>
      </c>
      <c r="H10" s="13">
        <v>25</v>
      </c>
      <c r="I10" s="34">
        <v>400</v>
      </c>
      <c r="J10" s="5">
        <v>561</v>
      </c>
      <c r="K10" s="15">
        <f>L10</f>
        <v>561</v>
      </c>
      <c r="L10" s="15">
        <f>561</f>
        <v>561</v>
      </c>
      <c r="M10" s="16">
        <f t="shared" si="0"/>
        <v>561</v>
      </c>
      <c r="N10" s="16">
        <v>0</v>
      </c>
      <c r="O10" s="62">
        <f t="shared" si="1"/>
        <v>0</v>
      </c>
      <c r="P10" s="42">
        <f t="shared" si="2"/>
        <v>4</v>
      </c>
      <c r="Q10" s="43">
        <f t="shared" si="3"/>
        <v>20</v>
      </c>
      <c r="R10" s="7"/>
      <c r="S10" s="6"/>
      <c r="T10" s="17"/>
      <c r="U10" s="17"/>
      <c r="V10" s="18"/>
      <c r="W10" s="19">
        <v>20</v>
      </c>
      <c r="X10" s="17"/>
      <c r="Y10" s="20"/>
      <c r="Z10" s="20"/>
      <c r="AA10" s="21"/>
      <c r="AB10" s="8">
        <f t="shared" si="4"/>
        <v>1</v>
      </c>
      <c r="AC10" s="9">
        <f t="shared" si="5"/>
        <v>0.16666666666666666</v>
      </c>
      <c r="AD10" s="10">
        <f t="shared" si="6"/>
        <v>0.16666666666666666</v>
      </c>
      <c r="AE10" s="39">
        <f>$AD$21</f>
        <v>0.55782522068857143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129</v>
      </c>
      <c r="D11" s="55" t="s">
        <v>412</v>
      </c>
      <c r="E11" s="57" t="s">
        <v>525</v>
      </c>
      <c r="F11" s="12" t="s">
        <v>414</v>
      </c>
      <c r="G11" s="12">
        <v>1</v>
      </c>
      <c r="H11" s="13">
        <v>25</v>
      </c>
      <c r="I11" s="34">
        <v>300</v>
      </c>
      <c r="J11" s="14">
        <v>430</v>
      </c>
      <c r="K11" s="15">
        <f>L11+430</f>
        <v>430</v>
      </c>
      <c r="L11" s="15">
        <v>0</v>
      </c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>
        <v>24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$AD$21</f>
        <v>0.55782522068857143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489</v>
      </c>
      <c r="F12" s="12" t="s">
        <v>134</v>
      </c>
      <c r="G12" s="12">
        <v>1</v>
      </c>
      <c r="H12" s="13">
        <v>25</v>
      </c>
      <c r="I12" s="34">
        <v>1050</v>
      </c>
      <c r="J12" s="5">
        <v>1240</v>
      </c>
      <c r="K12" s="15">
        <f>L12+1236</f>
        <v>1236</v>
      </c>
      <c r="L12" s="15">
        <v>0</v>
      </c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>$AD$21</f>
        <v>0.55782522068857143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134</v>
      </c>
      <c r="G13" s="12">
        <v>1</v>
      </c>
      <c r="H13" s="13">
        <v>25</v>
      </c>
      <c r="I13" s="7">
        <v>42000</v>
      </c>
      <c r="J13" s="14">
        <v>4690</v>
      </c>
      <c r="K13" s="15">
        <f>L13+2452+3389+4558+2185+3734+1821+2940+2659+4787+4596+2547+3562</f>
        <v>43917</v>
      </c>
      <c r="L13" s="15">
        <f>2405+2282</f>
        <v>4687</v>
      </c>
      <c r="M13" s="16">
        <f t="shared" si="0"/>
        <v>4687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0.99936034115138594</v>
      </c>
      <c r="AC13" s="9">
        <f t="shared" si="5"/>
        <v>1</v>
      </c>
      <c r="AD13" s="10">
        <f t="shared" si="6"/>
        <v>0.99936034115138594</v>
      </c>
      <c r="AE13" s="39">
        <f>$AD$21</f>
        <v>0.55782522068857143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328</v>
      </c>
      <c r="F14" s="33" t="s">
        <v>336</v>
      </c>
      <c r="G14" s="36">
        <v>1</v>
      </c>
      <c r="H14" s="38">
        <v>55</v>
      </c>
      <c r="I14" s="7">
        <v>200</v>
      </c>
      <c r="J14" s="5">
        <v>190</v>
      </c>
      <c r="K14" s="15">
        <f>L14+390+188</f>
        <v>578</v>
      </c>
      <c r="L14" s="15">
        <v>0</v>
      </c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/>
      <c r="S14" s="6">
        <v>24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ref="AE14:AE20" si="9">$AD$21</f>
        <v>0.55782522068857143</v>
      </c>
      <c r="AF14" s="94">
        <f t="shared" si="7"/>
        <v>9</v>
      </c>
    </row>
    <row r="15" spans="1:32" ht="27" customHeight="1">
      <c r="A15" s="109">
        <v>10</v>
      </c>
      <c r="B15" s="11" t="s">
        <v>59</v>
      </c>
      <c r="C15" s="37" t="s">
        <v>159</v>
      </c>
      <c r="D15" s="55" t="s">
        <v>160</v>
      </c>
      <c r="E15" s="57" t="s">
        <v>171</v>
      </c>
      <c r="F15" s="12" t="s">
        <v>161</v>
      </c>
      <c r="G15" s="12">
        <v>2</v>
      </c>
      <c r="H15" s="13">
        <v>20</v>
      </c>
      <c r="I15" s="34">
        <v>20000</v>
      </c>
      <c r="J15" s="5">
        <v>15850</v>
      </c>
      <c r="K15" s="15">
        <f>L15+7200+15894+15894+10920+11164</f>
        <v>76914</v>
      </c>
      <c r="L15" s="15">
        <f>4049*2+3872*2</f>
        <v>15842</v>
      </c>
      <c r="M15" s="16">
        <f t="shared" si="0"/>
        <v>15842</v>
      </c>
      <c r="N15" s="16">
        <v>0</v>
      </c>
      <c r="O15" s="62">
        <f t="shared" si="1"/>
        <v>0</v>
      </c>
      <c r="P15" s="42">
        <f t="shared" si="2"/>
        <v>24</v>
      </c>
      <c r="Q15" s="43">
        <f t="shared" si="3"/>
        <v>0</v>
      </c>
      <c r="R15" s="7"/>
      <c r="S15" s="6"/>
      <c r="T15" s="17"/>
      <c r="U15" s="17"/>
      <c r="V15" s="18"/>
      <c r="W15" s="19"/>
      <c r="X15" s="17"/>
      <c r="Y15" s="20"/>
      <c r="Z15" s="20"/>
      <c r="AA15" s="21"/>
      <c r="AB15" s="8">
        <f t="shared" si="4"/>
        <v>0.9994952681388013</v>
      </c>
      <c r="AC15" s="9">
        <f t="shared" si="5"/>
        <v>1</v>
      </c>
      <c r="AD15" s="10">
        <f t="shared" si="6"/>
        <v>0.9994952681388013</v>
      </c>
      <c r="AE15" s="39">
        <f t="shared" si="9"/>
        <v>0.55782522068857143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4920</v>
      </c>
      <c r="K16" s="15">
        <f>L16+5278+5817+5149+4230+5807+5845+3899+5831+5245</f>
        <v>52016</v>
      </c>
      <c r="L16" s="15">
        <f>2102+2813</f>
        <v>4915</v>
      </c>
      <c r="M16" s="16">
        <f t="shared" si="0"/>
        <v>4915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0.99898373983739841</v>
      </c>
      <c r="AC16" s="9">
        <f t="shared" si="5"/>
        <v>1</v>
      </c>
      <c r="AD16" s="10">
        <f t="shared" si="6"/>
        <v>0.99898373983739841</v>
      </c>
      <c r="AE16" s="39">
        <f t="shared" si="9"/>
        <v>0.55782522068857143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643</v>
      </c>
      <c r="D17" s="55" t="s">
        <v>644</v>
      </c>
      <c r="E17" s="56" t="s">
        <v>645</v>
      </c>
      <c r="F17" s="12" t="s">
        <v>646</v>
      </c>
      <c r="G17" s="12">
        <v>1</v>
      </c>
      <c r="H17" s="13">
        <v>25</v>
      </c>
      <c r="I17" s="34">
        <v>3000</v>
      </c>
      <c r="J17" s="5">
        <v>1450</v>
      </c>
      <c r="K17" s="15">
        <f>L17</f>
        <v>1450</v>
      </c>
      <c r="L17" s="15">
        <f>1054+396</f>
        <v>1450</v>
      </c>
      <c r="M17" s="16">
        <f t="shared" si="0"/>
        <v>1450</v>
      </c>
      <c r="N17" s="16">
        <v>0</v>
      </c>
      <c r="O17" s="62">
        <f t="shared" si="1"/>
        <v>0</v>
      </c>
      <c r="P17" s="42">
        <f t="shared" si="2"/>
        <v>9</v>
      </c>
      <c r="Q17" s="43">
        <f t="shared" si="3"/>
        <v>15</v>
      </c>
      <c r="R17" s="7"/>
      <c r="S17" s="6">
        <v>15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1</v>
      </c>
      <c r="AC17" s="9">
        <f t="shared" si="5"/>
        <v>0.375</v>
      </c>
      <c r="AD17" s="10">
        <f t="shared" si="6"/>
        <v>0.375</v>
      </c>
      <c r="AE17" s="39">
        <f t="shared" si="9"/>
        <v>0.55782522068857143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122</v>
      </c>
      <c r="D18" s="55" t="s">
        <v>162</v>
      </c>
      <c r="E18" s="56" t="s">
        <v>163</v>
      </c>
      <c r="F18" s="33" t="s">
        <v>127</v>
      </c>
      <c r="G18" s="36">
        <v>1</v>
      </c>
      <c r="H18" s="38">
        <v>25</v>
      </c>
      <c r="I18" s="7">
        <v>42000</v>
      </c>
      <c r="J18" s="5">
        <v>5290</v>
      </c>
      <c r="K18" s="15">
        <f>L18+2776+4960+2945+3734+5158+5100+959+4812+5309+3682+5343+5582+2737</f>
        <v>58379</v>
      </c>
      <c r="L18" s="15">
        <f>2685+2597</f>
        <v>5282</v>
      </c>
      <c r="M18" s="16">
        <f t="shared" si="0"/>
        <v>5282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0.99848771266540648</v>
      </c>
      <c r="AC18" s="9">
        <f t="shared" si="5"/>
        <v>1</v>
      </c>
      <c r="AD18" s="10">
        <f t="shared" si="6"/>
        <v>0.99848771266540648</v>
      </c>
      <c r="AE18" s="39">
        <f t="shared" si="9"/>
        <v>0.55782522068857143</v>
      </c>
      <c r="AF18" s="94">
        <f t="shared" si="7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4560</v>
      </c>
      <c r="K19" s="15">
        <f>L19+3360+3759+4940+3946+4510+3949+3533+5051+4317</f>
        <v>41920</v>
      </c>
      <c r="L19" s="15">
        <f>2516+2039</f>
        <v>4555</v>
      </c>
      <c r="M19" s="16">
        <f t="shared" si="0"/>
        <v>4555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>
        <v>1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0.99890350877192979</v>
      </c>
      <c r="AC19" s="9">
        <f t="shared" si="5"/>
        <v>0.95833333333333337</v>
      </c>
      <c r="AD19" s="10">
        <f t="shared" si="6"/>
        <v>0.95728252923976609</v>
      </c>
      <c r="AE19" s="39">
        <f t="shared" si="9"/>
        <v>0.55782522068857143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9"/>
        <v>0.55782522068857143</v>
      </c>
      <c r="AF20" s="94">
        <f t="shared" si="7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0">SUM(I6:I20)</f>
        <v>752950</v>
      </c>
      <c r="J21" s="22">
        <f t="shared" si="10"/>
        <v>150171</v>
      </c>
      <c r="K21" s="23">
        <f t="shared" si="10"/>
        <v>895962</v>
      </c>
      <c r="L21" s="24">
        <f t="shared" si="10"/>
        <v>110891</v>
      </c>
      <c r="M21" s="23">
        <f t="shared" si="10"/>
        <v>110891</v>
      </c>
      <c r="N21" s="24">
        <f t="shared" si="10"/>
        <v>0</v>
      </c>
      <c r="O21" s="44">
        <f t="shared" si="1"/>
        <v>0</v>
      </c>
      <c r="P21" s="45">
        <f t="shared" ref="P21:AA21" si="11">SUM(P6:P20)</f>
        <v>201</v>
      </c>
      <c r="Q21" s="46">
        <f t="shared" si="11"/>
        <v>159</v>
      </c>
      <c r="R21" s="26">
        <f t="shared" si="11"/>
        <v>24</v>
      </c>
      <c r="S21" s="27">
        <f t="shared" si="11"/>
        <v>66</v>
      </c>
      <c r="T21" s="27">
        <f t="shared" si="11"/>
        <v>1</v>
      </c>
      <c r="U21" s="27">
        <f t="shared" si="11"/>
        <v>0</v>
      </c>
      <c r="V21" s="28">
        <f t="shared" si="11"/>
        <v>0</v>
      </c>
      <c r="W21" s="29">
        <f t="shared" si="11"/>
        <v>44</v>
      </c>
      <c r="X21" s="30">
        <f t="shared" si="11"/>
        <v>0</v>
      </c>
      <c r="Y21" s="30">
        <f t="shared" si="11"/>
        <v>0</v>
      </c>
      <c r="Z21" s="30">
        <f t="shared" si="11"/>
        <v>0</v>
      </c>
      <c r="AA21" s="30">
        <f t="shared" si="11"/>
        <v>24</v>
      </c>
      <c r="AB21" s="31">
        <f>SUM(AB6:AB20)/15</f>
        <v>0.66614626661464438</v>
      </c>
      <c r="AC21" s="4">
        <f>SUM(AC6:AC20)/15</f>
        <v>0.55833333333333335</v>
      </c>
      <c r="AD21" s="4">
        <f>SUM(AD6:AD20)/15</f>
        <v>0.55782522068857143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647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656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292" t="s">
        <v>47</v>
      </c>
      <c r="D50" s="292" t="s">
        <v>48</v>
      </c>
      <c r="E50" s="292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292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44" t="s">
        <v>600</v>
      </c>
      <c r="B51" s="445"/>
      <c r="C51" s="288" t="s">
        <v>601</v>
      </c>
      <c r="D51" s="288" t="s">
        <v>585</v>
      </c>
      <c r="E51" s="291" t="s">
        <v>599</v>
      </c>
      <c r="F51" s="432" t="s">
        <v>602</v>
      </c>
      <c r="G51" s="432"/>
      <c r="H51" s="432"/>
      <c r="I51" s="432"/>
      <c r="J51" s="432"/>
      <c r="K51" s="432"/>
      <c r="L51" s="432"/>
      <c r="M51" s="446"/>
      <c r="N51" s="287" t="s">
        <v>592</v>
      </c>
      <c r="O51" s="74" t="s">
        <v>609</v>
      </c>
      <c r="P51" s="451" t="s">
        <v>610</v>
      </c>
      <c r="Q51" s="452"/>
      <c r="R51" s="445" t="s">
        <v>608</v>
      </c>
      <c r="S51" s="445"/>
      <c r="T51" s="445"/>
      <c r="U51" s="445"/>
      <c r="V51" s="432" t="s">
        <v>657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167</v>
      </c>
      <c r="B52" s="445"/>
      <c r="C52" s="288" t="s">
        <v>648</v>
      </c>
      <c r="D52" s="288" t="s">
        <v>649</v>
      </c>
      <c r="E52" s="291" t="s">
        <v>650</v>
      </c>
      <c r="F52" s="432" t="s">
        <v>651</v>
      </c>
      <c r="G52" s="432"/>
      <c r="H52" s="432"/>
      <c r="I52" s="432"/>
      <c r="J52" s="432"/>
      <c r="K52" s="432"/>
      <c r="L52" s="432"/>
      <c r="M52" s="446"/>
      <c r="N52" s="287" t="s">
        <v>659</v>
      </c>
      <c r="O52" s="74" t="s">
        <v>660</v>
      </c>
      <c r="P52" s="451" t="s">
        <v>661</v>
      </c>
      <c r="Q52" s="452"/>
      <c r="R52" s="445" t="s">
        <v>658</v>
      </c>
      <c r="S52" s="445"/>
      <c r="T52" s="445"/>
      <c r="U52" s="445"/>
      <c r="V52" s="432" t="s">
        <v>662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652</v>
      </c>
      <c r="B53" s="454"/>
      <c r="C53" s="291" t="s">
        <v>653</v>
      </c>
      <c r="D53" s="288" t="s">
        <v>644</v>
      </c>
      <c r="E53" s="291" t="s">
        <v>645</v>
      </c>
      <c r="F53" s="432" t="s">
        <v>654</v>
      </c>
      <c r="G53" s="432"/>
      <c r="H53" s="432"/>
      <c r="I53" s="432"/>
      <c r="J53" s="432"/>
      <c r="K53" s="432"/>
      <c r="L53" s="432"/>
      <c r="M53" s="446"/>
      <c r="N53" s="287" t="s">
        <v>167</v>
      </c>
      <c r="O53" s="74" t="s">
        <v>664</v>
      </c>
      <c r="P53" s="451" t="s">
        <v>665</v>
      </c>
      <c r="Q53" s="452"/>
      <c r="R53" s="445" t="s">
        <v>663</v>
      </c>
      <c r="S53" s="445"/>
      <c r="T53" s="445"/>
      <c r="U53" s="445"/>
      <c r="V53" s="432" t="s">
        <v>662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639</v>
      </c>
      <c r="B54" s="454"/>
      <c r="C54" s="291" t="s">
        <v>165</v>
      </c>
      <c r="D54" s="288" t="s">
        <v>640</v>
      </c>
      <c r="E54" s="291" t="s">
        <v>641</v>
      </c>
      <c r="F54" s="432" t="s">
        <v>655</v>
      </c>
      <c r="G54" s="432"/>
      <c r="H54" s="432"/>
      <c r="I54" s="432"/>
      <c r="J54" s="432"/>
      <c r="K54" s="432"/>
      <c r="L54" s="432"/>
      <c r="M54" s="446"/>
      <c r="N54" s="287" t="s">
        <v>167</v>
      </c>
      <c r="O54" s="74" t="s">
        <v>666</v>
      </c>
      <c r="P54" s="451" t="s">
        <v>667</v>
      </c>
      <c r="Q54" s="452"/>
      <c r="R54" s="445" t="s">
        <v>668</v>
      </c>
      <c r="S54" s="445"/>
      <c r="T54" s="445"/>
      <c r="U54" s="445"/>
      <c r="V54" s="432" t="s">
        <v>662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/>
      <c r="B55" s="454"/>
      <c r="C55" s="291"/>
      <c r="D55" s="288"/>
      <c r="E55" s="288"/>
      <c r="F55" s="432"/>
      <c r="G55" s="432"/>
      <c r="H55" s="432"/>
      <c r="I55" s="432"/>
      <c r="J55" s="432"/>
      <c r="K55" s="432"/>
      <c r="L55" s="432"/>
      <c r="M55" s="446"/>
      <c r="N55" s="287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/>
      <c r="B56" s="445"/>
      <c r="C56" s="288"/>
      <c r="D56" s="288"/>
      <c r="E56" s="291"/>
      <c r="F56" s="432"/>
      <c r="G56" s="432"/>
      <c r="H56" s="432"/>
      <c r="I56" s="432"/>
      <c r="J56" s="432"/>
      <c r="K56" s="432"/>
      <c r="L56" s="432"/>
      <c r="M56" s="446"/>
      <c r="N56" s="287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288"/>
      <c r="D57" s="288"/>
      <c r="E57" s="291"/>
      <c r="F57" s="432"/>
      <c r="G57" s="432"/>
      <c r="H57" s="432"/>
      <c r="I57" s="432"/>
      <c r="J57" s="432"/>
      <c r="K57" s="432"/>
      <c r="L57" s="432"/>
      <c r="M57" s="446"/>
      <c r="N57" s="287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291"/>
      <c r="D58" s="288"/>
      <c r="E58" s="291"/>
      <c r="F58" s="432"/>
      <c r="G58" s="432"/>
      <c r="H58" s="432"/>
      <c r="I58" s="432"/>
      <c r="J58" s="432"/>
      <c r="K58" s="432"/>
      <c r="L58" s="432"/>
      <c r="M58" s="446"/>
      <c r="N58" s="287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288"/>
      <c r="D59" s="288"/>
      <c r="E59" s="288"/>
      <c r="F59" s="432"/>
      <c r="G59" s="432"/>
      <c r="H59" s="432"/>
      <c r="I59" s="432"/>
      <c r="J59" s="432"/>
      <c r="K59" s="432"/>
      <c r="L59" s="432"/>
      <c r="M59" s="446"/>
      <c r="N59" s="287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290"/>
      <c r="D60" s="290"/>
      <c r="E60" s="290"/>
      <c r="F60" s="449"/>
      <c r="G60" s="449"/>
      <c r="H60" s="449"/>
      <c r="I60" s="449"/>
      <c r="J60" s="449"/>
      <c r="K60" s="449"/>
      <c r="L60" s="449"/>
      <c r="M60" s="450"/>
      <c r="N60" s="289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669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285" t="s">
        <v>2</v>
      </c>
      <c r="D62" s="285" t="s">
        <v>38</v>
      </c>
      <c r="E62" s="285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285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286" t="s">
        <v>122</v>
      </c>
      <c r="D63" s="281"/>
      <c r="E63" s="283" t="s">
        <v>589</v>
      </c>
      <c r="F63" s="421" t="s">
        <v>670</v>
      </c>
      <c r="G63" s="421"/>
      <c r="H63" s="421"/>
      <c r="I63" s="421"/>
      <c r="J63" s="421"/>
      <c r="K63" s="441" t="s">
        <v>614</v>
      </c>
      <c r="L63" s="441"/>
      <c r="M63" s="54" t="s">
        <v>671</v>
      </c>
      <c r="N63" s="421">
        <v>5</v>
      </c>
      <c r="O63" s="421"/>
      <c r="P63" s="431">
        <v>50</v>
      </c>
      <c r="Q63" s="431"/>
      <c r="R63" s="432" t="s">
        <v>672</v>
      </c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286" t="s">
        <v>673</v>
      </c>
      <c r="D64" s="281"/>
      <c r="E64" s="283" t="s">
        <v>674</v>
      </c>
      <c r="F64" s="496" t="s">
        <v>675</v>
      </c>
      <c r="G64" s="421"/>
      <c r="H64" s="421"/>
      <c r="I64" s="421"/>
      <c r="J64" s="421"/>
      <c r="K64" s="441" t="s">
        <v>676</v>
      </c>
      <c r="L64" s="441"/>
      <c r="M64" s="54" t="s">
        <v>677</v>
      </c>
      <c r="N64" s="421">
        <v>9</v>
      </c>
      <c r="O64" s="421"/>
      <c r="P64" s="431">
        <v>20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286" t="s">
        <v>673</v>
      </c>
      <c r="D65" s="281"/>
      <c r="E65" s="283" t="s">
        <v>674</v>
      </c>
      <c r="F65" s="496" t="s">
        <v>678</v>
      </c>
      <c r="G65" s="421"/>
      <c r="H65" s="421"/>
      <c r="I65" s="421"/>
      <c r="J65" s="421"/>
      <c r="K65" s="441" t="s">
        <v>676</v>
      </c>
      <c r="L65" s="441"/>
      <c r="M65" s="54" t="s">
        <v>677</v>
      </c>
      <c r="N65" s="421">
        <v>9</v>
      </c>
      <c r="O65" s="421"/>
      <c r="P65" s="431">
        <v>20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286" t="s">
        <v>673</v>
      </c>
      <c r="D66" s="281"/>
      <c r="E66" s="283" t="s">
        <v>661</v>
      </c>
      <c r="F66" s="421" t="s">
        <v>679</v>
      </c>
      <c r="G66" s="421"/>
      <c r="H66" s="421"/>
      <c r="I66" s="421"/>
      <c r="J66" s="421"/>
      <c r="K66" s="421" t="s">
        <v>680</v>
      </c>
      <c r="L66" s="421"/>
      <c r="M66" s="54" t="s">
        <v>681</v>
      </c>
      <c r="N66" s="421">
        <v>7</v>
      </c>
      <c r="O66" s="421"/>
      <c r="P66" s="431">
        <v>50</v>
      </c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286"/>
      <c r="D67" s="281"/>
      <c r="E67" s="283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39" customHeight="1">
      <c r="A68" s="429">
        <v>6</v>
      </c>
      <c r="B68" s="430"/>
      <c r="C68" s="286"/>
      <c r="D68" s="281"/>
      <c r="E68" s="283"/>
      <c r="F68" s="496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39" customHeight="1">
      <c r="A69" s="429">
        <v>7</v>
      </c>
      <c r="B69" s="430"/>
      <c r="C69" s="286"/>
      <c r="D69" s="281"/>
      <c r="E69" s="283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8</v>
      </c>
      <c r="B70" s="430"/>
      <c r="C70" s="286"/>
      <c r="D70" s="281"/>
      <c r="E70" s="283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682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284" t="s">
        <v>2</v>
      </c>
      <c r="D72" s="284" t="s">
        <v>38</v>
      </c>
      <c r="E72" s="284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282" t="s">
        <v>62</v>
      </c>
      <c r="D73" s="282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281" t="s">
        <v>129</v>
      </c>
      <c r="D74" s="281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2">A74+1</f>
        <v>3</v>
      </c>
      <c r="B75" s="393"/>
      <c r="C75" s="281" t="s">
        <v>62</v>
      </c>
      <c r="D75" s="281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2"/>
        <v>4</v>
      </c>
      <c r="B76" s="393"/>
      <c r="C76" s="281" t="s">
        <v>62</v>
      </c>
      <c r="D76" s="281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2"/>
        <v>5</v>
      </c>
      <c r="B77" s="393"/>
      <c r="C77" s="281" t="s">
        <v>62</v>
      </c>
      <c r="D77" s="281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2"/>
        <v>6</v>
      </c>
      <c r="B78" s="393"/>
      <c r="C78" s="281" t="s">
        <v>129</v>
      </c>
      <c r="D78" s="281"/>
      <c r="E78" s="35" t="s">
        <v>123</v>
      </c>
      <c r="F78" s="393" t="s">
        <v>253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42803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2"/>
        <v>7</v>
      </c>
      <c r="B79" s="393"/>
      <c r="C79" s="281"/>
      <c r="D79" s="281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2"/>
        <v>8</v>
      </c>
      <c r="B80" s="393"/>
      <c r="C80" s="281"/>
      <c r="D80" s="281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2"/>
        <v>9</v>
      </c>
      <c r="B81" s="393"/>
      <c r="C81" s="281"/>
      <c r="D81" s="281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683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topLeftCell="A40"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684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93" t="s">
        <v>17</v>
      </c>
      <c r="L5" s="293" t="s">
        <v>18</v>
      </c>
      <c r="M5" s="293" t="s">
        <v>19</v>
      </c>
      <c r="N5" s="293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>$AD$23</f>
        <v>0.41945939047855368</v>
      </c>
      <c r="AF6" s="94">
        <f t="shared" ref="AF6:AF22" si="7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5780</v>
      </c>
      <c r="K7" s="15">
        <f>L7+2454+5092+5124+5082+1904+1592+4745+5721+5190+4942</f>
        <v>47617</v>
      </c>
      <c r="L7" s="15">
        <f>2780+2991</f>
        <v>5771</v>
      </c>
      <c r="M7" s="16">
        <f t="shared" si="0"/>
        <v>5771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0.9984429065743945</v>
      </c>
      <c r="AC7" s="9">
        <f t="shared" si="5"/>
        <v>1</v>
      </c>
      <c r="AD7" s="10">
        <f t="shared" si="6"/>
        <v>0.9984429065743945</v>
      </c>
      <c r="AE7" s="39">
        <f>$AD$23</f>
        <v>0.41945939047855368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</f>
        <v>47492</v>
      </c>
      <c r="L8" s="15">
        <v>625</v>
      </c>
      <c r="M8" s="16">
        <f t="shared" si="0"/>
        <v>625</v>
      </c>
      <c r="N8" s="16">
        <v>0</v>
      </c>
      <c r="O8" s="62">
        <f t="shared" si="1"/>
        <v>0</v>
      </c>
      <c r="P8" s="42">
        <f t="shared" si="2"/>
        <v>5</v>
      </c>
      <c r="Q8" s="43">
        <f t="shared" si="3"/>
        <v>19</v>
      </c>
      <c r="R8" s="7">
        <v>19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0.99206349206349209</v>
      </c>
      <c r="AC8" s="9">
        <f t="shared" si="5"/>
        <v>0.20833333333333334</v>
      </c>
      <c r="AD8" s="10">
        <f t="shared" si="6"/>
        <v>0.20667989417989419</v>
      </c>
      <c r="AE8" s="39">
        <f>$AD$23</f>
        <v>0.41945939047855368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636</v>
      </c>
      <c r="D9" s="55"/>
      <c r="E9" s="57" t="s">
        <v>637</v>
      </c>
      <c r="F9" s="12" t="s">
        <v>638</v>
      </c>
      <c r="G9" s="12">
        <v>12</v>
      </c>
      <c r="H9" s="13">
        <v>20</v>
      </c>
      <c r="I9" s="34">
        <v>200000</v>
      </c>
      <c r="J9" s="5">
        <v>71580</v>
      </c>
      <c r="K9" s="15">
        <f>L9+63384</f>
        <v>134964</v>
      </c>
      <c r="L9" s="15">
        <f>2800*12+3165*12</f>
        <v>71580</v>
      </c>
      <c r="M9" s="16">
        <f t="shared" si="0"/>
        <v>71580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1</v>
      </c>
      <c r="AC9" s="9">
        <f t="shared" si="5"/>
        <v>1</v>
      </c>
      <c r="AD9" s="10">
        <f t="shared" si="6"/>
        <v>1</v>
      </c>
      <c r="AE9" s="39">
        <f t="shared" ref="AE9" si="8">$AD$23</f>
        <v>0.41945939047855368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639</v>
      </c>
      <c r="D10" s="55" t="s">
        <v>640</v>
      </c>
      <c r="E10" s="57" t="s">
        <v>641</v>
      </c>
      <c r="F10" s="12" t="s">
        <v>642</v>
      </c>
      <c r="G10" s="12">
        <v>1</v>
      </c>
      <c r="H10" s="13">
        <v>25</v>
      </c>
      <c r="I10" s="34">
        <v>400</v>
      </c>
      <c r="J10" s="5">
        <v>561</v>
      </c>
      <c r="K10" s="15">
        <f>L10+561</f>
        <v>561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ref="AE10:AE22" si="9">$AD$23</f>
        <v>0.41945939047855368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167</v>
      </c>
      <c r="D11" s="55" t="s">
        <v>688</v>
      </c>
      <c r="E11" s="57" t="s">
        <v>689</v>
      </c>
      <c r="F11" s="12" t="s">
        <v>690</v>
      </c>
      <c r="G11" s="12">
        <v>1</v>
      </c>
      <c r="H11" s="13">
        <v>25</v>
      </c>
      <c r="I11" s="34">
        <v>700</v>
      </c>
      <c r="J11" s="14">
        <v>590</v>
      </c>
      <c r="K11" s="15">
        <f>L11</f>
        <v>586</v>
      </c>
      <c r="L11" s="15">
        <v>586</v>
      </c>
      <c r="M11" s="16">
        <f t="shared" ref="M11" si="10">L11-N11</f>
        <v>586</v>
      </c>
      <c r="N11" s="16">
        <v>0</v>
      </c>
      <c r="O11" s="62">
        <f t="shared" ref="O11" si="11">IF(L11=0,"0",N11/L11)</f>
        <v>0</v>
      </c>
      <c r="P11" s="42">
        <f t="shared" ref="P11" si="12">IF(L11=0,"0",(24-Q11))</f>
        <v>4</v>
      </c>
      <c r="Q11" s="43">
        <f t="shared" ref="Q11" si="13">SUM(R11:AA11)</f>
        <v>20</v>
      </c>
      <c r="R11" s="7"/>
      <c r="S11" s="6"/>
      <c r="T11" s="17"/>
      <c r="U11" s="17"/>
      <c r="V11" s="18"/>
      <c r="W11" s="19">
        <v>20</v>
      </c>
      <c r="X11" s="17"/>
      <c r="Y11" s="20"/>
      <c r="Z11" s="20"/>
      <c r="AA11" s="21"/>
      <c r="AB11" s="8">
        <f t="shared" ref="AB11" si="14">IF(J11=0,"0",(L11/J11))</f>
        <v>0.99322033898305084</v>
      </c>
      <c r="AC11" s="9">
        <f t="shared" ref="AC11" si="15">IF(P11=0,"0",(P11/24))</f>
        <v>0.16666666666666666</v>
      </c>
      <c r="AD11" s="10">
        <f t="shared" ref="AD11" si="16">AC11*AB11*(1-O11)</f>
        <v>0.1655367231638418</v>
      </c>
      <c r="AE11" s="39">
        <f t="shared" si="9"/>
        <v>0.41945939047855368</v>
      </c>
      <c r="AF11" s="94">
        <f t="shared" ref="AF11" si="17">A11</f>
        <v>6</v>
      </c>
    </row>
    <row r="12" spans="1:32" ht="27" customHeight="1">
      <c r="A12" s="110">
        <v>6</v>
      </c>
      <c r="B12" s="11" t="s">
        <v>59</v>
      </c>
      <c r="C12" s="11" t="s">
        <v>643</v>
      </c>
      <c r="D12" s="55" t="s">
        <v>685</v>
      </c>
      <c r="E12" s="57" t="s">
        <v>686</v>
      </c>
      <c r="F12" s="12" t="s">
        <v>687</v>
      </c>
      <c r="G12" s="12">
        <v>1</v>
      </c>
      <c r="H12" s="13">
        <v>25</v>
      </c>
      <c r="I12" s="34">
        <v>35000</v>
      </c>
      <c r="J12" s="14">
        <v>3780</v>
      </c>
      <c r="K12" s="15">
        <f>L12</f>
        <v>3776</v>
      </c>
      <c r="L12" s="15">
        <f>731+3045</f>
        <v>3776</v>
      </c>
      <c r="M12" s="16">
        <f t="shared" si="0"/>
        <v>3776</v>
      </c>
      <c r="N12" s="16">
        <v>0</v>
      </c>
      <c r="O12" s="62">
        <f t="shared" si="1"/>
        <v>0</v>
      </c>
      <c r="P12" s="42">
        <f t="shared" si="2"/>
        <v>19</v>
      </c>
      <c r="Q12" s="43">
        <f t="shared" si="3"/>
        <v>5</v>
      </c>
      <c r="R12" s="7"/>
      <c r="S12" s="6"/>
      <c r="T12" s="17">
        <v>5</v>
      </c>
      <c r="U12" s="17"/>
      <c r="V12" s="18"/>
      <c r="W12" s="19"/>
      <c r="X12" s="17"/>
      <c r="Y12" s="20"/>
      <c r="Z12" s="20"/>
      <c r="AA12" s="21"/>
      <c r="AB12" s="8">
        <f t="shared" si="4"/>
        <v>0.99894179894179891</v>
      </c>
      <c r="AC12" s="9">
        <f t="shared" si="5"/>
        <v>0.79166666666666663</v>
      </c>
      <c r="AD12" s="10">
        <f t="shared" si="6"/>
        <v>0.79082892416225747</v>
      </c>
      <c r="AE12" s="39">
        <f t="shared" si="9"/>
        <v>0.41945939047855368</v>
      </c>
      <c r="AF12" s="94">
        <f t="shared" si="7"/>
        <v>6</v>
      </c>
    </row>
    <row r="13" spans="1:32" ht="27" customHeight="1">
      <c r="A13" s="110">
        <v>7</v>
      </c>
      <c r="B13" s="11" t="s">
        <v>59</v>
      </c>
      <c r="C13" s="37" t="s">
        <v>691</v>
      </c>
      <c r="D13" s="55"/>
      <c r="E13" s="57" t="s">
        <v>692</v>
      </c>
      <c r="F13" s="12" t="s">
        <v>693</v>
      </c>
      <c r="G13" s="12">
        <v>8</v>
      </c>
      <c r="H13" s="13">
        <v>15</v>
      </c>
      <c r="I13" s="34">
        <v>3000</v>
      </c>
      <c r="J13" s="5">
        <v>6760</v>
      </c>
      <c r="K13" s="15">
        <f>L13</f>
        <v>6760</v>
      </c>
      <c r="L13" s="15">
        <f>845*8</f>
        <v>6760</v>
      </c>
      <c r="M13" s="16">
        <f t="shared" si="0"/>
        <v>6760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/>
      <c r="X13" s="17"/>
      <c r="Y13" s="20"/>
      <c r="Z13" s="20"/>
      <c r="AA13" s="21">
        <v>18</v>
      </c>
      <c r="AB13" s="8">
        <f t="shared" si="4"/>
        <v>1</v>
      </c>
      <c r="AC13" s="9">
        <f t="shared" si="5"/>
        <v>0.25</v>
      </c>
      <c r="AD13" s="10">
        <f t="shared" si="6"/>
        <v>0.25</v>
      </c>
      <c r="AE13" s="39">
        <f t="shared" si="9"/>
        <v>0.41945939047855368</v>
      </c>
      <c r="AF13" s="94">
        <f t="shared" si="7"/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144</v>
      </c>
      <c r="E14" s="57" t="s">
        <v>157</v>
      </c>
      <c r="F14" s="12" t="s">
        <v>134</v>
      </c>
      <c r="G14" s="12">
        <v>1</v>
      </c>
      <c r="H14" s="13">
        <v>25</v>
      </c>
      <c r="I14" s="7">
        <v>42000</v>
      </c>
      <c r="J14" s="14">
        <v>4190</v>
      </c>
      <c r="K14" s="15">
        <f>L14+2452+3389+4558+2185+3734+1821+2940+2659+4787+4596+2547+3562+4687</f>
        <v>48107</v>
      </c>
      <c r="L14" s="15">
        <f>1821+2369</f>
        <v>4190</v>
      </c>
      <c r="M14" s="16">
        <f t="shared" si="0"/>
        <v>4190</v>
      </c>
      <c r="N14" s="16">
        <v>0</v>
      </c>
      <c r="O14" s="62">
        <f t="shared" si="1"/>
        <v>0</v>
      </c>
      <c r="P14" s="42">
        <f t="shared" si="2"/>
        <v>21</v>
      </c>
      <c r="Q14" s="43">
        <f t="shared" si="3"/>
        <v>3</v>
      </c>
      <c r="R14" s="7"/>
      <c r="S14" s="6">
        <v>3</v>
      </c>
      <c r="T14" s="17"/>
      <c r="U14" s="17"/>
      <c r="V14" s="18"/>
      <c r="W14" s="19"/>
      <c r="X14" s="17"/>
      <c r="Y14" s="20"/>
      <c r="Z14" s="20"/>
      <c r="AA14" s="21"/>
      <c r="AB14" s="8">
        <f t="shared" si="4"/>
        <v>1</v>
      </c>
      <c r="AC14" s="9">
        <f t="shared" si="5"/>
        <v>0.875</v>
      </c>
      <c r="AD14" s="10">
        <f t="shared" si="6"/>
        <v>0.875</v>
      </c>
      <c r="AE14" s="39">
        <f t="shared" si="9"/>
        <v>0.41945939047855368</v>
      </c>
      <c r="AF14" s="94">
        <f t="shared" si="7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58</v>
      </c>
      <c r="E15" s="57" t="s">
        <v>328</v>
      </c>
      <c r="F15" s="33" t="s">
        <v>336</v>
      </c>
      <c r="G15" s="36">
        <v>1</v>
      </c>
      <c r="H15" s="38">
        <v>55</v>
      </c>
      <c r="I15" s="7">
        <v>200</v>
      </c>
      <c r="J15" s="5">
        <v>190</v>
      </c>
      <c r="K15" s="15">
        <f>L15+390+188</f>
        <v>578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>
        <v>24</v>
      </c>
      <c r="T15" s="17"/>
      <c r="U15" s="17"/>
      <c r="V15" s="18"/>
      <c r="W15" s="19"/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9"/>
        <v>0.41945939047855368</v>
      </c>
      <c r="AF15" s="94">
        <f t="shared" si="7"/>
        <v>9</v>
      </c>
    </row>
    <row r="16" spans="1:32" ht="27" customHeight="1">
      <c r="A16" s="109">
        <v>10</v>
      </c>
      <c r="B16" s="11" t="s">
        <v>59</v>
      </c>
      <c r="C16" s="37" t="s">
        <v>159</v>
      </c>
      <c r="D16" s="55" t="s">
        <v>160</v>
      </c>
      <c r="E16" s="57" t="s">
        <v>171</v>
      </c>
      <c r="F16" s="12" t="s">
        <v>161</v>
      </c>
      <c r="G16" s="12">
        <v>2</v>
      </c>
      <c r="H16" s="13">
        <v>20</v>
      </c>
      <c r="I16" s="34">
        <v>20000</v>
      </c>
      <c r="J16" s="5">
        <v>6060</v>
      </c>
      <c r="K16" s="15">
        <f>L16+7200+15894+15894+10920+11164+15842</f>
        <v>82972</v>
      </c>
      <c r="L16" s="15">
        <f>3029*2</f>
        <v>6058</v>
      </c>
      <c r="M16" s="16">
        <f t="shared" si="0"/>
        <v>6058</v>
      </c>
      <c r="N16" s="16">
        <v>0</v>
      </c>
      <c r="O16" s="62">
        <f t="shared" si="1"/>
        <v>0</v>
      </c>
      <c r="P16" s="42">
        <f t="shared" si="2"/>
        <v>10</v>
      </c>
      <c r="Q16" s="43">
        <f t="shared" si="3"/>
        <v>14</v>
      </c>
      <c r="R16" s="7"/>
      <c r="S16" s="6">
        <v>14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0.99966996699669963</v>
      </c>
      <c r="AC16" s="9">
        <f t="shared" si="5"/>
        <v>0.41666666666666669</v>
      </c>
      <c r="AD16" s="10">
        <f t="shared" si="6"/>
        <v>0.41652915291529152</v>
      </c>
      <c r="AE16" s="39">
        <f t="shared" si="9"/>
        <v>0.41945939047855368</v>
      </c>
      <c r="AF16" s="94">
        <f t="shared" si="7"/>
        <v>10</v>
      </c>
    </row>
    <row r="17" spans="1:32" ht="27" customHeight="1">
      <c r="A17" s="109">
        <v>11</v>
      </c>
      <c r="B17" s="11" t="s">
        <v>59</v>
      </c>
      <c r="C17" s="11" t="s">
        <v>129</v>
      </c>
      <c r="D17" s="55" t="s">
        <v>133</v>
      </c>
      <c r="E17" s="56" t="s">
        <v>694</v>
      </c>
      <c r="F17" s="12">
        <v>7301</v>
      </c>
      <c r="G17" s="36">
        <v>1</v>
      </c>
      <c r="H17" s="38">
        <v>25</v>
      </c>
      <c r="I17" s="7">
        <v>700</v>
      </c>
      <c r="J17" s="14">
        <v>1000</v>
      </c>
      <c r="K17" s="15">
        <f>L17</f>
        <v>1000</v>
      </c>
      <c r="L17" s="15">
        <v>1000</v>
      </c>
      <c r="M17" s="16">
        <f t="shared" si="0"/>
        <v>1000</v>
      </c>
      <c r="N17" s="16">
        <v>0</v>
      </c>
      <c r="O17" s="62">
        <f t="shared" si="1"/>
        <v>0</v>
      </c>
      <c r="P17" s="42">
        <f t="shared" si="2"/>
        <v>7</v>
      </c>
      <c r="Q17" s="43">
        <f t="shared" si="3"/>
        <v>17</v>
      </c>
      <c r="R17" s="7"/>
      <c r="S17" s="6"/>
      <c r="T17" s="17"/>
      <c r="U17" s="17"/>
      <c r="V17" s="18"/>
      <c r="W17" s="19">
        <v>17</v>
      </c>
      <c r="X17" s="17"/>
      <c r="Y17" s="20"/>
      <c r="Z17" s="20"/>
      <c r="AA17" s="21"/>
      <c r="AB17" s="8">
        <f t="shared" si="4"/>
        <v>1</v>
      </c>
      <c r="AC17" s="9">
        <f t="shared" si="5"/>
        <v>0.29166666666666669</v>
      </c>
      <c r="AD17" s="10">
        <f t="shared" si="6"/>
        <v>0.29166666666666669</v>
      </c>
      <c r="AE17" s="39">
        <f t="shared" si="9"/>
        <v>0.41945939047855368</v>
      </c>
      <c r="AF17" s="94">
        <f t="shared" si="7"/>
        <v>11</v>
      </c>
    </row>
    <row r="18" spans="1:32" ht="27" customHeight="1">
      <c r="A18" s="109">
        <v>11</v>
      </c>
      <c r="B18" s="11" t="s">
        <v>59</v>
      </c>
      <c r="C18" s="11" t="s">
        <v>129</v>
      </c>
      <c r="D18" s="55" t="s">
        <v>136</v>
      </c>
      <c r="E18" s="56" t="s">
        <v>695</v>
      </c>
      <c r="F18" s="12">
        <v>7301</v>
      </c>
      <c r="G18" s="36">
        <v>1</v>
      </c>
      <c r="H18" s="38">
        <v>25</v>
      </c>
      <c r="I18" s="7">
        <v>700</v>
      </c>
      <c r="J18" s="14">
        <v>830</v>
      </c>
      <c r="K18" s="15">
        <f>L18</f>
        <v>822</v>
      </c>
      <c r="L18" s="15">
        <v>822</v>
      </c>
      <c r="M18" s="16">
        <f t="shared" ref="M18" si="18">L18-N18</f>
        <v>822</v>
      </c>
      <c r="N18" s="16">
        <v>0</v>
      </c>
      <c r="O18" s="62">
        <f t="shared" ref="O18" si="19">IF(L18=0,"0",N18/L18)</f>
        <v>0</v>
      </c>
      <c r="P18" s="42">
        <f t="shared" ref="P18" si="20">IF(L18=0,"0",(24-Q18))</f>
        <v>6</v>
      </c>
      <c r="Q18" s="43">
        <f t="shared" ref="Q18" si="21">SUM(R18:AA18)</f>
        <v>18</v>
      </c>
      <c r="R18" s="7"/>
      <c r="S18" s="6"/>
      <c r="T18" s="17"/>
      <c r="U18" s="17"/>
      <c r="V18" s="18"/>
      <c r="W18" s="19">
        <v>18</v>
      </c>
      <c r="X18" s="17"/>
      <c r="Y18" s="20"/>
      <c r="Z18" s="20"/>
      <c r="AA18" s="21"/>
      <c r="AB18" s="8">
        <f t="shared" ref="AB18" si="22">IF(J18=0,"0",(L18/J18))</f>
        <v>0.99036144578313257</v>
      </c>
      <c r="AC18" s="9">
        <f t="shared" ref="AC18" si="23">IF(P18=0,"0",(P18/24))</f>
        <v>0.25</v>
      </c>
      <c r="AD18" s="10">
        <f t="shared" ref="AD18" si="24">AC18*AB18*(1-O18)</f>
        <v>0.24759036144578314</v>
      </c>
      <c r="AE18" s="39">
        <f t="shared" si="9"/>
        <v>0.41945939047855368</v>
      </c>
      <c r="AF18" s="94">
        <f t="shared" ref="AF18" si="25">A18</f>
        <v>11</v>
      </c>
    </row>
    <row r="19" spans="1:32" ht="27" customHeight="1">
      <c r="A19" s="109">
        <v>12</v>
      </c>
      <c r="B19" s="11" t="s">
        <v>59</v>
      </c>
      <c r="C19" s="37" t="s">
        <v>643</v>
      </c>
      <c r="D19" s="55" t="s">
        <v>644</v>
      </c>
      <c r="E19" s="56" t="s">
        <v>645</v>
      </c>
      <c r="F19" s="12" t="s">
        <v>646</v>
      </c>
      <c r="G19" s="12">
        <v>1</v>
      </c>
      <c r="H19" s="13">
        <v>25</v>
      </c>
      <c r="I19" s="34">
        <v>3000</v>
      </c>
      <c r="J19" s="5">
        <v>1450</v>
      </c>
      <c r="K19" s="15">
        <f>L19+1450</f>
        <v>1450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9"/>
        <v>0.41945939047855368</v>
      </c>
      <c r="AF19" s="94">
        <f t="shared" si="7"/>
        <v>12</v>
      </c>
    </row>
    <row r="20" spans="1:32" ht="27" customHeight="1">
      <c r="A20" s="110">
        <v>13</v>
      </c>
      <c r="B20" s="11" t="s">
        <v>59</v>
      </c>
      <c r="C20" s="37" t="s">
        <v>167</v>
      </c>
      <c r="D20" s="55" t="s">
        <v>661</v>
      </c>
      <c r="E20" s="56" t="s">
        <v>696</v>
      </c>
      <c r="F20" s="33" t="s">
        <v>697</v>
      </c>
      <c r="G20" s="36">
        <v>1</v>
      </c>
      <c r="H20" s="38">
        <v>25</v>
      </c>
      <c r="I20" s="7">
        <v>700</v>
      </c>
      <c r="J20" s="5">
        <v>1920</v>
      </c>
      <c r="K20" s="15">
        <f>L20</f>
        <v>1916</v>
      </c>
      <c r="L20" s="15">
        <f>1458+458</f>
        <v>1916</v>
      </c>
      <c r="M20" s="16">
        <f t="shared" si="0"/>
        <v>1916</v>
      </c>
      <c r="N20" s="16">
        <v>0</v>
      </c>
      <c r="O20" s="62">
        <f t="shared" si="1"/>
        <v>0</v>
      </c>
      <c r="P20" s="42">
        <f t="shared" si="2"/>
        <v>12</v>
      </c>
      <c r="Q20" s="43">
        <f t="shared" si="3"/>
        <v>12</v>
      </c>
      <c r="R20" s="7"/>
      <c r="S20" s="6"/>
      <c r="T20" s="17"/>
      <c r="U20" s="17"/>
      <c r="V20" s="18"/>
      <c r="W20" s="19">
        <v>12</v>
      </c>
      <c r="X20" s="17"/>
      <c r="Y20" s="20"/>
      <c r="Z20" s="20"/>
      <c r="AA20" s="21"/>
      <c r="AB20" s="8">
        <f t="shared" si="4"/>
        <v>0.99791666666666667</v>
      </c>
      <c r="AC20" s="9">
        <f t="shared" si="5"/>
        <v>0.5</v>
      </c>
      <c r="AD20" s="10">
        <f t="shared" si="6"/>
        <v>0.49895833333333334</v>
      </c>
      <c r="AE20" s="39">
        <f t="shared" si="9"/>
        <v>0.41945939047855368</v>
      </c>
      <c r="AF20" s="94">
        <f t="shared" si="7"/>
        <v>13</v>
      </c>
    </row>
    <row r="21" spans="1:32" ht="27" customHeight="1">
      <c r="A21" s="110">
        <v>14</v>
      </c>
      <c r="B21" s="11" t="s">
        <v>59</v>
      </c>
      <c r="C21" s="37" t="s">
        <v>129</v>
      </c>
      <c r="D21" s="55" t="s">
        <v>58</v>
      </c>
      <c r="E21" s="57" t="s">
        <v>141</v>
      </c>
      <c r="F21" s="33" t="s">
        <v>130</v>
      </c>
      <c r="G21" s="36">
        <v>1</v>
      </c>
      <c r="H21" s="38">
        <v>25</v>
      </c>
      <c r="I21" s="34">
        <v>44000</v>
      </c>
      <c r="J21" s="5">
        <v>4560</v>
      </c>
      <c r="K21" s="15">
        <f>L21+3360+3759+4940+3946+4510+3949+3533+5051+4317+4555</f>
        <v>45268</v>
      </c>
      <c r="L21" s="15">
        <f>735+2613</f>
        <v>3348</v>
      </c>
      <c r="M21" s="16">
        <f t="shared" si="0"/>
        <v>3348</v>
      </c>
      <c r="N21" s="16">
        <v>0</v>
      </c>
      <c r="O21" s="62">
        <f t="shared" si="1"/>
        <v>0</v>
      </c>
      <c r="P21" s="42">
        <f t="shared" si="2"/>
        <v>18</v>
      </c>
      <c r="Q21" s="43">
        <f t="shared" si="3"/>
        <v>6</v>
      </c>
      <c r="R21" s="7"/>
      <c r="S21" s="6">
        <v>6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0.73421052631578942</v>
      </c>
      <c r="AC21" s="9">
        <f t="shared" si="5"/>
        <v>0.75</v>
      </c>
      <c r="AD21" s="10">
        <f t="shared" si="6"/>
        <v>0.55065789473684212</v>
      </c>
      <c r="AE21" s="39">
        <f t="shared" si="9"/>
        <v>0.41945939047855368</v>
      </c>
      <c r="AF21" s="94">
        <f t="shared" si="7"/>
        <v>14</v>
      </c>
    </row>
    <row r="22" spans="1:32" ht="27" customHeight="1" thickBot="1">
      <c r="A22" s="110">
        <v>15</v>
      </c>
      <c r="B22" s="11" t="s">
        <v>59</v>
      </c>
      <c r="C22" s="11" t="s">
        <v>119</v>
      </c>
      <c r="D22" s="55" t="s">
        <v>143</v>
      </c>
      <c r="E22" s="56"/>
      <c r="F22" s="12" t="s">
        <v>120</v>
      </c>
      <c r="G22" s="12">
        <v>4</v>
      </c>
      <c r="H22" s="38">
        <v>20</v>
      </c>
      <c r="I22" s="7">
        <v>200000</v>
      </c>
      <c r="J22" s="14">
        <v>35770</v>
      </c>
      <c r="K22" s="15">
        <f>L22+40636+52572+50384+54156+47100+55408+54312+54884+35764</f>
        <v>445216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/>
      <c r="W22" s="19">
        <v>24</v>
      </c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9"/>
        <v>0.41945939047855368</v>
      </c>
      <c r="AF22" s="94">
        <f t="shared" si="7"/>
        <v>15</v>
      </c>
    </row>
    <row r="23" spans="1:32" ht="31.5" customHeight="1" thickBot="1">
      <c r="A23" s="457" t="s">
        <v>34</v>
      </c>
      <c r="B23" s="458"/>
      <c r="C23" s="458"/>
      <c r="D23" s="458"/>
      <c r="E23" s="458"/>
      <c r="F23" s="458"/>
      <c r="G23" s="458"/>
      <c r="H23" s="459"/>
      <c r="I23" s="25">
        <f t="shared" ref="I23:N23" si="26">SUM(I6:I22)</f>
        <v>690400</v>
      </c>
      <c r="J23" s="22">
        <f t="shared" si="26"/>
        <v>147251</v>
      </c>
      <c r="K23" s="23">
        <f t="shared" si="26"/>
        <v>890333</v>
      </c>
      <c r="L23" s="24">
        <f t="shared" si="26"/>
        <v>106432</v>
      </c>
      <c r="M23" s="23">
        <f t="shared" si="26"/>
        <v>106432</v>
      </c>
      <c r="N23" s="24">
        <f t="shared" si="26"/>
        <v>0</v>
      </c>
      <c r="O23" s="44">
        <f t="shared" si="1"/>
        <v>0</v>
      </c>
      <c r="P23" s="45">
        <f t="shared" ref="P23:AA23" si="27">SUM(P6:P22)</f>
        <v>156</v>
      </c>
      <c r="Q23" s="46">
        <f t="shared" si="27"/>
        <v>252</v>
      </c>
      <c r="R23" s="26">
        <f t="shared" si="27"/>
        <v>43</v>
      </c>
      <c r="S23" s="27">
        <f t="shared" si="27"/>
        <v>71</v>
      </c>
      <c r="T23" s="27">
        <f t="shared" si="27"/>
        <v>5</v>
      </c>
      <c r="U23" s="27">
        <f t="shared" si="27"/>
        <v>0</v>
      </c>
      <c r="V23" s="28">
        <f t="shared" si="27"/>
        <v>0</v>
      </c>
      <c r="W23" s="29">
        <f t="shared" si="27"/>
        <v>115</v>
      </c>
      <c r="X23" s="30">
        <f t="shared" si="27"/>
        <v>0</v>
      </c>
      <c r="Y23" s="30">
        <f t="shared" si="27"/>
        <v>0</v>
      </c>
      <c r="Z23" s="30">
        <f t="shared" si="27"/>
        <v>0</v>
      </c>
      <c r="AA23" s="30">
        <f t="shared" si="27"/>
        <v>18</v>
      </c>
      <c r="AB23" s="31">
        <f>SUM(AB6:AB22)/15</f>
        <v>0.78032180948833507</v>
      </c>
      <c r="AC23" s="4">
        <f>SUM(AC6:AC22)/15</f>
        <v>0.43333333333333335</v>
      </c>
      <c r="AD23" s="4">
        <f>SUM(AD6:AD22)/15</f>
        <v>0.41945939047855368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60" t="s">
        <v>46</v>
      </c>
      <c r="B50" s="460"/>
      <c r="C50" s="460"/>
      <c r="D50" s="460"/>
      <c r="E50" s="460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61" t="s">
        <v>698</v>
      </c>
      <c r="B51" s="462"/>
      <c r="C51" s="462"/>
      <c r="D51" s="462"/>
      <c r="E51" s="462"/>
      <c r="F51" s="462"/>
      <c r="G51" s="462"/>
      <c r="H51" s="462"/>
      <c r="I51" s="462"/>
      <c r="J51" s="462"/>
      <c r="K51" s="462"/>
      <c r="L51" s="462"/>
      <c r="M51" s="463"/>
      <c r="N51" s="464" t="s">
        <v>705</v>
      </c>
      <c r="O51" s="465"/>
      <c r="P51" s="465"/>
      <c r="Q51" s="465"/>
      <c r="R51" s="465"/>
      <c r="S51" s="465"/>
      <c r="T51" s="465"/>
      <c r="U51" s="465"/>
      <c r="V51" s="465"/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67" t="s">
        <v>2</v>
      </c>
      <c r="B52" s="468"/>
      <c r="C52" s="292" t="s">
        <v>47</v>
      </c>
      <c r="D52" s="292" t="s">
        <v>48</v>
      </c>
      <c r="E52" s="292" t="s">
        <v>113</v>
      </c>
      <c r="F52" s="468" t="s">
        <v>112</v>
      </c>
      <c r="G52" s="468"/>
      <c r="H52" s="468"/>
      <c r="I52" s="468"/>
      <c r="J52" s="468"/>
      <c r="K52" s="468"/>
      <c r="L52" s="468"/>
      <c r="M52" s="469"/>
      <c r="N52" s="73" t="s">
        <v>117</v>
      </c>
      <c r="O52" s="292" t="s">
        <v>47</v>
      </c>
      <c r="P52" s="470" t="s">
        <v>48</v>
      </c>
      <c r="Q52" s="471"/>
      <c r="R52" s="470" t="s">
        <v>39</v>
      </c>
      <c r="S52" s="472"/>
      <c r="T52" s="472"/>
      <c r="U52" s="471"/>
      <c r="V52" s="470" t="s">
        <v>49</v>
      </c>
      <c r="W52" s="472"/>
      <c r="X52" s="472"/>
      <c r="Y52" s="472"/>
      <c r="Z52" s="472"/>
      <c r="AA52" s="472"/>
      <c r="AB52" s="472"/>
      <c r="AC52" s="472"/>
      <c r="AD52" s="473"/>
    </row>
    <row r="53" spans="1:32" ht="27" customHeight="1">
      <c r="A53" s="444" t="s">
        <v>600</v>
      </c>
      <c r="B53" s="445"/>
      <c r="C53" s="288" t="s">
        <v>601</v>
      </c>
      <c r="D53" s="288" t="s">
        <v>585</v>
      </c>
      <c r="E53" s="291" t="s">
        <v>599</v>
      </c>
      <c r="F53" s="432" t="s">
        <v>699</v>
      </c>
      <c r="G53" s="432"/>
      <c r="H53" s="432"/>
      <c r="I53" s="432"/>
      <c r="J53" s="432"/>
      <c r="K53" s="432"/>
      <c r="L53" s="432"/>
      <c r="M53" s="446"/>
      <c r="N53" s="287" t="s">
        <v>592</v>
      </c>
      <c r="O53" s="74" t="s">
        <v>609</v>
      </c>
      <c r="P53" s="451" t="s">
        <v>610</v>
      </c>
      <c r="Q53" s="452"/>
      <c r="R53" s="445" t="s">
        <v>608</v>
      </c>
      <c r="S53" s="445"/>
      <c r="T53" s="445"/>
      <c r="U53" s="445"/>
      <c r="V53" s="432" t="s">
        <v>657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700</v>
      </c>
      <c r="B54" s="445"/>
      <c r="C54" s="288" t="s">
        <v>701</v>
      </c>
      <c r="D54" s="288" t="s">
        <v>702</v>
      </c>
      <c r="E54" s="291" t="s">
        <v>686</v>
      </c>
      <c r="F54" s="432" t="s">
        <v>703</v>
      </c>
      <c r="G54" s="432"/>
      <c r="H54" s="432"/>
      <c r="I54" s="432"/>
      <c r="J54" s="432"/>
      <c r="K54" s="432"/>
      <c r="L54" s="432"/>
      <c r="M54" s="446"/>
      <c r="N54" s="287" t="s">
        <v>639</v>
      </c>
      <c r="O54" s="74" t="s">
        <v>707</v>
      </c>
      <c r="P54" s="451" t="s">
        <v>661</v>
      </c>
      <c r="Q54" s="452"/>
      <c r="R54" s="445" t="s">
        <v>706</v>
      </c>
      <c r="S54" s="445"/>
      <c r="T54" s="445"/>
      <c r="U54" s="445"/>
      <c r="V54" s="432" t="s">
        <v>662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167</v>
      </c>
      <c r="B55" s="454"/>
      <c r="C55" s="291" t="s">
        <v>666</v>
      </c>
      <c r="D55" s="288" t="s">
        <v>667</v>
      </c>
      <c r="E55" s="291" t="s">
        <v>694</v>
      </c>
      <c r="F55" s="432" t="s">
        <v>662</v>
      </c>
      <c r="G55" s="432"/>
      <c r="H55" s="432"/>
      <c r="I55" s="432"/>
      <c r="J55" s="432"/>
      <c r="K55" s="432"/>
      <c r="L55" s="432"/>
      <c r="M55" s="446"/>
      <c r="N55" s="287" t="s">
        <v>659</v>
      </c>
      <c r="O55" s="74" t="s">
        <v>704</v>
      </c>
      <c r="P55" s="451" t="s">
        <v>709</v>
      </c>
      <c r="Q55" s="452"/>
      <c r="R55" s="445" t="s">
        <v>708</v>
      </c>
      <c r="S55" s="445"/>
      <c r="T55" s="445"/>
      <c r="U55" s="445"/>
      <c r="V55" s="432" t="s">
        <v>222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167</v>
      </c>
      <c r="B56" s="454"/>
      <c r="C56" s="291" t="s">
        <v>664</v>
      </c>
      <c r="D56" s="288" t="s">
        <v>665</v>
      </c>
      <c r="E56" s="291" t="s">
        <v>695</v>
      </c>
      <c r="F56" s="432" t="s">
        <v>662</v>
      </c>
      <c r="G56" s="432"/>
      <c r="H56" s="432"/>
      <c r="I56" s="432"/>
      <c r="J56" s="432"/>
      <c r="K56" s="432"/>
      <c r="L56" s="432"/>
      <c r="M56" s="446"/>
      <c r="N56" s="287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53" t="s">
        <v>167</v>
      </c>
      <c r="B57" s="454"/>
      <c r="C57" s="291" t="s">
        <v>704</v>
      </c>
      <c r="D57" s="288" t="s">
        <v>661</v>
      </c>
      <c r="E57" s="288" t="s">
        <v>696</v>
      </c>
      <c r="F57" s="432" t="s">
        <v>662</v>
      </c>
      <c r="G57" s="432"/>
      <c r="H57" s="432"/>
      <c r="I57" s="432"/>
      <c r="J57" s="432"/>
      <c r="K57" s="432"/>
      <c r="L57" s="432"/>
      <c r="M57" s="446"/>
      <c r="N57" s="287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/>
      <c r="B58" s="445"/>
      <c r="C58" s="288"/>
      <c r="D58" s="288"/>
      <c r="E58" s="291"/>
      <c r="F58" s="432"/>
      <c r="G58" s="432"/>
      <c r="H58" s="432"/>
      <c r="I58" s="432"/>
      <c r="J58" s="432"/>
      <c r="K58" s="432"/>
      <c r="L58" s="432"/>
      <c r="M58" s="446"/>
      <c r="N58" s="287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288"/>
      <c r="D59" s="288"/>
      <c r="E59" s="291"/>
      <c r="F59" s="432"/>
      <c r="G59" s="432"/>
      <c r="H59" s="432"/>
      <c r="I59" s="432"/>
      <c r="J59" s="432"/>
      <c r="K59" s="432"/>
      <c r="L59" s="432"/>
      <c r="M59" s="446"/>
      <c r="N59" s="287"/>
      <c r="O59" s="74"/>
      <c r="P59" s="451"/>
      <c r="Q59" s="452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53"/>
      <c r="B60" s="454"/>
      <c r="C60" s="291"/>
      <c r="D60" s="288"/>
      <c r="E60" s="291"/>
      <c r="F60" s="432"/>
      <c r="G60" s="432"/>
      <c r="H60" s="432"/>
      <c r="I60" s="432"/>
      <c r="J60" s="432"/>
      <c r="K60" s="432"/>
      <c r="L60" s="432"/>
      <c r="M60" s="446"/>
      <c r="N60" s="287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</row>
    <row r="61" spans="1:32" ht="27" customHeight="1">
      <c r="A61" s="444"/>
      <c r="B61" s="445"/>
      <c r="C61" s="288"/>
      <c r="D61" s="288"/>
      <c r="E61" s="288"/>
      <c r="F61" s="432"/>
      <c r="G61" s="432"/>
      <c r="H61" s="432"/>
      <c r="I61" s="432"/>
      <c r="J61" s="432"/>
      <c r="K61" s="432"/>
      <c r="L61" s="432"/>
      <c r="M61" s="446"/>
      <c r="N61" s="287"/>
      <c r="O61" s="74"/>
      <c r="P61" s="445"/>
      <c r="Q61" s="445"/>
      <c r="R61" s="445"/>
      <c r="S61" s="445"/>
      <c r="T61" s="445"/>
      <c r="U61" s="445"/>
      <c r="V61" s="432"/>
      <c r="W61" s="432"/>
      <c r="X61" s="432"/>
      <c r="Y61" s="432"/>
      <c r="Z61" s="432"/>
      <c r="AA61" s="432"/>
      <c r="AB61" s="432"/>
      <c r="AC61" s="432"/>
      <c r="AD61" s="446"/>
      <c r="AF61" s="94">
        <f>8*3000</f>
        <v>24000</v>
      </c>
    </row>
    <row r="62" spans="1:32" ht="27" customHeight="1" thickBot="1">
      <c r="A62" s="447"/>
      <c r="B62" s="448"/>
      <c r="C62" s="290"/>
      <c r="D62" s="290"/>
      <c r="E62" s="290"/>
      <c r="F62" s="449"/>
      <c r="G62" s="449"/>
      <c r="H62" s="449"/>
      <c r="I62" s="449"/>
      <c r="J62" s="449"/>
      <c r="K62" s="449"/>
      <c r="L62" s="449"/>
      <c r="M62" s="450"/>
      <c r="N62" s="289"/>
      <c r="O62" s="121"/>
      <c r="P62" s="448"/>
      <c r="Q62" s="448"/>
      <c r="R62" s="448"/>
      <c r="S62" s="448"/>
      <c r="T62" s="448"/>
      <c r="U62" s="448"/>
      <c r="V62" s="449"/>
      <c r="W62" s="449"/>
      <c r="X62" s="449"/>
      <c r="Y62" s="449"/>
      <c r="Z62" s="449"/>
      <c r="AA62" s="449"/>
      <c r="AB62" s="449"/>
      <c r="AC62" s="449"/>
      <c r="AD62" s="450"/>
      <c r="AF62" s="94">
        <f>16*3000</f>
        <v>48000</v>
      </c>
    </row>
    <row r="63" spans="1:32" ht="27.75" thickBot="1">
      <c r="A63" s="442" t="s">
        <v>710</v>
      </c>
      <c r="B63" s="442"/>
      <c r="C63" s="442"/>
      <c r="D63" s="442"/>
      <c r="E63" s="442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43" t="s">
        <v>118</v>
      </c>
      <c r="B64" s="439"/>
      <c r="C64" s="285" t="s">
        <v>2</v>
      </c>
      <c r="D64" s="285" t="s">
        <v>38</v>
      </c>
      <c r="E64" s="285" t="s">
        <v>3</v>
      </c>
      <c r="F64" s="439" t="s">
        <v>115</v>
      </c>
      <c r="G64" s="439"/>
      <c r="H64" s="439"/>
      <c r="I64" s="439"/>
      <c r="J64" s="439"/>
      <c r="K64" s="439" t="s">
        <v>40</v>
      </c>
      <c r="L64" s="439"/>
      <c r="M64" s="285" t="s">
        <v>41</v>
      </c>
      <c r="N64" s="439" t="s">
        <v>42</v>
      </c>
      <c r="O64" s="439"/>
      <c r="P64" s="436" t="s">
        <v>43</v>
      </c>
      <c r="Q64" s="438"/>
      <c r="R64" s="436" t="s">
        <v>44</v>
      </c>
      <c r="S64" s="437"/>
      <c r="T64" s="437"/>
      <c r="U64" s="437"/>
      <c r="V64" s="437"/>
      <c r="W64" s="437"/>
      <c r="X64" s="437"/>
      <c r="Y64" s="437"/>
      <c r="Z64" s="437"/>
      <c r="AA64" s="438"/>
      <c r="AB64" s="439" t="s">
        <v>45</v>
      </c>
      <c r="AC64" s="439"/>
      <c r="AD64" s="440"/>
      <c r="AF64" s="94">
        <f>SUM(AF61:AF63)</f>
        <v>96000</v>
      </c>
    </row>
    <row r="65" spans="1:32" ht="26.25" customHeight="1">
      <c r="A65" s="429">
        <v>1</v>
      </c>
      <c r="B65" s="430"/>
      <c r="C65" s="286" t="s">
        <v>643</v>
      </c>
      <c r="D65" s="281"/>
      <c r="E65" s="283" t="s">
        <v>685</v>
      </c>
      <c r="F65" s="421" t="s">
        <v>711</v>
      </c>
      <c r="G65" s="421"/>
      <c r="H65" s="421"/>
      <c r="I65" s="421"/>
      <c r="J65" s="421"/>
      <c r="K65" s="441" t="s">
        <v>712</v>
      </c>
      <c r="L65" s="441"/>
      <c r="M65" s="54" t="s">
        <v>671</v>
      </c>
      <c r="N65" s="421">
        <v>6</v>
      </c>
      <c r="O65" s="421"/>
      <c r="P65" s="431">
        <v>100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6.25" customHeight="1">
      <c r="A66" s="429">
        <v>2</v>
      </c>
      <c r="B66" s="430"/>
      <c r="C66" s="286" t="s">
        <v>643</v>
      </c>
      <c r="D66" s="281"/>
      <c r="E66" s="283" t="s">
        <v>713</v>
      </c>
      <c r="F66" s="496" t="s">
        <v>714</v>
      </c>
      <c r="G66" s="421"/>
      <c r="H66" s="421"/>
      <c r="I66" s="421"/>
      <c r="J66" s="421"/>
      <c r="K66" s="441" t="s">
        <v>715</v>
      </c>
      <c r="L66" s="441"/>
      <c r="M66" s="54" t="s">
        <v>671</v>
      </c>
      <c r="N66" s="421">
        <v>7</v>
      </c>
      <c r="O66" s="421"/>
      <c r="P66" s="431">
        <v>100</v>
      </c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</row>
    <row r="67" spans="1:32" ht="26.25" customHeight="1">
      <c r="A67" s="429">
        <v>3</v>
      </c>
      <c r="B67" s="430"/>
      <c r="C67" s="286" t="s">
        <v>643</v>
      </c>
      <c r="D67" s="281"/>
      <c r="E67" s="283" t="s">
        <v>661</v>
      </c>
      <c r="F67" s="496" t="s">
        <v>716</v>
      </c>
      <c r="G67" s="421"/>
      <c r="H67" s="421"/>
      <c r="I67" s="421"/>
      <c r="J67" s="421"/>
      <c r="K67" s="441" t="s">
        <v>717</v>
      </c>
      <c r="L67" s="441"/>
      <c r="M67" s="54" t="s">
        <v>671</v>
      </c>
      <c r="N67" s="421">
        <v>7</v>
      </c>
      <c r="O67" s="421"/>
      <c r="P67" s="431">
        <v>100</v>
      </c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4</v>
      </c>
      <c r="B68" s="430"/>
      <c r="C68" s="286" t="s">
        <v>643</v>
      </c>
      <c r="D68" s="281"/>
      <c r="E68" s="283" t="s">
        <v>665</v>
      </c>
      <c r="F68" s="421" t="s">
        <v>718</v>
      </c>
      <c r="G68" s="421"/>
      <c r="H68" s="421"/>
      <c r="I68" s="421"/>
      <c r="J68" s="421"/>
      <c r="K68" s="421" t="s">
        <v>719</v>
      </c>
      <c r="L68" s="421"/>
      <c r="M68" s="54" t="s">
        <v>677</v>
      </c>
      <c r="N68" s="421">
        <v>12</v>
      </c>
      <c r="O68" s="421"/>
      <c r="P68" s="431" t="s">
        <v>720</v>
      </c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5</v>
      </c>
      <c r="B69" s="430"/>
      <c r="C69" s="286" t="s">
        <v>691</v>
      </c>
      <c r="D69" s="281"/>
      <c r="E69" s="283"/>
      <c r="F69" s="421" t="s">
        <v>692</v>
      </c>
      <c r="G69" s="421"/>
      <c r="H69" s="421"/>
      <c r="I69" s="421"/>
      <c r="J69" s="421"/>
      <c r="K69" s="421" t="s">
        <v>721</v>
      </c>
      <c r="L69" s="421"/>
      <c r="M69" s="54" t="s">
        <v>671</v>
      </c>
      <c r="N69" s="421">
        <v>7</v>
      </c>
      <c r="O69" s="421"/>
      <c r="P69" s="431">
        <v>3000</v>
      </c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6</v>
      </c>
      <c r="B70" s="430"/>
      <c r="C70" s="286"/>
      <c r="D70" s="281"/>
      <c r="E70" s="283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39" customHeight="1">
      <c r="A71" s="429">
        <v>7</v>
      </c>
      <c r="B71" s="430"/>
      <c r="C71" s="286"/>
      <c r="D71" s="281"/>
      <c r="E71" s="283"/>
      <c r="F71" s="496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39" customHeight="1">
      <c r="A72" s="429">
        <v>8</v>
      </c>
      <c r="B72" s="430"/>
      <c r="C72" s="286"/>
      <c r="D72" s="281"/>
      <c r="E72" s="283"/>
      <c r="F72" s="496"/>
      <c r="G72" s="421"/>
      <c r="H72" s="421"/>
      <c r="I72" s="421"/>
      <c r="J72" s="421"/>
      <c r="K72" s="421"/>
      <c r="L72" s="421"/>
      <c r="M72" s="54"/>
      <c r="N72" s="421"/>
      <c r="O72" s="421"/>
      <c r="P72" s="431"/>
      <c r="Q72" s="431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21"/>
      <c r="AC72" s="421"/>
      <c r="AD72" s="422"/>
      <c r="AF72" s="53"/>
    </row>
    <row r="73" spans="1:32" ht="26.25" customHeight="1" thickBot="1">
      <c r="A73" s="400" t="s">
        <v>722</v>
      </c>
      <c r="B73" s="400"/>
      <c r="C73" s="400"/>
      <c r="D73" s="400"/>
      <c r="E73" s="400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3" t="s">
        <v>118</v>
      </c>
      <c r="B74" s="424"/>
      <c r="C74" s="284" t="s">
        <v>2</v>
      </c>
      <c r="D74" s="284" t="s">
        <v>38</v>
      </c>
      <c r="E74" s="284" t="s">
        <v>3</v>
      </c>
      <c r="F74" s="424" t="s">
        <v>39</v>
      </c>
      <c r="G74" s="424"/>
      <c r="H74" s="424"/>
      <c r="I74" s="424"/>
      <c r="J74" s="424"/>
      <c r="K74" s="425" t="s">
        <v>60</v>
      </c>
      <c r="L74" s="426"/>
      <c r="M74" s="426"/>
      <c r="N74" s="426"/>
      <c r="O74" s="426"/>
      <c r="P74" s="426"/>
      <c r="Q74" s="426"/>
      <c r="R74" s="426"/>
      <c r="S74" s="427"/>
      <c r="T74" s="424" t="s">
        <v>50</v>
      </c>
      <c r="U74" s="424"/>
      <c r="V74" s="425" t="s">
        <v>51</v>
      </c>
      <c r="W74" s="427"/>
      <c r="X74" s="426" t="s">
        <v>52</v>
      </c>
      <c r="Y74" s="426"/>
      <c r="Z74" s="426"/>
      <c r="AA74" s="426"/>
      <c r="AB74" s="426"/>
      <c r="AC74" s="426"/>
      <c r="AD74" s="428"/>
      <c r="AF74" s="53"/>
    </row>
    <row r="75" spans="1:32" ht="33.75" customHeight="1">
      <c r="A75" s="408">
        <v>1</v>
      </c>
      <c r="B75" s="409"/>
      <c r="C75" s="282" t="s">
        <v>62</v>
      </c>
      <c r="D75" s="282"/>
      <c r="E75" s="71" t="s">
        <v>58</v>
      </c>
      <c r="F75" s="410" t="s">
        <v>63</v>
      </c>
      <c r="G75" s="411"/>
      <c r="H75" s="411"/>
      <c r="I75" s="411"/>
      <c r="J75" s="412"/>
      <c r="K75" s="413" t="s">
        <v>61</v>
      </c>
      <c r="L75" s="414"/>
      <c r="M75" s="414"/>
      <c r="N75" s="414"/>
      <c r="O75" s="414"/>
      <c r="P75" s="414"/>
      <c r="Q75" s="414"/>
      <c r="R75" s="414"/>
      <c r="S75" s="415"/>
      <c r="T75" s="416">
        <v>41791</v>
      </c>
      <c r="U75" s="417"/>
      <c r="V75" s="418"/>
      <c r="W75" s="418"/>
      <c r="X75" s="419"/>
      <c r="Y75" s="419"/>
      <c r="Z75" s="419"/>
      <c r="AA75" s="419"/>
      <c r="AB75" s="419"/>
      <c r="AC75" s="419"/>
      <c r="AD75" s="420"/>
      <c r="AF75" s="53"/>
    </row>
    <row r="76" spans="1:32" ht="30" customHeight="1">
      <c r="A76" s="392">
        <f>A75+1</f>
        <v>2</v>
      </c>
      <c r="B76" s="393"/>
      <c r="C76" s="281" t="s">
        <v>129</v>
      </c>
      <c r="D76" s="281"/>
      <c r="E76" s="35" t="s">
        <v>121</v>
      </c>
      <c r="F76" s="393" t="s">
        <v>138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42779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ref="A77:A83" si="28">A76+1</f>
        <v>3</v>
      </c>
      <c r="B77" s="393"/>
      <c r="C77" s="281" t="s">
        <v>62</v>
      </c>
      <c r="D77" s="281"/>
      <c r="E77" s="35" t="s">
        <v>121</v>
      </c>
      <c r="F77" s="393" t="s">
        <v>125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28"/>
        <v>4</v>
      </c>
      <c r="B78" s="393"/>
      <c r="C78" s="281" t="s">
        <v>62</v>
      </c>
      <c r="D78" s="281"/>
      <c r="E78" s="35" t="s">
        <v>121</v>
      </c>
      <c r="F78" s="393" t="s">
        <v>124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28"/>
        <v>5</v>
      </c>
      <c r="B79" s="393"/>
      <c r="C79" s="281" t="s">
        <v>62</v>
      </c>
      <c r="D79" s="281"/>
      <c r="E79" s="35" t="s">
        <v>58</v>
      </c>
      <c r="F79" s="393" t="s">
        <v>126</v>
      </c>
      <c r="G79" s="393"/>
      <c r="H79" s="393"/>
      <c r="I79" s="393"/>
      <c r="J79" s="393"/>
      <c r="K79" s="402" t="s">
        <v>61</v>
      </c>
      <c r="L79" s="403"/>
      <c r="M79" s="403"/>
      <c r="N79" s="403"/>
      <c r="O79" s="403"/>
      <c r="P79" s="403"/>
      <c r="Q79" s="403"/>
      <c r="R79" s="403"/>
      <c r="S79" s="404"/>
      <c r="T79" s="405">
        <v>42667</v>
      </c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28"/>
        <v>6</v>
      </c>
      <c r="B80" s="393"/>
      <c r="C80" s="281" t="s">
        <v>129</v>
      </c>
      <c r="D80" s="281"/>
      <c r="E80" s="35" t="s">
        <v>123</v>
      </c>
      <c r="F80" s="393" t="s">
        <v>253</v>
      </c>
      <c r="G80" s="393"/>
      <c r="H80" s="393"/>
      <c r="I80" s="393"/>
      <c r="J80" s="393"/>
      <c r="K80" s="402" t="s">
        <v>128</v>
      </c>
      <c r="L80" s="403"/>
      <c r="M80" s="403"/>
      <c r="N80" s="403"/>
      <c r="O80" s="403"/>
      <c r="P80" s="403"/>
      <c r="Q80" s="403"/>
      <c r="R80" s="403"/>
      <c r="S80" s="404"/>
      <c r="T80" s="405">
        <v>42803</v>
      </c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28"/>
        <v>7</v>
      </c>
      <c r="B81" s="393"/>
      <c r="C81" s="281"/>
      <c r="D81" s="281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28"/>
        <v>8</v>
      </c>
      <c r="B82" s="393"/>
      <c r="C82" s="281"/>
      <c r="D82" s="281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0" customHeight="1">
      <c r="A83" s="392">
        <f t="shared" si="28"/>
        <v>9</v>
      </c>
      <c r="B83" s="393"/>
      <c r="C83" s="281"/>
      <c r="D83" s="281"/>
      <c r="E83" s="35"/>
      <c r="F83" s="393"/>
      <c r="G83" s="393"/>
      <c r="H83" s="393"/>
      <c r="I83" s="393"/>
      <c r="J83" s="393"/>
      <c r="K83" s="402"/>
      <c r="L83" s="403"/>
      <c r="M83" s="403"/>
      <c r="N83" s="403"/>
      <c r="O83" s="403"/>
      <c r="P83" s="403"/>
      <c r="Q83" s="403"/>
      <c r="R83" s="403"/>
      <c r="S83" s="404"/>
      <c r="T83" s="405"/>
      <c r="U83" s="405"/>
      <c r="V83" s="405"/>
      <c r="W83" s="405"/>
      <c r="X83" s="406"/>
      <c r="Y83" s="406"/>
      <c r="Z83" s="406"/>
      <c r="AA83" s="406"/>
      <c r="AB83" s="406"/>
      <c r="AC83" s="406"/>
      <c r="AD83" s="407"/>
      <c r="AF83" s="53"/>
    </row>
    <row r="84" spans="1:32" ht="36" thickBot="1">
      <c r="A84" s="400" t="s">
        <v>723</v>
      </c>
      <c r="B84" s="400"/>
      <c r="C84" s="400"/>
      <c r="D84" s="400"/>
      <c r="E84" s="400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01" t="s">
        <v>37</v>
      </c>
      <c r="B85" s="396"/>
      <c r="C85" s="396" t="s">
        <v>53</v>
      </c>
      <c r="D85" s="396"/>
      <c r="E85" s="396" t="s">
        <v>54</v>
      </c>
      <c r="F85" s="396"/>
      <c r="G85" s="396"/>
      <c r="H85" s="396"/>
      <c r="I85" s="396"/>
      <c r="J85" s="396"/>
      <c r="K85" s="396" t="s">
        <v>55</v>
      </c>
      <c r="L85" s="396"/>
      <c r="M85" s="396"/>
      <c r="N85" s="396"/>
      <c r="O85" s="396"/>
      <c r="P85" s="396"/>
      <c r="Q85" s="396"/>
      <c r="R85" s="396"/>
      <c r="S85" s="396"/>
      <c r="T85" s="396" t="s">
        <v>56</v>
      </c>
      <c r="U85" s="396"/>
      <c r="V85" s="396" t="s">
        <v>57</v>
      </c>
      <c r="W85" s="396"/>
      <c r="X85" s="396"/>
      <c r="Y85" s="396" t="s">
        <v>52</v>
      </c>
      <c r="Z85" s="396"/>
      <c r="AA85" s="396"/>
      <c r="AB85" s="396"/>
      <c r="AC85" s="396"/>
      <c r="AD85" s="397"/>
      <c r="AF85" s="53"/>
    </row>
    <row r="86" spans="1:32" ht="30.75" customHeight="1">
      <c r="A86" s="398">
        <v>1</v>
      </c>
      <c r="B86" s="399"/>
      <c r="C86" s="394">
        <v>1</v>
      </c>
      <c r="D86" s="394"/>
      <c r="E86" s="394" t="s">
        <v>561</v>
      </c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 t="s">
        <v>486</v>
      </c>
      <c r="U86" s="394"/>
      <c r="V86" s="395"/>
      <c r="W86" s="395"/>
      <c r="X86" s="395"/>
      <c r="Y86" s="386" t="s">
        <v>562</v>
      </c>
      <c r="Z86" s="386"/>
      <c r="AA86" s="386"/>
      <c r="AB86" s="386"/>
      <c r="AC86" s="386"/>
      <c r="AD86" s="387"/>
      <c r="AF86" s="53"/>
    </row>
    <row r="87" spans="1:32" ht="30.75" customHeight="1">
      <c r="A87" s="392">
        <v>2</v>
      </c>
      <c r="B87" s="393"/>
      <c r="C87" s="394"/>
      <c r="D87" s="394"/>
      <c r="E87" s="394"/>
      <c r="F87" s="394"/>
      <c r="G87" s="394"/>
      <c r="H87" s="394"/>
      <c r="I87" s="394"/>
      <c r="J87" s="394"/>
      <c r="K87" s="394"/>
      <c r="L87" s="394"/>
      <c r="M87" s="394"/>
      <c r="N87" s="394"/>
      <c r="O87" s="394"/>
      <c r="P87" s="394"/>
      <c r="Q87" s="394"/>
      <c r="R87" s="394"/>
      <c r="S87" s="394"/>
      <c r="T87" s="394"/>
      <c r="U87" s="394"/>
      <c r="V87" s="395"/>
      <c r="W87" s="395"/>
      <c r="X87" s="395"/>
      <c r="Y87" s="386"/>
      <c r="Z87" s="386"/>
      <c r="AA87" s="386"/>
      <c r="AB87" s="386"/>
      <c r="AC87" s="386"/>
      <c r="AD87" s="387"/>
      <c r="AF87" s="53"/>
    </row>
    <row r="88" spans="1:32" ht="30.75" customHeight="1" thickBot="1">
      <c r="A88" s="388">
        <v>3</v>
      </c>
      <c r="B88" s="389"/>
      <c r="C88" s="389"/>
      <c r="D88" s="389"/>
      <c r="E88" s="389"/>
      <c r="F88" s="389"/>
      <c r="G88" s="389"/>
      <c r="H88" s="389"/>
      <c r="I88" s="389"/>
      <c r="J88" s="389"/>
      <c r="K88" s="389"/>
      <c r="L88" s="389"/>
      <c r="M88" s="389"/>
      <c r="N88" s="389"/>
      <c r="O88" s="389"/>
      <c r="P88" s="389"/>
      <c r="Q88" s="389"/>
      <c r="R88" s="389"/>
      <c r="S88" s="389"/>
      <c r="T88" s="389"/>
      <c r="U88" s="389"/>
      <c r="V88" s="389"/>
      <c r="W88" s="389"/>
      <c r="X88" s="389"/>
      <c r="Y88" s="390"/>
      <c r="Z88" s="390"/>
      <c r="AA88" s="390"/>
      <c r="AB88" s="390"/>
      <c r="AC88" s="390"/>
      <c r="AD88" s="391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topLeftCell="A49" zoomScale="72" zoomScaleNormal="72" zoomScaleSheetLayoutView="70" workbookViewId="0">
      <selection activeCell="A63" sqref="A63:XFD6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724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0.5051643869182274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5730</v>
      </c>
      <c r="K7" s="15">
        <f>L7+2454+5092+5124+5082+1904+1592+4745+5721+5190+4942+5771</f>
        <v>53345</v>
      </c>
      <c r="L7" s="15">
        <f>2973+2755</f>
        <v>5728</v>
      </c>
      <c r="M7" s="16">
        <f t="shared" si="0"/>
        <v>5728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0.99965095986038399</v>
      </c>
      <c r="AC7" s="9">
        <f t="shared" si="5"/>
        <v>1</v>
      </c>
      <c r="AD7" s="10">
        <f t="shared" si="6"/>
        <v>0.99965095986038399</v>
      </c>
      <c r="AE7" s="39">
        <f t="shared" si="7"/>
        <v>0.5051643869182274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>
        <v>24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0.5051643869182274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636</v>
      </c>
      <c r="D9" s="55"/>
      <c r="E9" s="57" t="s">
        <v>604</v>
      </c>
      <c r="F9" s="12" t="s">
        <v>638</v>
      </c>
      <c r="G9" s="12">
        <v>12</v>
      </c>
      <c r="H9" s="13">
        <v>20</v>
      </c>
      <c r="I9" s="34">
        <v>200000</v>
      </c>
      <c r="J9" s="5">
        <v>76900</v>
      </c>
      <c r="K9" s="15">
        <f>L9+63384+71580</f>
        <v>211788</v>
      </c>
      <c r="L9" s="15">
        <f>3438*12+2964*12</f>
        <v>76824</v>
      </c>
      <c r="M9" s="16">
        <f t="shared" si="0"/>
        <v>76824</v>
      </c>
      <c r="N9" s="16">
        <v>0</v>
      </c>
      <c r="O9" s="62">
        <f t="shared" si="1"/>
        <v>0</v>
      </c>
      <c r="P9" s="42">
        <f t="shared" si="2"/>
        <v>24</v>
      </c>
      <c r="Q9" s="43">
        <f t="shared" si="3"/>
        <v>0</v>
      </c>
      <c r="R9" s="7"/>
      <c r="S9" s="6"/>
      <c r="T9" s="17"/>
      <c r="U9" s="17"/>
      <c r="V9" s="18"/>
      <c r="W9" s="19"/>
      <c r="X9" s="17"/>
      <c r="Y9" s="20"/>
      <c r="Z9" s="20"/>
      <c r="AA9" s="21"/>
      <c r="AB9" s="8">
        <f t="shared" si="4"/>
        <v>0.99901170351105328</v>
      </c>
      <c r="AC9" s="9">
        <f t="shared" si="5"/>
        <v>1</v>
      </c>
      <c r="AD9" s="10">
        <f t="shared" si="6"/>
        <v>0.99901170351105328</v>
      </c>
      <c r="AE9" s="39">
        <f t="shared" si="7"/>
        <v>0.5051643869182274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267</v>
      </c>
      <c r="D10" s="55" t="s">
        <v>640</v>
      </c>
      <c r="E10" s="57" t="s">
        <v>641</v>
      </c>
      <c r="F10" s="12" t="s">
        <v>127</v>
      </c>
      <c r="G10" s="12">
        <v>1</v>
      </c>
      <c r="H10" s="13">
        <v>25</v>
      </c>
      <c r="I10" s="34">
        <v>400</v>
      </c>
      <c r="J10" s="5">
        <v>561</v>
      </c>
      <c r="K10" s="15">
        <f>L10+561</f>
        <v>561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0.5051643869182274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643</v>
      </c>
      <c r="D11" s="55" t="s">
        <v>121</v>
      </c>
      <c r="E11" s="57" t="s">
        <v>686</v>
      </c>
      <c r="F11" s="12" t="s">
        <v>687</v>
      </c>
      <c r="G11" s="12">
        <v>1</v>
      </c>
      <c r="H11" s="13">
        <v>25</v>
      </c>
      <c r="I11" s="34">
        <v>35000</v>
      </c>
      <c r="J11" s="14">
        <v>4820</v>
      </c>
      <c r="K11" s="15">
        <f>L11+3776</f>
        <v>8596</v>
      </c>
      <c r="L11" s="15">
        <f>2342+2478</f>
        <v>4820</v>
      </c>
      <c r="M11" s="16">
        <f t="shared" si="0"/>
        <v>4820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>
        <v>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1</v>
      </c>
      <c r="AC11" s="9">
        <f t="shared" si="5"/>
        <v>0.91666666666666663</v>
      </c>
      <c r="AD11" s="10">
        <f t="shared" si="6"/>
        <v>0.91666666666666663</v>
      </c>
      <c r="AE11" s="39">
        <f t="shared" si="7"/>
        <v>0.5051643869182274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691</v>
      </c>
      <c r="D12" s="55"/>
      <c r="E12" s="57" t="s">
        <v>692</v>
      </c>
      <c r="F12" s="12" t="s">
        <v>693</v>
      </c>
      <c r="G12" s="12">
        <v>8</v>
      </c>
      <c r="H12" s="13">
        <v>15</v>
      </c>
      <c r="I12" s="34">
        <v>3000</v>
      </c>
      <c r="J12" s="5">
        <v>6760</v>
      </c>
      <c r="K12" s="15">
        <f>L12+6760</f>
        <v>6760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/>
      <c r="X12" s="17"/>
      <c r="Y12" s="20"/>
      <c r="Z12" s="20"/>
      <c r="AA12" s="21">
        <v>24</v>
      </c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0.5051643869182274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134</v>
      </c>
      <c r="G13" s="12">
        <v>1</v>
      </c>
      <c r="H13" s="13">
        <v>25</v>
      </c>
      <c r="I13" s="7">
        <v>42000</v>
      </c>
      <c r="J13" s="14">
        <v>3890</v>
      </c>
      <c r="K13" s="15">
        <f>L13+2452+3389+4558+2185+3734+1821+2940+2659+4787+4596+2547+3562+4687+4190</f>
        <v>51997</v>
      </c>
      <c r="L13" s="15">
        <f>1798+2092</f>
        <v>3890</v>
      </c>
      <c r="M13" s="16">
        <f t="shared" si="0"/>
        <v>3890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>
        <v>3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9">
        <f t="shared" si="7"/>
        <v>0.5051643869182274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725</v>
      </c>
      <c r="F14" s="33" t="s">
        <v>726</v>
      </c>
      <c r="G14" s="36">
        <v>1</v>
      </c>
      <c r="H14" s="38">
        <v>40</v>
      </c>
      <c r="I14" s="7">
        <v>3500</v>
      </c>
      <c r="J14" s="5">
        <v>1440</v>
      </c>
      <c r="K14" s="15">
        <f>L14</f>
        <v>1433</v>
      </c>
      <c r="L14" s="15">
        <v>1433</v>
      </c>
      <c r="M14" s="16">
        <f t="shared" si="0"/>
        <v>1433</v>
      </c>
      <c r="N14" s="16">
        <v>0</v>
      </c>
      <c r="O14" s="62">
        <f t="shared" si="1"/>
        <v>0</v>
      </c>
      <c r="P14" s="42">
        <f t="shared" si="2"/>
        <v>14</v>
      </c>
      <c r="Q14" s="43">
        <f t="shared" si="3"/>
        <v>10</v>
      </c>
      <c r="R14" s="7"/>
      <c r="S14" s="6"/>
      <c r="T14" s="17"/>
      <c r="U14" s="17"/>
      <c r="V14" s="18">
        <v>10</v>
      </c>
      <c r="W14" s="19"/>
      <c r="X14" s="17"/>
      <c r="Y14" s="20"/>
      <c r="Z14" s="20"/>
      <c r="AA14" s="21"/>
      <c r="AB14" s="8">
        <f t="shared" si="4"/>
        <v>0.99513888888888891</v>
      </c>
      <c r="AC14" s="9">
        <f t="shared" si="5"/>
        <v>0.58333333333333337</v>
      </c>
      <c r="AD14" s="10">
        <f t="shared" si="6"/>
        <v>0.58049768518518519</v>
      </c>
      <c r="AE14" s="39">
        <f t="shared" si="7"/>
        <v>0.5051643869182274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</f>
        <v>4500</v>
      </c>
      <c r="L15" s="15">
        <v>4500</v>
      </c>
      <c r="M15" s="16">
        <f t="shared" ref="M15:M16" si="9">L15-N15</f>
        <v>4500</v>
      </c>
      <c r="N15" s="16">
        <v>0</v>
      </c>
      <c r="O15" s="62">
        <f t="shared" ref="O15:O16" si="10">IF(L15=0,"0",N15/L15)</f>
        <v>0</v>
      </c>
      <c r="P15" s="42">
        <f t="shared" ref="P15:P16" si="11">IF(L15=0,"0",(24-Q15))</f>
        <v>6</v>
      </c>
      <c r="Q15" s="43">
        <f t="shared" ref="Q15:Q16" si="12">SUM(R15:AA15)</f>
        <v>18</v>
      </c>
      <c r="R15" s="7"/>
      <c r="S15" s="6"/>
      <c r="T15" s="17"/>
      <c r="U15" s="17"/>
      <c r="V15" s="18">
        <v>18</v>
      </c>
      <c r="W15" s="19"/>
      <c r="X15" s="17"/>
      <c r="Y15" s="20"/>
      <c r="Z15" s="20"/>
      <c r="AA15" s="21"/>
      <c r="AB15" s="8">
        <f t="shared" ref="AB15:AB16" si="13">IF(J15=0,"0",(L15/J15))</f>
        <v>1</v>
      </c>
      <c r="AC15" s="9">
        <f t="shared" ref="AC15:AC16" si="14">IF(P15=0,"0",(P15/24))</f>
        <v>0.25</v>
      </c>
      <c r="AD15" s="10">
        <f t="shared" ref="AD15:AD16" si="15">AC15*AB15*(1-O15)</f>
        <v>0.25</v>
      </c>
      <c r="AE15" s="39">
        <f t="shared" si="7"/>
        <v>0.5051643869182274</v>
      </c>
      <c r="AF15" s="94">
        <f t="shared" ref="AF15:AF16" si="16">A15</f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5170</v>
      </c>
      <c r="K16" s="15">
        <f>L16+5278+5817+5149+4230+5807+5845+3899+5831+5245</f>
        <v>52270</v>
      </c>
      <c r="L16" s="15">
        <f>2958+2211</f>
        <v>5169</v>
      </c>
      <c r="M16" s="16">
        <f t="shared" si="9"/>
        <v>5169</v>
      </c>
      <c r="N16" s="16">
        <v>0</v>
      </c>
      <c r="O16" s="62">
        <f t="shared" si="10"/>
        <v>0</v>
      </c>
      <c r="P16" s="42">
        <f t="shared" si="11"/>
        <v>24</v>
      </c>
      <c r="Q16" s="43">
        <f t="shared" si="12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13"/>
        <v>0.99980657640232107</v>
      </c>
      <c r="AC16" s="9">
        <f t="shared" si="14"/>
        <v>1</v>
      </c>
      <c r="AD16" s="10">
        <f t="shared" si="15"/>
        <v>0.99980657640232107</v>
      </c>
      <c r="AE16" s="39">
        <f t="shared" si="7"/>
        <v>0.5051643869182274</v>
      </c>
      <c r="AF16" s="94">
        <f t="shared" si="16"/>
        <v>11</v>
      </c>
    </row>
    <row r="17" spans="1:32" ht="27" customHeight="1">
      <c r="A17" s="109">
        <v>12</v>
      </c>
      <c r="B17" s="11" t="s">
        <v>59</v>
      </c>
      <c r="C17" s="37" t="s">
        <v>643</v>
      </c>
      <c r="D17" s="55" t="s">
        <v>245</v>
      </c>
      <c r="E17" s="56" t="s">
        <v>645</v>
      </c>
      <c r="F17" s="12" t="s">
        <v>646</v>
      </c>
      <c r="G17" s="12">
        <v>1</v>
      </c>
      <c r="H17" s="13">
        <v>25</v>
      </c>
      <c r="I17" s="34">
        <v>3000</v>
      </c>
      <c r="J17" s="5">
        <v>2630</v>
      </c>
      <c r="K17" s="15">
        <f>L17+1450</f>
        <v>4076</v>
      </c>
      <c r="L17" s="15">
        <f>1139+1487</f>
        <v>2626</v>
      </c>
      <c r="M17" s="16">
        <f t="shared" si="0"/>
        <v>2626</v>
      </c>
      <c r="N17" s="16">
        <v>0</v>
      </c>
      <c r="O17" s="62">
        <f t="shared" si="1"/>
        <v>0</v>
      </c>
      <c r="P17" s="42">
        <f t="shared" si="2"/>
        <v>16</v>
      </c>
      <c r="Q17" s="43">
        <f t="shared" si="3"/>
        <v>8</v>
      </c>
      <c r="R17" s="7"/>
      <c r="S17" s="6"/>
      <c r="T17" s="17"/>
      <c r="U17" s="17"/>
      <c r="V17" s="18"/>
      <c r="W17" s="19">
        <v>8</v>
      </c>
      <c r="X17" s="17"/>
      <c r="Y17" s="20"/>
      <c r="Z17" s="20"/>
      <c r="AA17" s="21"/>
      <c r="AB17" s="8">
        <f t="shared" si="4"/>
        <v>0.99847908745247149</v>
      </c>
      <c r="AC17" s="9">
        <f t="shared" si="5"/>
        <v>0.66666666666666663</v>
      </c>
      <c r="AD17" s="10">
        <f t="shared" si="6"/>
        <v>0.66565272496831429</v>
      </c>
      <c r="AE17" s="39">
        <f t="shared" si="7"/>
        <v>0.5051643869182274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167</v>
      </c>
      <c r="D18" s="55" t="s">
        <v>272</v>
      </c>
      <c r="E18" s="56" t="s">
        <v>729</v>
      </c>
      <c r="F18" s="33" t="s">
        <v>134</v>
      </c>
      <c r="G18" s="36">
        <v>1</v>
      </c>
      <c r="H18" s="38">
        <v>25</v>
      </c>
      <c r="I18" s="7">
        <v>700</v>
      </c>
      <c r="J18" s="5">
        <v>1080</v>
      </c>
      <c r="K18" s="15">
        <f>L18</f>
        <v>1080</v>
      </c>
      <c r="L18" s="15">
        <v>1080</v>
      </c>
      <c r="M18" s="16">
        <f t="shared" si="0"/>
        <v>1080</v>
      </c>
      <c r="N18" s="16">
        <v>0</v>
      </c>
      <c r="O18" s="62">
        <f t="shared" si="1"/>
        <v>0</v>
      </c>
      <c r="P18" s="42">
        <f t="shared" si="2"/>
        <v>12</v>
      </c>
      <c r="Q18" s="43">
        <f t="shared" si="3"/>
        <v>12</v>
      </c>
      <c r="R18" s="7"/>
      <c r="S18" s="6"/>
      <c r="T18" s="17"/>
      <c r="U18" s="17"/>
      <c r="V18" s="18"/>
      <c r="W18" s="19">
        <v>12</v>
      </c>
      <c r="X18" s="17"/>
      <c r="Y18" s="20"/>
      <c r="Z18" s="20"/>
      <c r="AA18" s="21"/>
      <c r="AB18" s="8">
        <f t="shared" si="4"/>
        <v>1</v>
      </c>
      <c r="AC18" s="9">
        <f t="shared" si="5"/>
        <v>0.5</v>
      </c>
      <c r="AD18" s="10">
        <f t="shared" si="6"/>
        <v>0.5</v>
      </c>
      <c r="AE18" s="39">
        <f t="shared" si="7"/>
        <v>0.5051643869182274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3250</v>
      </c>
      <c r="K19" s="15">
        <f>L19+3360+3759+4940+3946+4510+3949+3533+5051+4317+4555+3348</f>
        <v>48516</v>
      </c>
      <c r="L19" s="15">
        <f>731+2517</f>
        <v>3248</v>
      </c>
      <c r="M19" s="16">
        <f t="shared" si="0"/>
        <v>3248</v>
      </c>
      <c r="N19" s="16">
        <v>0</v>
      </c>
      <c r="O19" s="62">
        <f t="shared" si="1"/>
        <v>0</v>
      </c>
      <c r="P19" s="42">
        <f t="shared" si="2"/>
        <v>19</v>
      </c>
      <c r="Q19" s="43">
        <f t="shared" si="3"/>
        <v>5</v>
      </c>
      <c r="R19" s="7"/>
      <c r="S19" s="6">
        <v>5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0.99938461538461543</v>
      </c>
      <c r="AC19" s="9">
        <f t="shared" si="5"/>
        <v>0.79166666666666663</v>
      </c>
      <c r="AD19" s="10">
        <f t="shared" si="6"/>
        <v>0.79117948717948716</v>
      </c>
      <c r="AE19" s="39">
        <f t="shared" si="7"/>
        <v>0.5051643869182274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0.5051643869182274</v>
      </c>
      <c r="AF20" s="94">
        <f t="shared" si="8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17">SUM(I6:I20)</f>
        <v>734600</v>
      </c>
      <c r="J21" s="22">
        <f t="shared" si="17"/>
        <v>154731</v>
      </c>
      <c r="K21" s="23">
        <f t="shared" si="17"/>
        <v>958878</v>
      </c>
      <c r="L21" s="24">
        <f t="shared" si="17"/>
        <v>109318</v>
      </c>
      <c r="M21" s="23">
        <f t="shared" si="17"/>
        <v>109318</v>
      </c>
      <c r="N21" s="24">
        <f t="shared" si="17"/>
        <v>0</v>
      </c>
      <c r="O21" s="44">
        <f t="shared" si="1"/>
        <v>0</v>
      </c>
      <c r="P21" s="45">
        <f t="shared" ref="P21:AA21" si="18">SUM(P6:P20)</f>
        <v>182</v>
      </c>
      <c r="Q21" s="46">
        <f t="shared" si="18"/>
        <v>178</v>
      </c>
      <c r="R21" s="26">
        <f t="shared" si="18"/>
        <v>48</v>
      </c>
      <c r="S21" s="27">
        <f t="shared" si="18"/>
        <v>10</v>
      </c>
      <c r="T21" s="27">
        <f t="shared" si="18"/>
        <v>0</v>
      </c>
      <c r="U21" s="27">
        <f t="shared" si="18"/>
        <v>0</v>
      </c>
      <c r="V21" s="28">
        <f t="shared" si="18"/>
        <v>28</v>
      </c>
      <c r="W21" s="29">
        <f t="shared" si="18"/>
        <v>68</v>
      </c>
      <c r="X21" s="30">
        <f t="shared" si="18"/>
        <v>0</v>
      </c>
      <c r="Y21" s="30">
        <f t="shared" si="18"/>
        <v>0</v>
      </c>
      <c r="Z21" s="30">
        <f t="shared" si="18"/>
        <v>0</v>
      </c>
      <c r="AA21" s="30">
        <f t="shared" si="18"/>
        <v>24</v>
      </c>
      <c r="AB21" s="31">
        <f>SUM(AB6:AB20)/15</f>
        <v>0.6660981220999822</v>
      </c>
      <c r="AC21" s="4">
        <f>SUM(AC6:AC20)/15</f>
        <v>0.50555555555555565</v>
      </c>
      <c r="AD21" s="4">
        <f>SUM(AD6:AD20)/15</f>
        <v>0.5051643869182274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730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740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295" t="s">
        <v>47</v>
      </c>
      <c r="D50" s="295" t="s">
        <v>48</v>
      </c>
      <c r="E50" s="295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295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44" t="s">
        <v>182</v>
      </c>
      <c r="B51" s="445"/>
      <c r="C51" s="297" t="s">
        <v>601</v>
      </c>
      <c r="D51" s="297" t="s">
        <v>58</v>
      </c>
      <c r="E51" s="296" t="s">
        <v>599</v>
      </c>
      <c r="F51" s="432" t="s">
        <v>731</v>
      </c>
      <c r="G51" s="432"/>
      <c r="H51" s="432"/>
      <c r="I51" s="432"/>
      <c r="J51" s="432"/>
      <c r="K51" s="432"/>
      <c r="L51" s="432"/>
      <c r="M51" s="446"/>
      <c r="N51" s="298" t="s">
        <v>741</v>
      </c>
      <c r="O51" s="74" t="s">
        <v>742</v>
      </c>
      <c r="P51" s="451" t="s">
        <v>743</v>
      </c>
      <c r="Q51" s="452"/>
      <c r="R51" s="445" t="s">
        <v>744</v>
      </c>
      <c r="S51" s="445"/>
      <c r="T51" s="445"/>
      <c r="U51" s="445"/>
      <c r="V51" s="432" t="s">
        <v>745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700</v>
      </c>
      <c r="B52" s="445"/>
      <c r="C52" s="297" t="s">
        <v>701</v>
      </c>
      <c r="D52" s="297" t="s">
        <v>121</v>
      </c>
      <c r="E52" s="296" t="s">
        <v>686</v>
      </c>
      <c r="F52" s="432" t="s">
        <v>732</v>
      </c>
      <c r="G52" s="432"/>
      <c r="H52" s="432"/>
      <c r="I52" s="432"/>
      <c r="J52" s="432"/>
      <c r="K52" s="432"/>
      <c r="L52" s="432"/>
      <c r="M52" s="446"/>
      <c r="N52" s="298" t="s">
        <v>267</v>
      </c>
      <c r="O52" s="74" t="s">
        <v>742</v>
      </c>
      <c r="P52" s="451" t="s">
        <v>746</v>
      </c>
      <c r="Q52" s="452"/>
      <c r="R52" s="445" t="s">
        <v>747</v>
      </c>
      <c r="S52" s="445"/>
      <c r="T52" s="445"/>
      <c r="U52" s="445"/>
      <c r="V52" s="432" t="s">
        <v>329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167</v>
      </c>
      <c r="B53" s="454"/>
      <c r="C53" s="296" t="s">
        <v>501</v>
      </c>
      <c r="D53" s="297" t="s">
        <v>733</v>
      </c>
      <c r="E53" s="296" t="s">
        <v>729</v>
      </c>
      <c r="F53" s="432" t="s">
        <v>662</v>
      </c>
      <c r="G53" s="432"/>
      <c r="H53" s="432"/>
      <c r="I53" s="432"/>
      <c r="J53" s="432"/>
      <c r="K53" s="432"/>
      <c r="L53" s="432"/>
      <c r="M53" s="446"/>
      <c r="N53" s="298" t="s">
        <v>748</v>
      </c>
      <c r="O53" s="74" t="s">
        <v>749</v>
      </c>
      <c r="P53" s="451" t="s">
        <v>58</v>
      </c>
      <c r="Q53" s="452"/>
      <c r="R53" s="445" t="s">
        <v>750</v>
      </c>
      <c r="S53" s="445"/>
      <c r="T53" s="445"/>
      <c r="U53" s="445"/>
      <c r="V53" s="432" t="s">
        <v>751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734</v>
      </c>
      <c r="B54" s="454"/>
      <c r="C54" s="296" t="s">
        <v>131</v>
      </c>
      <c r="D54" s="297" t="s">
        <v>144</v>
      </c>
      <c r="E54" s="296" t="s">
        <v>735</v>
      </c>
      <c r="F54" s="432" t="s">
        <v>732</v>
      </c>
      <c r="G54" s="432"/>
      <c r="H54" s="432"/>
      <c r="I54" s="432"/>
      <c r="J54" s="432"/>
      <c r="K54" s="432"/>
      <c r="L54" s="432"/>
      <c r="M54" s="446"/>
      <c r="N54" s="298" t="s">
        <v>752</v>
      </c>
      <c r="O54" s="74" t="s">
        <v>172</v>
      </c>
      <c r="P54" s="451" t="s">
        <v>753</v>
      </c>
      <c r="Q54" s="452"/>
      <c r="R54" s="445" t="s">
        <v>754</v>
      </c>
      <c r="S54" s="445"/>
      <c r="T54" s="445"/>
      <c r="U54" s="445"/>
      <c r="V54" s="432" t="s">
        <v>329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736</v>
      </c>
      <c r="B55" s="454"/>
      <c r="C55" s="296" t="s">
        <v>653</v>
      </c>
      <c r="D55" s="297" t="s">
        <v>737</v>
      </c>
      <c r="E55" s="297" t="s">
        <v>738</v>
      </c>
      <c r="F55" s="432" t="s">
        <v>739</v>
      </c>
      <c r="G55" s="432"/>
      <c r="H55" s="432"/>
      <c r="I55" s="432"/>
      <c r="J55" s="432"/>
      <c r="K55" s="432"/>
      <c r="L55" s="432"/>
      <c r="M55" s="446"/>
      <c r="N55" s="298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 t="s">
        <v>267</v>
      </c>
      <c r="B56" s="445"/>
      <c r="C56" s="297" t="s">
        <v>223</v>
      </c>
      <c r="D56" s="297" t="s">
        <v>58</v>
      </c>
      <c r="E56" s="296" t="s">
        <v>725</v>
      </c>
      <c r="F56" s="432" t="s">
        <v>329</v>
      </c>
      <c r="G56" s="432"/>
      <c r="H56" s="432"/>
      <c r="I56" s="432"/>
      <c r="J56" s="432"/>
      <c r="K56" s="432"/>
      <c r="L56" s="432"/>
      <c r="M56" s="446"/>
      <c r="N56" s="298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297"/>
      <c r="D57" s="297"/>
      <c r="E57" s="296"/>
      <c r="F57" s="432"/>
      <c r="G57" s="432"/>
      <c r="H57" s="432"/>
      <c r="I57" s="432"/>
      <c r="J57" s="432"/>
      <c r="K57" s="432"/>
      <c r="L57" s="432"/>
      <c r="M57" s="446"/>
      <c r="N57" s="298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296"/>
      <c r="D58" s="297"/>
      <c r="E58" s="296"/>
      <c r="F58" s="432"/>
      <c r="G58" s="432"/>
      <c r="H58" s="432"/>
      <c r="I58" s="432"/>
      <c r="J58" s="432"/>
      <c r="K58" s="432"/>
      <c r="L58" s="432"/>
      <c r="M58" s="446"/>
      <c r="N58" s="298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297"/>
      <c r="D59" s="297"/>
      <c r="E59" s="297"/>
      <c r="F59" s="432"/>
      <c r="G59" s="432"/>
      <c r="H59" s="432"/>
      <c r="I59" s="432"/>
      <c r="J59" s="432"/>
      <c r="K59" s="432"/>
      <c r="L59" s="432"/>
      <c r="M59" s="446"/>
      <c r="N59" s="298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300"/>
      <c r="D60" s="300"/>
      <c r="E60" s="300"/>
      <c r="F60" s="449"/>
      <c r="G60" s="449"/>
      <c r="H60" s="449"/>
      <c r="I60" s="449"/>
      <c r="J60" s="449"/>
      <c r="K60" s="449"/>
      <c r="L60" s="449"/>
      <c r="M60" s="450"/>
      <c r="N60" s="299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755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301" t="s">
        <v>2</v>
      </c>
      <c r="D62" s="301" t="s">
        <v>38</v>
      </c>
      <c r="E62" s="301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301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303" t="s">
        <v>691</v>
      </c>
      <c r="D63" s="305"/>
      <c r="E63" s="302"/>
      <c r="F63" s="421" t="s">
        <v>692</v>
      </c>
      <c r="G63" s="421"/>
      <c r="H63" s="421"/>
      <c r="I63" s="421"/>
      <c r="J63" s="421"/>
      <c r="K63" s="421" t="s">
        <v>756</v>
      </c>
      <c r="L63" s="421"/>
      <c r="M63" s="54" t="s">
        <v>757</v>
      </c>
      <c r="N63" s="421">
        <v>10</v>
      </c>
      <c r="O63" s="421"/>
      <c r="P63" s="431">
        <v>3000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303" t="s">
        <v>741</v>
      </c>
      <c r="D64" s="305"/>
      <c r="E64" s="302" t="s">
        <v>58</v>
      </c>
      <c r="F64" s="496" t="s">
        <v>758</v>
      </c>
      <c r="G64" s="421"/>
      <c r="H64" s="421"/>
      <c r="I64" s="421"/>
      <c r="J64" s="421"/>
      <c r="K64" s="441" t="s">
        <v>759</v>
      </c>
      <c r="L64" s="441"/>
      <c r="M64" s="54" t="s">
        <v>760</v>
      </c>
      <c r="N64" s="421">
        <v>7</v>
      </c>
      <c r="O64" s="421"/>
      <c r="P64" s="431">
        <v>50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303" t="s">
        <v>267</v>
      </c>
      <c r="D65" s="305"/>
      <c r="E65" s="302" t="s">
        <v>761</v>
      </c>
      <c r="F65" s="496" t="s">
        <v>762</v>
      </c>
      <c r="G65" s="421"/>
      <c r="H65" s="421"/>
      <c r="I65" s="421"/>
      <c r="J65" s="421"/>
      <c r="K65" s="441" t="s">
        <v>759</v>
      </c>
      <c r="L65" s="441"/>
      <c r="M65" s="54" t="s">
        <v>760</v>
      </c>
      <c r="N65" s="421">
        <v>7</v>
      </c>
      <c r="O65" s="421"/>
      <c r="P65" s="431">
        <v>50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303"/>
      <c r="D66" s="305"/>
      <c r="E66" s="302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303"/>
      <c r="D67" s="305"/>
      <c r="E67" s="302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39" customHeight="1">
      <c r="A68" s="429">
        <v>6</v>
      </c>
      <c r="B68" s="430"/>
      <c r="C68" s="303"/>
      <c r="D68" s="305"/>
      <c r="E68" s="302"/>
      <c r="F68" s="496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39" customHeight="1">
      <c r="A69" s="429">
        <v>7</v>
      </c>
      <c r="B69" s="430"/>
      <c r="C69" s="303"/>
      <c r="D69" s="305"/>
      <c r="E69" s="302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8</v>
      </c>
      <c r="B70" s="430"/>
      <c r="C70" s="303"/>
      <c r="D70" s="305"/>
      <c r="E70" s="302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763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304" t="s">
        <v>2</v>
      </c>
      <c r="D72" s="304" t="s">
        <v>38</v>
      </c>
      <c r="E72" s="304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306" t="s">
        <v>62</v>
      </c>
      <c r="D73" s="306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305" t="s">
        <v>129</v>
      </c>
      <c r="D74" s="305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9">A74+1</f>
        <v>3</v>
      </c>
      <c r="B75" s="393"/>
      <c r="C75" s="305" t="s">
        <v>62</v>
      </c>
      <c r="D75" s="305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9"/>
        <v>4</v>
      </c>
      <c r="B76" s="393"/>
      <c r="C76" s="305" t="s">
        <v>62</v>
      </c>
      <c r="D76" s="305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9"/>
        <v>5</v>
      </c>
      <c r="B77" s="393"/>
      <c r="C77" s="305" t="s">
        <v>62</v>
      </c>
      <c r="D77" s="305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9"/>
        <v>6</v>
      </c>
      <c r="B78" s="393"/>
      <c r="C78" s="305" t="s">
        <v>129</v>
      </c>
      <c r="D78" s="305"/>
      <c r="E78" s="35" t="s">
        <v>123</v>
      </c>
      <c r="F78" s="393" t="s">
        <v>253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42803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9"/>
        <v>7</v>
      </c>
      <c r="B79" s="393"/>
      <c r="C79" s="305"/>
      <c r="D79" s="305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9"/>
        <v>8</v>
      </c>
      <c r="B80" s="393"/>
      <c r="C80" s="305"/>
      <c r="D80" s="305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9"/>
        <v>9</v>
      </c>
      <c r="B81" s="393"/>
      <c r="C81" s="305"/>
      <c r="D81" s="305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764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opLeftCell="A43" zoomScale="72" zoomScaleNormal="72" zoomScaleSheetLayoutView="70" workbookViewId="0">
      <selection activeCell="T10" sqref="T1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765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294" t="s">
        <v>17</v>
      </c>
      <c r="L5" s="294" t="s">
        <v>18</v>
      </c>
      <c r="M5" s="294" t="s">
        <v>19</v>
      </c>
      <c r="N5" s="294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0.4714943626157248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4950</v>
      </c>
      <c r="K7" s="15">
        <f>L7+2454+5092+5124+5082+1904+1592+4745+5721+5190+4942+5771+5728</f>
        <v>58287</v>
      </c>
      <c r="L7" s="15">
        <f>2577+2365</f>
        <v>4942</v>
      </c>
      <c r="M7" s="16">
        <f t="shared" si="0"/>
        <v>4942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0.99838383838383837</v>
      </c>
      <c r="AC7" s="9">
        <f t="shared" si="5"/>
        <v>1</v>
      </c>
      <c r="AD7" s="10">
        <f t="shared" si="6"/>
        <v>0.99838383838383837</v>
      </c>
      <c r="AE7" s="39">
        <f t="shared" si="7"/>
        <v>0.4714943626157248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>
        <v>24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0.4714943626157248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62</v>
      </c>
      <c r="D9" s="55" t="s">
        <v>753</v>
      </c>
      <c r="E9" s="57" t="s">
        <v>766</v>
      </c>
      <c r="F9" s="12" t="s">
        <v>767</v>
      </c>
      <c r="G9" s="12" t="s">
        <v>768</v>
      </c>
      <c r="H9" s="13">
        <v>24</v>
      </c>
      <c r="I9" s="34">
        <v>4000</v>
      </c>
      <c r="J9" s="5">
        <v>5390</v>
      </c>
      <c r="K9" s="15">
        <f>L9</f>
        <v>5384</v>
      </c>
      <c r="L9" s="15">
        <f>2411+2973</f>
        <v>5384</v>
      </c>
      <c r="M9" s="16">
        <f t="shared" si="0"/>
        <v>5384</v>
      </c>
      <c r="N9" s="16">
        <v>0</v>
      </c>
      <c r="O9" s="62">
        <f t="shared" si="1"/>
        <v>0</v>
      </c>
      <c r="P9" s="42">
        <f t="shared" si="2"/>
        <v>23</v>
      </c>
      <c r="Q9" s="43">
        <f t="shared" si="3"/>
        <v>1</v>
      </c>
      <c r="R9" s="7"/>
      <c r="S9" s="6"/>
      <c r="T9" s="17">
        <v>1</v>
      </c>
      <c r="U9" s="17"/>
      <c r="V9" s="18"/>
      <c r="W9" s="19"/>
      <c r="X9" s="17"/>
      <c r="Y9" s="20"/>
      <c r="Z9" s="20"/>
      <c r="AA9" s="21"/>
      <c r="AB9" s="8">
        <f t="shared" si="4"/>
        <v>0.99888682745825608</v>
      </c>
      <c r="AC9" s="9">
        <f t="shared" si="5"/>
        <v>0.95833333333333337</v>
      </c>
      <c r="AD9" s="10">
        <f t="shared" si="6"/>
        <v>0.95726654298082881</v>
      </c>
      <c r="AE9" s="39">
        <f t="shared" si="7"/>
        <v>0.4714943626157248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267</v>
      </c>
      <c r="D10" s="55" t="s">
        <v>761</v>
      </c>
      <c r="E10" s="57" t="s">
        <v>762</v>
      </c>
      <c r="F10" s="12" t="s">
        <v>769</v>
      </c>
      <c r="G10" s="12">
        <v>1</v>
      </c>
      <c r="H10" s="13">
        <v>25</v>
      </c>
      <c r="I10" s="34">
        <v>1050</v>
      </c>
      <c r="J10" s="5">
        <v>1260</v>
      </c>
      <c r="K10" s="15">
        <f>L10</f>
        <v>1259</v>
      </c>
      <c r="L10" s="15">
        <f>1259</f>
        <v>1259</v>
      </c>
      <c r="M10" s="16">
        <f t="shared" si="0"/>
        <v>1259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/>
      <c r="S10" s="6"/>
      <c r="T10" s="17"/>
      <c r="U10" s="17"/>
      <c r="V10" s="18"/>
      <c r="W10" s="19">
        <v>14</v>
      </c>
      <c r="X10" s="17"/>
      <c r="Y10" s="20"/>
      <c r="Z10" s="20"/>
      <c r="AA10" s="21"/>
      <c r="AB10" s="8">
        <f t="shared" si="4"/>
        <v>0.99920634920634921</v>
      </c>
      <c r="AC10" s="9">
        <f t="shared" si="5"/>
        <v>0.41666666666666669</v>
      </c>
      <c r="AD10" s="10">
        <f t="shared" si="6"/>
        <v>0.41633597883597884</v>
      </c>
      <c r="AE10" s="39">
        <f t="shared" si="7"/>
        <v>0.4714943626157248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643</v>
      </c>
      <c r="D11" s="55" t="s">
        <v>121</v>
      </c>
      <c r="E11" s="57" t="s">
        <v>686</v>
      </c>
      <c r="F11" s="12" t="s">
        <v>687</v>
      </c>
      <c r="G11" s="12">
        <v>1</v>
      </c>
      <c r="H11" s="13">
        <v>25</v>
      </c>
      <c r="I11" s="34">
        <v>35000</v>
      </c>
      <c r="J11" s="14">
        <v>5920</v>
      </c>
      <c r="K11" s="15">
        <f>L11+3776+4820</f>
        <v>14514</v>
      </c>
      <c r="L11" s="15">
        <f>2963+2955</f>
        <v>5918</v>
      </c>
      <c r="M11" s="16">
        <f t="shared" si="0"/>
        <v>5918</v>
      </c>
      <c r="N11" s="16">
        <v>0</v>
      </c>
      <c r="O11" s="62">
        <f t="shared" si="1"/>
        <v>0</v>
      </c>
      <c r="P11" s="42">
        <f t="shared" si="2"/>
        <v>24</v>
      </c>
      <c r="Q11" s="43">
        <f t="shared" si="3"/>
        <v>0</v>
      </c>
      <c r="R11" s="7"/>
      <c r="S11" s="6"/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0.99966216216216219</v>
      </c>
      <c r="AC11" s="9">
        <f t="shared" si="5"/>
        <v>1</v>
      </c>
      <c r="AD11" s="10">
        <f t="shared" si="6"/>
        <v>0.99966216216216219</v>
      </c>
      <c r="AE11" s="39">
        <f t="shared" si="7"/>
        <v>0.4714943626157248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267</v>
      </c>
      <c r="D12" s="55" t="s">
        <v>746</v>
      </c>
      <c r="E12" s="57" t="s">
        <v>758</v>
      </c>
      <c r="F12" s="12" t="s">
        <v>769</v>
      </c>
      <c r="G12" s="12">
        <v>1</v>
      </c>
      <c r="H12" s="13">
        <v>25</v>
      </c>
      <c r="I12" s="34">
        <v>400</v>
      </c>
      <c r="J12" s="5">
        <v>570</v>
      </c>
      <c r="K12" s="15">
        <f>L12</f>
        <v>570</v>
      </c>
      <c r="L12" s="15">
        <f>570</f>
        <v>570</v>
      </c>
      <c r="M12" s="16">
        <f t="shared" si="0"/>
        <v>570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/>
      <c r="T12" s="17"/>
      <c r="U12" s="17"/>
      <c r="V12" s="18"/>
      <c r="W12" s="19">
        <v>20</v>
      </c>
      <c r="X12" s="17"/>
      <c r="Y12" s="20"/>
      <c r="Z12" s="20"/>
      <c r="AA12" s="21"/>
      <c r="AB12" s="8">
        <f t="shared" si="4"/>
        <v>1</v>
      </c>
      <c r="AC12" s="9">
        <f t="shared" si="5"/>
        <v>0.16666666666666666</v>
      </c>
      <c r="AD12" s="10">
        <f t="shared" si="6"/>
        <v>0.16666666666666666</v>
      </c>
      <c r="AE12" s="39">
        <f t="shared" si="7"/>
        <v>0.4714943626157248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134</v>
      </c>
      <c r="G13" s="12">
        <v>1</v>
      </c>
      <c r="H13" s="13">
        <v>25</v>
      </c>
      <c r="I13" s="7">
        <v>42000</v>
      </c>
      <c r="J13" s="14">
        <v>3630</v>
      </c>
      <c r="K13" s="15">
        <f>L13+2452+3389+4558+2185+3734+1821+2940+2659+4787+4596+2547+3562+4687+4190+3890</f>
        <v>55623</v>
      </c>
      <c r="L13" s="15">
        <f>1656+1970</f>
        <v>3626</v>
      </c>
      <c r="M13" s="16">
        <f t="shared" si="0"/>
        <v>3626</v>
      </c>
      <c r="N13" s="16">
        <v>0</v>
      </c>
      <c r="O13" s="62">
        <f t="shared" si="1"/>
        <v>0</v>
      </c>
      <c r="P13" s="42">
        <f t="shared" si="2"/>
        <v>20</v>
      </c>
      <c r="Q13" s="43">
        <f t="shared" si="3"/>
        <v>4</v>
      </c>
      <c r="R13" s="7"/>
      <c r="S13" s="6">
        <v>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0.99889807162534439</v>
      </c>
      <c r="AC13" s="9">
        <f t="shared" si="5"/>
        <v>0.83333333333333337</v>
      </c>
      <c r="AD13" s="10">
        <f t="shared" si="6"/>
        <v>0.83241505968778706</v>
      </c>
      <c r="AE13" s="39">
        <f t="shared" si="7"/>
        <v>0.4714943626157248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725</v>
      </c>
      <c r="F14" s="33" t="s">
        <v>726</v>
      </c>
      <c r="G14" s="36">
        <v>1</v>
      </c>
      <c r="H14" s="38">
        <v>40</v>
      </c>
      <c r="I14" s="7">
        <v>3500</v>
      </c>
      <c r="J14" s="5">
        <v>1280</v>
      </c>
      <c r="K14" s="15">
        <f>L14+1433</f>
        <v>2705</v>
      </c>
      <c r="L14" s="15">
        <f>1272</f>
        <v>1272</v>
      </c>
      <c r="M14" s="16">
        <f t="shared" si="0"/>
        <v>1272</v>
      </c>
      <c r="N14" s="16">
        <v>0</v>
      </c>
      <c r="O14" s="62">
        <f t="shared" si="1"/>
        <v>0</v>
      </c>
      <c r="P14" s="42">
        <f t="shared" si="2"/>
        <v>14</v>
      </c>
      <c r="Q14" s="43">
        <f t="shared" si="3"/>
        <v>10</v>
      </c>
      <c r="R14" s="7"/>
      <c r="S14" s="6"/>
      <c r="T14" s="17"/>
      <c r="U14" s="17"/>
      <c r="V14" s="18">
        <v>10</v>
      </c>
      <c r="W14" s="19"/>
      <c r="X14" s="17"/>
      <c r="Y14" s="20"/>
      <c r="Z14" s="20"/>
      <c r="AA14" s="21"/>
      <c r="AB14" s="8">
        <f t="shared" si="4"/>
        <v>0.99375000000000002</v>
      </c>
      <c r="AC14" s="9">
        <f t="shared" si="5"/>
        <v>0.58333333333333337</v>
      </c>
      <c r="AD14" s="10">
        <f t="shared" si="6"/>
        <v>0.57968750000000002</v>
      </c>
      <c r="AE14" s="39">
        <f t="shared" si="7"/>
        <v>0.4714943626157248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L15+4500</f>
        <v>4500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0.4714943626157248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5440</v>
      </c>
      <c r="K16" s="15">
        <f>L16+5278+5817+5149+4230+5807+5845+3899+5831+5245+5169</f>
        <v>57709</v>
      </c>
      <c r="L16" s="15">
        <f>2704+2735</f>
        <v>5439</v>
      </c>
      <c r="M16" s="16">
        <f t="shared" si="0"/>
        <v>5439</v>
      </c>
      <c r="N16" s="16">
        <v>0</v>
      </c>
      <c r="O16" s="62">
        <f t="shared" si="1"/>
        <v>0</v>
      </c>
      <c r="P16" s="42">
        <f t="shared" si="2"/>
        <v>24</v>
      </c>
      <c r="Q16" s="43">
        <f t="shared" si="3"/>
        <v>0</v>
      </c>
      <c r="R16" s="7"/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0.99981617647058818</v>
      </c>
      <c r="AC16" s="9">
        <f t="shared" si="5"/>
        <v>1</v>
      </c>
      <c r="AD16" s="10">
        <f t="shared" si="6"/>
        <v>0.99981617647058818</v>
      </c>
      <c r="AE16" s="39">
        <f t="shared" si="7"/>
        <v>0.4714943626157248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643</v>
      </c>
      <c r="D17" s="55" t="s">
        <v>245</v>
      </c>
      <c r="E17" s="56" t="s">
        <v>645</v>
      </c>
      <c r="F17" s="12" t="s">
        <v>646</v>
      </c>
      <c r="G17" s="12">
        <v>1</v>
      </c>
      <c r="H17" s="13">
        <v>25</v>
      </c>
      <c r="I17" s="34">
        <v>3000</v>
      </c>
      <c r="J17" s="5">
        <v>2630</v>
      </c>
      <c r="K17" s="15">
        <f>L17+1450+2626</f>
        <v>4076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0.4714943626157248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267</v>
      </c>
      <c r="D18" s="55" t="s">
        <v>770</v>
      </c>
      <c r="E18" s="56" t="s">
        <v>744</v>
      </c>
      <c r="F18" s="33" t="s">
        <v>134</v>
      </c>
      <c r="G18" s="36">
        <v>1</v>
      </c>
      <c r="H18" s="38">
        <v>25</v>
      </c>
      <c r="I18" s="7">
        <v>500</v>
      </c>
      <c r="J18" s="5">
        <v>810</v>
      </c>
      <c r="K18" s="15">
        <f>L18</f>
        <v>808</v>
      </c>
      <c r="L18" s="15">
        <v>808</v>
      </c>
      <c r="M18" s="16">
        <f t="shared" si="0"/>
        <v>808</v>
      </c>
      <c r="N18" s="16">
        <v>0</v>
      </c>
      <c r="O18" s="62">
        <f t="shared" si="1"/>
        <v>0</v>
      </c>
      <c r="P18" s="42">
        <f t="shared" si="2"/>
        <v>7</v>
      </c>
      <c r="Q18" s="43">
        <f t="shared" si="3"/>
        <v>17</v>
      </c>
      <c r="R18" s="7"/>
      <c r="S18" s="6">
        <v>2</v>
      </c>
      <c r="T18" s="17"/>
      <c r="U18" s="17"/>
      <c r="V18" s="18"/>
      <c r="W18" s="19">
        <v>15</v>
      </c>
      <c r="X18" s="17"/>
      <c r="Y18" s="20"/>
      <c r="Z18" s="20"/>
      <c r="AA18" s="21"/>
      <c r="AB18" s="8">
        <f t="shared" si="4"/>
        <v>0.9975308641975309</v>
      </c>
      <c r="AC18" s="9">
        <f t="shared" si="5"/>
        <v>0.29166666666666669</v>
      </c>
      <c r="AD18" s="10">
        <f t="shared" si="6"/>
        <v>0.29094650205761319</v>
      </c>
      <c r="AE18" s="39">
        <f t="shared" si="7"/>
        <v>0.4714943626157248</v>
      </c>
      <c r="AF18" s="94">
        <f t="shared" si="8"/>
        <v>13</v>
      </c>
    </row>
    <row r="19" spans="1:32" ht="27" customHeight="1">
      <c r="A19" s="110">
        <v>13</v>
      </c>
      <c r="B19" s="11" t="s">
        <v>59</v>
      </c>
      <c r="C19" s="37" t="s">
        <v>267</v>
      </c>
      <c r="D19" s="55" t="s">
        <v>746</v>
      </c>
      <c r="E19" s="56" t="s">
        <v>747</v>
      </c>
      <c r="F19" s="33" t="s">
        <v>771</v>
      </c>
      <c r="G19" s="36">
        <v>1</v>
      </c>
      <c r="H19" s="38">
        <v>25</v>
      </c>
      <c r="I19" s="7">
        <v>1000</v>
      </c>
      <c r="J19" s="5">
        <v>1401</v>
      </c>
      <c r="K19" s="15">
        <f>L19</f>
        <v>1401</v>
      </c>
      <c r="L19" s="15">
        <v>1401</v>
      </c>
      <c r="M19" s="16">
        <f t="shared" ref="M19" si="9">L19-N19</f>
        <v>1401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10</v>
      </c>
      <c r="Q19" s="43">
        <f t="shared" ref="Q19" si="12">SUM(R19:AA19)</f>
        <v>14</v>
      </c>
      <c r="R19" s="7"/>
      <c r="S19" s="6">
        <v>2</v>
      </c>
      <c r="T19" s="17"/>
      <c r="U19" s="17"/>
      <c r="V19" s="18"/>
      <c r="W19" s="19">
        <v>12</v>
      </c>
      <c r="X19" s="17"/>
      <c r="Y19" s="20"/>
      <c r="Z19" s="20"/>
      <c r="AA19" s="21"/>
      <c r="AB19" s="8">
        <f t="shared" ref="AB19" si="13">IF(J19=0,"0",(L19/J19))</f>
        <v>1</v>
      </c>
      <c r="AC19" s="9">
        <f t="shared" ref="AC19" si="14">IF(P19=0,"0",(P19/24))</f>
        <v>0.41666666666666669</v>
      </c>
      <c r="AD19" s="10">
        <f t="shared" ref="AD19" si="15">AC19*AB19*(1-O19)</f>
        <v>0.41666666666666669</v>
      </c>
      <c r="AE19" s="39">
        <f t="shared" si="7"/>
        <v>0.4714943626157248</v>
      </c>
      <c r="AF19" s="94">
        <f t="shared" ref="AF19" si="16">A19</f>
        <v>13</v>
      </c>
    </row>
    <row r="20" spans="1:32" ht="27" customHeight="1">
      <c r="A20" s="110">
        <v>14</v>
      </c>
      <c r="B20" s="11" t="s">
        <v>59</v>
      </c>
      <c r="C20" s="37" t="s">
        <v>267</v>
      </c>
      <c r="D20" s="55" t="s">
        <v>162</v>
      </c>
      <c r="E20" s="57" t="s">
        <v>772</v>
      </c>
      <c r="F20" s="33" t="s">
        <v>773</v>
      </c>
      <c r="G20" s="36">
        <v>1</v>
      </c>
      <c r="H20" s="38">
        <v>25</v>
      </c>
      <c r="I20" s="34">
        <v>1050</v>
      </c>
      <c r="J20" s="5">
        <v>1390</v>
      </c>
      <c r="K20" s="15">
        <f>L20</f>
        <v>1383</v>
      </c>
      <c r="L20" s="15">
        <v>1383</v>
      </c>
      <c r="M20" s="16">
        <f t="shared" si="0"/>
        <v>1383</v>
      </c>
      <c r="N20" s="16">
        <v>0</v>
      </c>
      <c r="O20" s="62">
        <f t="shared" si="1"/>
        <v>0</v>
      </c>
      <c r="P20" s="42">
        <f t="shared" si="2"/>
        <v>10</v>
      </c>
      <c r="Q20" s="43">
        <f t="shared" si="3"/>
        <v>14</v>
      </c>
      <c r="R20" s="7"/>
      <c r="S20" s="6"/>
      <c r="T20" s="17"/>
      <c r="U20" s="17"/>
      <c r="V20" s="18"/>
      <c r="W20" s="19">
        <v>14</v>
      </c>
      <c r="X20" s="17"/>
      <c r="Y20" s="20"/>
      <c r="Z20" s="20"/>
      <c r="AA20" s="21"/>
      <c r="AB20" s="8">
        <f t="shared" si="4"/>
        <v>0.99496402877697843</v>
      </c>
      <c r="AC20" s="9">
        <f t="shared" si="5"/>
        <v>0.41666666666666669</v>
      </c>
      <c r="AD20" s="10">
        <f t="shared" si="6"/>
        <v>0.41456834532374104</v>
      </c>
      <c r="AE20" s="39">
        <f t="shared" si="7"/>
        <v>0.4714943626157248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143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35770</v>
      </c>
      <c r="K21" s="15">
        <f>L21+40636+52572+50384+54156+47100+55408+54312+54884+35764</f>
        <v>445216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0.4714943626157248</v>
      </c>
      <c r="AF21" s="94">
        <f t="shared" si="8"/>
        <v>15</v>
      </c>
    </row>
    <row r="22" spans="1:32" ht="31.5" customHeight="1" thickBot="1">
      <c r="A22" s="457" t="s">
        <v>34</v>
      </c>
      <c r="B22" s="458"/>
      <c r="C22" s="458"/>
      <c r="D22" s="458"/>
      <c r="E22" s="458"/>
      <c r="F22" s="458"/>
      <c r="G22" s="458"/>
      <c r="H22" s="459"/>
      <c r="I22" s="25">
        <f t="shared" ref="I22:N22" si="17">SUM(I6:I21)</f>
        <v>494500</v>
      </c>
      <c r="J22" s="22">
        <f t="shared" si="17"/>
        <v>77171</v>
      </c>
      <c r="K22" s="23">
        <f t="shared" si="17"/>
        <v>722175</v>
      </c>
      <c r="L22" s="24">
        <f t="shared" si="17"/>
        <v>32002</v>
      </c>
      <c r="M22" s="23">
        <f t="shared" si="17"/>
        <v>32002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170</v>
      </c>
      <c r="Q22" s="46">
        <f t="shared" si="18"/>
        <v>214</v>
      </c>
      <c r="R22" s="26">
        <f t="shared" si="18"/>
        <v>48</v>
      </c>
      <c r="S22" s="27">
        <f t="shared" si="18"/>
        <v>8</v>
      </c>
      <c r="T22" s="27">
        <f t="shared" si="18"/>
        <v>1</v>
      </c>
      <c r="U22" s="27">
        <f t="shared" si="18"/>
        <v>0</v>
      </c>
      <c r="V22" s="28">
        <f t="shared" si="18"/>
        <v>10</v>
      </c>
      <c r="W22" s="29">
        <f t="shared" si="18"/>
        <v>147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0.73207322121873664</v>
      </c>
      <c r="AC22" s="4">
        <f>SUM(AC6:AC21)/15</f>
        <v>0.47222222222222227</v>
      </c>
      <c r="AD22" s="4">
        <f>SUM(AD6:AD21)/15</f>
        <v>0.4714943626157248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60" t="s">
        <v>46</v>
      </c>
      <c r="B49" s="460"/>
      <c r="C49" s="460"/>
      <c r="D49" s="460"/>
      <c r="E49" s="460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61" t="s">
        <v>774</v>
      </c>
      <c r="B50" s="462"/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3"/>
      <c r="N50" s="464" t="s">
        <v>783</v>
      </c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67" t="s">
        <v>2</v>
      </c>
      <c r="B51" s="468"/>
      <c r="C51" s="295" t="s">
        <v>47</v>
      </c>
      <c r="D51" s="295" t="s">
        <v>48</v>
      </c>
      <c r="E51" s="295" t="s">
        <v>113</v>
      </c>
      <c r="F51" s="468" t="s">
        <v>112</v>
      </c>
      <c r="G51" s="468"/>
      <c r="H51" s="468"/>
      <c r="I51" s="468"/>
      <c r="J51" s="468"/>
      <c r="K51" s="468"/>
      <c r="L51" s="468"/>
      <c r="M51" s="469"/>
      <c r="N51" s="73" t="s">
        <v>117</v>
      </c>
      <c r="O51" s="295" t="s">
        <v>47</v>
      </c>
      <c r="P51" s="470" t="s">
        <v>48</v>
      </c>
      <c r="Q51" s="471"/>
      <c r="R51" s="470" t="s">
        <v>39</v>
      </c>
      <c r="S51" s="472"/>
      <c r="T51" s="472"/>
      <c r="U51" s="471"/>
      <c r="V51" s="470" t="s">
        <v>49</v>
      </c>
      <c r="W51" s="472"/>
      <c r="X51" s="472"/>
      <c r="Y51" s="472"/>
      <c r="Z51" s="472"/>
      <c r="AA51" s="472"/>
      <c r="AB51" s="472"/>
      <c r="AC51" s="472"/>
      <c r="AD51" s="473"/>
    </row>
    <row r="52" spans="1:32" ht="27" customHeight="1">
      <c r="A52" s="444" t="s">
        <v>734</v>
      </c>
      <c r="B52" s="445"/>
      <c r="C52" s="297" t="s">
        <v>501</v>
      </c>
      <c r="D52" s="297" t="s">
        <v>770</v>
      </c>
      <c r="E52" s="296" t="s">
        <v>744</v>
      </c>
      <c r="F52" s="432" t="s">
        <v>775</v>
      </c>
      <c r="G52" s="432"/>
      <c r="H52" s="432"/>
      <c r="I52" s="432"/>
      <c r="J52" s="432"/>
      <c r="K52" s="432"/>
      <c r="L52" s="432"/>
      <c r="M52" s="446"/>
      <c r="N52" s="298" t="s">
        <v>182</v>
      </c>
      <c r="O52" s="74" t="s">
        <v>172</v>
      </c>
      <c r="P52" s="451" t="s">
        <v>784</v>
      </c>
      <c r="Q52" s="452"/>
      <c r="R52" s="445" t="s">
        <v>785</v>
      </c>
      <c r="S52" s="445"/>
      <c r="T52" s="445"/>
      <c r="U52" s="445"/>
      <c r="V52" s="432" t="s">
        <v>745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734</v>
      </c>
      <c r="B53" s="445"/>
      <c r="C53" s="297" t="s">
        <v>501</v>
      </c>
      <c r="D53" s="297" t="s">
        <v>746</v>
      </c>
      <c r="E53" s="296" t="s">
        <v>776</v>
      </c>
      <c r="F53" s="432" t="s">
        <v>775</v>
      </c>
      <c r="G53" s="432"/>
      <c r="H53" s="432"/>
      <c r="I53" s="432"/>
      <c r="J53" s="432"/>
      <c r="K53" s="432"/>
      <c r="L53" s="432"/>
      <c r="M53" s="446"/>
      <c r="N53" s="298" t="s">
        <v>62</v>
      </c>
      <c r="O53" s="74" t="s">
        <v>425</v>
      </c>
      <c r="P53" s="451" t="s">
        <v>737</v>
      </c>
      <c r="Q53" s="452"/>
      <c r="R53" s="445" t="s">
        <v>786</v>
      </c>
      <c r="S53" s="445"/>
      <c r="T53" s="445"/>
      <c r="U53" s="445"/>
      <c r="V53" s="432" t="s">
        <v>329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734</v>
      </c>
      <c r="B54" s="454"/>
      <c r="C54" s="296" t="s">
        <v>168</v>
      </c>
      <c r="D54" s="297" t="s">
        <v>777</v>
      </c>
      <c r="E54" s="296" t="s">
        <v>772</v>
      </c>
      <c r="F54" s="432" t="s">
        <v>778</v>
      </c>
      <c r="G54" s="432"/>
      <c r="H54" s="432"/>
      <c r="I54" s="432"/>
      <c r="J54" s="432"/>
      <c r="K54" s="432"/>
      <c r="L54" s="432"/>
      <c r="M54" s="446"/>
      <c r="N54" s="298"/>
      <c r="O54" s="74"/>
      <c r="P54" s="451"/>
      <c r="Q54" s="452"/>
      <c r="R54" s="445"/>
      <c r="S54" s="445"/>
      <c r="T54" s="445"/>
      <c r="U54" s="445"/>
      <c r="V54" s="432"/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734</v>
      </c>
      <c r="B55" s="454"/>
      <c r="C55" s="296" t="s">
        <v>239</v>
      </c>
      <c r="D55" s="297" t="s">
        <v>779</v>
      </c>
      <c r="E55" s="296" t="s">
        <v>762</v>
      </c>
      <c r="F55" s="432" t="s">
        <v>778</v>
      </c>
      <c r="G55" s="432"/>
      <c r="H55" s="432"/>
      <c r="I55" s="432"/>
      <c r="J55" s="432"/>
      <c r="K55" s="432"/>
      <c r="L55" s="432"/>
      <c r="M55" s="446"/>
      <c r="N55" s="298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734</v>
      </c>
      <c r="B56" s="454"/>
      <c r="C56" s="296" t="s">
        <v>199</v>
      </c>
      <c r="D56" s="297" t="s">
        <v>780</v>
      </c>
      <c r="E56" s="297" t="s">
        <v>758</v>
      </c>
      <c r="F56" s="432" t="s">
        <v>778</v>
      </c>
      <c r="G56" s="432"/>
      <c r="H56" s="432"/>
      <c r="I56" s="432"/>
      <c r="J56" s="432"/>
      <c r="K56" s="432"/>
      <c r="L56" s="432"/>
      <c r="M56" s="446"/>
      <c r="N56" s="298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267</v>
      </c>
      <c r="B57" s="445"/>
      <c r="C57" s="297" t="s">
        <v>131</v>
      </c>
      <c r="D57" s="297" t="s">
        <v>746</v>
      </c>
      <c r="E57" s="296" t="s">
        <v>735</v>
      </c>
      <c r="F57" s="432" t="s">
        <v>781</v>
      </c>
      <c r="G57" s="432"/>
      <c r="H57" s="432"/>
      <c r="I57" s="432"/>
      <c r="J57" s="432"/>
      <c r="K57" s="432"/>
      <c r="L57" s="432"/>
      <c r="M57" s="446"/>
      <c r="N57" s="298"/>
      <c r="O57" s="74"/>
      <c r="P57" s="445"/>
      <c r="Q57" s="445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 t="s">
        <v>752</v>
      </c>
      <c r="B58" s="445"/>
      <c r="C58" s="297" t="s">
        <v>172</v>
      </c>
      <c r="D58" s="297" t="s">
        <v>753</v>
      </c>
      <c r="E58" s="296" t="s">
        <v>782</v>
      </c>
      <c r="F58" s="432" t="s">
        <v>329</v>
      </c>
      <c r="G58" s="432"/>
      <c r="H58" s="432"/>
      <c r="I58" s="432"/>
      <c r="J58" s="432"/>
      <c r="K58" s="432"/>
      <c r="L58" s="432"/>
      <c r="M58" s="446"/>
      <c r="N58" s="298"/>
      <c r="O58" s="74"/>
      <c r="P58" s="451"/>
      <c r="Q58" s="452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53"/>
      <c r="B59" s="454"/>
      <c r="C59" s="296"/>
      <c r="D59" s="297"/>
      <c r="E59" s="296"/>
      <c r="F59" s="432"/>
      <c r="G59" s="432"/>
      <c r="H59" s="432"/>
      <c r="I59" s="432"/>
      <c r="J59" s="432"/>
      <c r="K59" s="432"/>
      <c r="L59" s="432"/>
      <c r="M59" s="446"/>
      <c r="N59" s="298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44"/>
      <c r="B60" s="445"/>
      <c r="C60" s="297"/>
      <c r="D60" s="297"/>
      <c r="E60" s="297"/>
      <c r="F60" s="432"/>
      <c r="G60" s="432"/>
      <c r="H60" s="432"/>
      <c r="I60" s="432"/>
      <c r="J60" s="432"/>
      <c r="K60" s="432"/>
      <c r="L60" s="432"/>
      <c r="M60" s="446"/>
      <c r="N60" s="298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  <c r="AF60" s="94">
        <f>8*3000</f>
        <v>24000</v>
      </c>
    </row>
    <row r="61" spans="1:32" ht="27" customHeight="1" thickBot="1">
      <c r="A61" s="447"/>
      <c r="B61" s="448"/>
      <c r="C61" s="300"/>
      <c r="D61" s="300"/>
      <c r="E61" s="300"/>
      <c r="F61" s="449"/>
      <c r="G61" s="449"/>
      <c r="H61" s="449"/>
      <c r="I61" s="449"/>
      <c r="J61" s="449"/>
      <c r="K61" s="449"/>
      <c r="L61" s="449"/>
      <c r="M61" s="450"/>
      <c r="N61" s="299"/>
      <c r="O61" s="121"/>
      <c r="P61" s="448"/>
      <c r="Q61" s="448"/>
      <c r="R61" s="448"/>
      <c r="S61" s="448"/>
      <c r="T61" s="448"/>
      <c r="U61" s="448"/>
      <c r="V61" s="449"/>
      <c r="W61" s="449"/>
      <c r="X61" s="449"/>
      <c r="Y61" s="449"/>
      <c r="Z61" s="449"/>
      <c r="AA61" s="449"/>
      <c r="AB61" s="449"/>
      <c r="AC61" s="449"/>
      <c r="AD61" s="450"/>
      <c r="AF61" s="94">
        <f>16*3000</f>
        <v>48000</v>
      </c>
    </row>
    <row r="62" spans="1:32" ht="27.75" thickBot="1">
      <c r="A62" s="442" t="s">
        <v>787</v>
      </c>
      <c r="B62" s="442"/>
      <c r="C62" s="442"/>
      <c r="D62" s="442"/>
      <c r="E62" s="44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3" t="s">
        <v>118</v>
      </c>
      <c r="B63" s="439"/>
      <c r="C63" s="301" t="s">
        <v>2</v>
      </c>
      <c r="D63" s="301" t="s">
        <v>38</v>
      </c>
      <c r="E63" s="301" t="s">
        <v>3</v>
      </c>
      <c r="F63" s="439" t="s">
        <v>115</v>
      </c>
      <c r="G63" s="439"/>
      <c r="H63" s="439"/>
      <c r="I63" s="439"/>
      <c r="J63" s="439"/>
      <c r="K63" s="439" t="s">
        <v>40</v>
      </c>
      <c r="L63" s="439"/>
      <c r="M63" s="301" t="s">
        <v>41</v>
      </c>
      <c r="N63" s="439" t="s">
        <v>42</v>
      </c>
      <c r="O63" s="439"/>
      <c r="P63" s="436" t="s">
        <v>43</v>
      </c>
      <c r="Q63" s="438"/>
      <c r="R63" s="436" t="s">
        <v>44</v>
      </c>
      <c r="S63" s="437"/>
      <c r="T63" s="437"/>
      <c r="U63" s="437"/>
      <c r="V63" s="437"/>
      <c r="W63" s="437"/>
      <c r="X63" s="437"/>
      <c r="Y63" s="437"/>
      <c r="Z63" s="437"/>
      <c r="AA63" s="438"/>
      <c r="AB63" s="439" t="s">
        <v>45</v>
      </c>
      <c r="AC63" s="439"/>
      <c r="AD63" s="440"/>
      <c r="AF63" s="94">
        <f>SUM(AF60:AF62)</f>
        <v>96000</v>
      </c>
    </row>
    <row r="64" spans="1:32" ht="26.25" customHeight="1">
      <c r="A64" s="429">
        <v>1</v>
      </c>
      <c r="B64" s="430"/>
      <c r="C64" s="303"/>
      <c r="D64" s="305"/>
      <c r="E64" s="302"/>
      <c r="F64" s="421"/>
      <c r="G64" s="421"/>
      <c r="H64" s="421"/>
      <c r="I64" s="421"/>
      <c r="J64" s="421"/>
      <c r="K64" s="421"/>
      <c r="L64" s="421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2</v>
      </c>
      <c r="B65" s="430"/>
      <c r="C65" s="303"/>
      <c r="D65" s="305"/>
      <c r="E65" s="302"/>
      <c r="F65" s="496"/>
      <c r="G65" s="421"/>
      <c r="H65" s="421"/>
      <c r="I65" s="421"/>
      <c r="J65" s="421"/>
      <c r="K65" s="441"/>
      <c r="L65" s="441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6.25" customHeight="1">
      <c r="A66" s="429">
        <v>3</v>
      </c>
      <c r="B66" s="430"/>
      <c r="C66" s="303"/>
      <c r="D66" s="305"/>
      <c r="E66" s="302"/>
      <c r="F66" s="496"/>
      <c r="G66" s="421"/>
      <c r="H66" s="421"/>
      <c r="I66" s="421"/>
      <c r="J66" s="421"/>
      <c r="K66" s="441"/>
      <c r="L66" s="44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4</v>
      </c>
      <c r="B67" s="430"/>
      <c r="C67" s="303"/>
      <c r="D67" s="305"/>
      <c r="E67" s="302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5</v>
      </c>
      <c r="B68" s="430"/>
      <c r="C68" s="303"/>
      <c r="D68" s="305"/>
      <c r="E68" s="302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39" customHeight="1">
      <c r="A69" s="429">
        <v>6</v>
      </c>
      <c r="B69" s="430"/>
      <c r="C69" s="303"/>
      <c r="D69" s="305"/>
      <c r="E69" s="302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7</v>
      </c>
      <c r="B70" s="430"/>
      <c r="C70" s="303"/>
      <c r="D70" s="305"/>
      <c r="E70" s="302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39" customHeight="1">
      <c r="A71" s="429">
        <v>8</v>
      </c>
      <c r="B71" s="430"/>
      <c r="C71" s="303"/>
      <c r="D71" s="305"/>
      <c r="E71" s="302"/>
      <c r="F71" s="496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26.25" customHeight="1" thickBot="1">
      <c r="A72" s="400" t="s">
        <v>788</v>
      </c>
      <c r="B72" s="400"/>
      <c r="C72" s="400"/>
      <c r="D72" s="400"/>
      <c r="E72" s="40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3" t="s">
        <v>118</v>
      </c>
      <c r="B73" s="424"/>
      <c r="C73" s="304" t="s">
        <v>2</v>
      </c>
      <c r="D73" s="304" t="s">
        <v>38</v>
      </c>
      <c r="E73" s="304" t="s">
        <v>3</v>
      </c>
      <c r="F73" s="424" t="s">
        <v>39</v>
      </c>
      <c r="G73" s="424"/>
      <c r="H73" s="424"/>
      <c r="I73" s="424"/>
      <c r="J73" s="424"/>
      <c r="K73" s="425" t="s">
        <v>60</v>
      </c>
      <c r="L73" s="426"/>
      <c r="M73" s="426"/>
      <c r="N73" s="426"/>
      <c r="O73" s="426"/>
      <c r="P73" s="426"/>
      <c r="Q73" s="426"/>
      <c r="R73" s="426"/>
      <c r="S73" s="427"/>
      <c r="T73" s="424" t="s">
        <v>50</v>
      </c>
      <c r="U73" s="424"/>
      <c r="V73" s="425" t="s">
        <v>51</v>
      </c>
      <c r="W73" s="427"/>
      <c r="X73" s="426" t="s">
        <v>52</v>
      </c>
      <c r="Y73" s="426"/>
      <c r="Z73" s="426"/>
      <c r="AA73" s="426"/>
      <c r="AB73" s="426"/>
      <c r="AC73" s="426"/>
      <c r="AD73" s="428"/>
      <c r="AF73" s="53"/>
    </row>
    <row r="74" spans="1:32" ht="33.75" customHeight="1">
      <c r="A74" s="408">
        <v>1</v>
      </c>
      <c r="B74" s="409"/>
      <c r="C74" s="306" t="s">
        <v>62</v>
      </c>
      <c r="D74" s="306"/>
      <c r="E74" s="71" t="s">
        <v>58</v>
      </c>
      <c r="F74" s="410" t="s">
        <v>63</v>
      </c>
      <c r="G74" s="411"/>
      <c r="H74" s="411"/>
      <c r="I74" s="411"/>
      <c r="J74" s="412"/>
      <c r="K74" s="413" t="s">
        <v>61</v>
      </c>
      <c r="L74" s="414"/>
      <c r="M74" s="414"/>
      <c r="N74" s="414"/>
      <c r="O74" s="414"/>
      <c r="P74" s="414"/>
      <c r="Q74" s="414"/>
      <c r="R74" s="414"/>
      <c r="S74" s="415"/>
      <c r="T74" s="416">
        <v>41791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92">
        <f>A74+1</f>
        <v>2</v>
      </c>
      <c r="B75" s="393"/>
      <c r="C75" s="305" t="s">
        <v>129</v>
      </c>
      <c r="D75" s="305"/>
      <c r="E75" s="35" t="s">
        <v>121</v>
      </c>
      <c r="F75" s="393" t="s">
        <v>138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42779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ref="A76:A82" si="19">A75+1</f>
        <v>3</v>
      </c>
      <c r="B76" s="393"/>
      <c r="C76" s="305" t="s">
        <v>62</v>
      </c>
      <c r="D76" s="305"/>
      <c r="E76" s="35" t="s">
        <v>121</v>
      </c>
      <c r="F76" s="393" t="s">
        <v>125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9"/>
        <v>4</v>
      </c>
      <c r="B77" s="393"/>
      <c r="C77" s="305" t="s">
        <v>62</v>
      </c>
      <c r="D77" s="305"/>
      <c r="E77" s="35" t="s">
        <v>121</v>
      </c>
      <c r="F77" s="393" t="s">
        <v>124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9"/>
        <v>5</v>
      </c>
      <c r="B78" s="393"/>
      <c r="C78" s="305" t="s">
        <v>62</v>
      </c>
      <c r="D78" s="305"/>
      <c r="E78" s="35" t="s">
        <v>58</v>
      </c>
      <c r="F78" s="393" t="s">
        <v>126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9"/>
        <v>6</v>
      </c>
      <c r="B79" s="393"/>
      <c r="C79" s="305" t="s">
        <v>129</v>
      </c>
      <c r="D79" s="305"/>
      <c r="E79" s="35" t="s">
        <v>123</v>
      </c>
      <c r="F79" s="393" t="s">
        <v>253</v>
      </c>
      <c r="G79" s="393"/>
      <c r="H79" s="393"/>
      <c r="I79" s="393"/>
      <c r="J79" s="393"/>
      <c r="K79" s="402" t="s">
        <v>128</v>
      </c>
      <c r="L79" s="403"/>
      <c r="M79" s="403"/>
      <c r="N79" s="403"/>
      <c r="O79" s="403"/>
      <c r="P79" s="403"/>
      <c r="Q79" s="403"/>
      <c r="R79" s="403"/>
      <c r="S79" s="404"/>
      <c r="T79" s="405">
        <v>42803</v>
      </c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9"/>
        <v>7</v>
      </c>
      <c r="B80" s="393"/>
      <c r="C80" s="305"/>
      <c r="D80" s="305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9"/>
        <v>8</v>
      </c>
      <c r="B81" s="393"/>
      <c r="C81" s="305"/>
      <c r="D81" s="305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19"/>
        <v>9</v>
      </c>
      <c r="B82" s="393"/>
      <c r="C82" s="305"/>
      <c r="D82" s="305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6" thickBot="1">
      <c r="A83" s="400" t="s">
        <v>789</v>
      </c>
      <c r="B83" s="400"/>
      <c r="C83" s="400"/>
      <c r="D83" s="400"/>
      <c r="E83" s="40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1" t="s">
        <v>37</v>
      </c>
      <c r="B84" s="396"/>
      <c r="C84" s="396" t="s">
        <v>53</v>
      </c>
      <c r="D84" s="396"/>
      <c r="E84" s="396" t="s">
        <v>54</v>
      </c>
      <c r="F84" s="396"/>
      <c r="G84" s="396"/>
      <c r="H84" s="396"/>
      <c r="I84" s="396"/>
      <c r="J84" s="396"/>
      <c r="K84" s="396" t="s">
        <v>55</v>
      </c>
      <c r="L84" s="396"/>
      <c r="M84" s="396"/>
      <c r="N84" s="396"/>
      <c r="O84" s="396"/>
      <c r="P84" s="396"/>
      <c r="Q84" s="396"/>
      <c r="R84" s="396"/>
      <c r="S84" s="396"/>
      <c r="T84" s="396" t="s">
        <v>56</v>
      </c>
      <c r="U84" s="396"/>
      <c r="V84" s="396" t="s">
        <v>57</v>
      </c>
      <c r="W84" s="396"/>
      <c r="X84" s="396"/>
      <c r="Y84" s="396" t="s">
        <v>52</v>
      </c>
      <c r="Z84" s="396"/>
      <c r="AA84" s="396"/>
      <c r="AB84" s="396"/>
      <c r="AC84" s="396"/>
      <c r="AD84" s="397"/>
      <c r="AF84" s="53"/>
    </row>
    <row r="85" spans="1:32" ht="30.75" customHeight="1">
      <c r="A85" s="398">
        <v>1</v>
      </c>
      <c r="B85" s="399"/>
      <c r="C85" s="394">
        <v>1</v>
      </c>
      <c r="D85" s="394"/>
      <c r="E85" s="394" t="s">
        <v>561</v>
      </c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 t="s">
        <v>486</v>
      </c>
      <c r="U85" s="394"/>
      <c r="V85" s="395"/>
      <c r="W85" s="395"/>
      <c r="X85" s="395"/>
      <c r="Y85" s="386" t="s">
        <v>562</v>
      </c>
      <c r="Z85" s="386"/>
      <c r="AA85" s="386"/>
      <c r="AB85" s="386"/>
      <c r="AC85" s="386"/>
      <c r="AD85" s="387"/>
      <c r="AF85" s="53"/>
    </row>
    <row r="86" spans="1:32" ht="30.75" customHeight="1">
      <c r="A86" s="392">
        <v>2</v>
      </c>
      <c r="B86" s="393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5"/>
      <c r="W86" s="395"/>
      <c r="X86" s="395"/>
      <c r="Y86" s="386"/>
      <c r="Z86" s="386"/>
      <c r="AA86" s="386"/>
      <c r="AB86" s="386"/>
      <c r="AC86" s="386"/>
      <c r="AD86" s="387"/>
      <c r="AF86" s="53"/>
    </row>
    <row r="87" spans="1:32" ht="30.75" customHeight="1" thickBot="1">
      <c r="A87" s="388">
        <v>3</v>
      </c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89"/>
      <c r="S87" s="389"/>
      <c r="T87" s="389"/>
      <c r="U87" s="389"/>
      <c r="V87" s="389"/>
      <c r="W87" s="389"/>
      <c r="X87" s="389"/>
      <c r="Y87" s="390"/>
      <c r="Z87" s="390"/>
      <c r="AA87" s="390"/>
      <c r="AB87" s="390"/>
      <c r="AC87" s="390"/>
      <c r="AD87" s="39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K80" sqref="K80:S8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790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0.38569494809102695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5340</v>
      </c>
      <c r="K7" s="15">
        <f>L7+2454+5092+5124+5082+1904+1592+4745+5721+5190+4942+5771+5728+4942</f>
        <v>63618</v>
      </c>
      <c r="L7" s="15">
        <f>2998+2333</f>
        <v>5331</v>
      </c>
      <c r="M7" s="16">
        <f t="shared" si="0"/>
        <v>5331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0.99831460674157302</v>
      </c>
      <c r="AC7" s="9">
        <f t="shared" si="5"/>
        <v>1</v>
      </c>
      <c r="AD7" s="10">
        <f t="shared" si="6"/>
        <v>0.99831460674157302</v>
      </c>
      <c r="AE7" s="39">
        <f t="shared" si="7"/>
        <v>0.38569494809102695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>
        <v>24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0.38569494809102695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791</v>
      </c>
      <c r="D9" s="55" t="s">
        <v>792</v>
      </c>
      <c r="E9" s="57" t="s">
        <v>793</v>
      </c>
      <c r="F9" s="12" t="s">
        <v>794</v>
      </c>
      <c r="G9" s="12">
        <v>1</v>
      </c>
      <c r="H9" s="13">
        <v>24</v>
      </c>
      <c r="I9" s="34">
        <v>700</v>
      </c>
      <c r="J9" s="5">
        <v>1500</v>
      </c>
      <c r="K9" s="15">
        <f>L9</f>
        <v>1500</v>
      </c>
      <c r="L9" s="15">
        <v>1500</v>
      </c>
      <c r="M9" s="16">
        <f t="shared" si="0"/>
        <v>1500</v>
      </c>
      <c r="N9" s="16">
        <v>0</v>
      </c>
      <c r="O9" s="62">
        <f t="shared" si="1"/>
        <v>0</v>
      </c>
      <c r="P9" s="42">
        <f t="shared" si="2"/>
        <v>10</v>
      </c>
      <c r="Q9" s="43">
        <f t="shared" si="3"/>
        <v>14</v>
      </c>
      <c r="R9" s="7"/>
      <c r="S9" s="6"/>
      <c r="T9" s="17"/>
      <c r="U9" s="17"/>
      <c r="V9" s="18"/>
      <c r="W9" s="19">
        <v>14</v>
      </c>
      <c r="X9" s="17"/>
      <c r="Y9" s="20"/>
      <c r="Z9" s="20"/>
      <c r="AA9" s="21"/>
      <c r="AB9" s="8">
        <f t="shared" si="4"/>
        <v>1</v>
      </c>
      <c r="AC9" s="9">
        <f t="shared" si="5"/>
        <v>0.41666666666666669</v>
      </c>
      <c r="AD9" s="10">
        <f t="shared" si="6"/>
        <v>0.41666666666666669</v>
      </c>
      <c r="AE9" s="39">
        <f t="shared" si="7"/>
        <v>0.38569494809102695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267</v>
      </c>
      <c r="D10" s="55" t="s">
        <v>761</v>
      </c>
      <c r="E10" s="57" t="s">
        <v>762</v>
      </c>
      <c r="F10" s="12" t="s">
        <v>769</v>
      </c>
      <c r="G10" s="12">
        <v>1</v>
      </c>
      <c r="H10" s="13">
        <v>25</v>
      </c>
      <c r="I10" s="34">
        <v>1050</v>
      </c>
      <c r="J10" s="5">
        <v>1260</v>
      </c>
      <c r="K10" s="15">
        <f>L10+1259</f>
        <v>1259</v>
      </c>
      <c r="L10" s="15"/>
      <c r="M10" s="16">
        <f t="shared" si="0"/>
        <v>0</v>
      </c>
      <c r="N10" s="16">
        <v>0</v>
      </c>
      <c r="O10" s="62" t="str">
        <f t="shared" si="1"/>
        <v>0</v>
      </c>
      <c r="P10" s="42" t="str">
        <f t="shared" si="2"/>
        <v>0</v>
      </c>
      <c r="Q10" s="43">
        <f t="shared" si="3"/>
        <v>24</v>
      </c>
      <c r="R10" s="7"/>
      <c r="S10" s="6"/>
      <c r="T10" s="17"/>
      <c r="U10" s="17"/>
      <c r="V10" s="18"/>
      <c r="W10" s="19">
        <v>24</v>
      </c>
      <c r="X10" s="17"/>
      <c r="Y10" s="20"/>
      <c r="Z10" s="20"/>
      <c r="AA10" s="21"/>
      <c r="AB10" s="8">
        <f t="shared" si="4"/>
        <v>0</v>
      </c>
      <c r="AC10" s="9">
        <f t="shared" si="5"/>
        <v>0</v>
      </c>
      <c r="AD10" s="10">
        <f t="shared" si="6"/>
        <v>0</v>
      </c>
      <c r="AE10" s="39">
        <f t="shared" si="7"/>
        <v>0.38569494809102695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643</v>
      </c>
      <c r="D11" s="55" t="s">
        <v>121</v>
      </c>
      <c r="E11" s="57" t="s">
        <v>795</v>
      </c>
      <c r="F11" s="12" t="s">
        <v>796</v>
      </c>
      <c r="G11" s="12">
        <v>1</v>
      </c>
      <c r="H11" s="13">
        <v>25</v>
      </c>
      <c r="I11" s="34">
        <v>4000</v>
      </c>
      <c r="J11" s="14">
        <v>3950</v>
      </c>
      <c r="K11" s="15">
        <f>L11</f>
        <v>3949</v>
      </c>
      <c r="L11" s="15">
        <f>1895+2054</f>
        <v>3949</v>
      </c>
      <c r="M11" s="16">
        <f t="shared" si="0"/>
        <v>3949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>
        <v>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0.999746835443038</v>
      </c>
      <c r="AC11" s="9">
        <f t="shared" si="5"/>
        <v>0.91666666666666663</v>
      </c>
      <c r="AD11" s="10">
        <f t="shared" si="6"/>
        <v>0.91643459915611813</v>
      </c>
      <c r="AE11" s="39">
        <f t="shared" si="7"/>
        <v>0.38569494809102695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267</v>
      </c>
      <c r="D12" s="55" t="s">
        <v>746</v>
      </c>
      <c r="E12" s="57" t="s">
        <v>758</v>
      </c>
      <c r="F12" s="12" t="s">
        <v>769</v>
      </c>
      <c r="G12" s="12">
        <v>1</v>
      </c>
      <c r="H12" s="13">
        <v>25</v>
      </c>
      <c r="I12" s="34">
        <v>400</v>
      </c>
      <c r="J12" s="5">
        <v>570</v>
      </c>
      <c r="K12" s="15">
        <f>L12+570</f>
        <v>570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0.38569494809102695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157</v>
      </c>
      <c r="F13" s="12" t="s">
        <v>134</v>
      </c>
      <c r="G13" s="12">
        <v>1</v>
      </c>
      <c r="H13" s="13">
        <v>25</v>
      </c>
      <c r="I13" s="7">
        <v>42000</v>
      </c>
      <c r="J13" s="14">
        <v>4350</v>
      </c>
      <c r="K13" s="15">
        <f>L13+2452+3389+4558+2185+3734+1821+2940+2659+4787+4596+2547+3562+4687+4190+3890+3626</f>
        <v>59965</v>
      </c>
      <c r="L13" s="15">
        <f>2457+1885</f>
        <v>4342</v>
      </c>
      <c r="M13" s="16">
        <f t="shared" si="0"/>
        <v>4342</v>
      </c>
      <c r="N13" s="16">
        <v>0</v>
      </c>
      <c r="O13" s="62">
        <f t="shared" si="1"/>
        <v>0</v>
      </c>
      <c r="P13" s="42">
        <f t="shared" si="2"/>
        <v>23</v>
      </c>
      <c r="Q13" s="43">
        <f t="shared" si="3"/>
        <v>1</v>
      </c>
      <c r="R13" s="7"/>
      <c r="S13" s="6"/>
      <c r="T13" s="17"/>
      <c r="U13" s="17"/>
      <c r="V13" s="18">
        <v>1</v>
      </c>
      <c r="W13" s="19"/>
      <c r="X13" s="17"/>
      <c r="Y13" s="20"/>
      <c r="Z13" s="20"/>
      <c r="AA13" s="21"/>
      <c r="AB13" s="8">
        <f t="shared" si="4"/>
        <v>0.9981609195402299</v>
      </c>
      <c r="AC13" s="9">
        <f t="shared" si="5"/>
        <v>0.95833333333333337</v>
      </c>
      <c r="AD13" s="10">
        <f t="shared" si="6"/>
        <v>0.95657088122605372</v>
      </c>
      <c r="AE13" s="39">
        <f t="shared" si="7"/>
        <v>0.38569494809102695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58</v>
      </c>
      <c r="E14" s="57" t="s">
        <v>725</v>
      </c>
      <c r="F14" s="33" t="s">
        <v>726</v>
      </c>
      <c r="G14" s="36">
        <v>1</v>
      </c>
      <c r="H14" s="38">
        <v>40</v>
      </c>
      <c r="I14" s="7">
        <v>3500</v>
      </c>
      <c r="J14" s="5">
        <v>1200</v>
      </c>
      <c r="K14" s="15">
        <f>L14+1433+1272</f>
        <v>3905</v>
      </c>
      <c r="L14" s="15">
        <f>1200</f>
        <v>1200</v>
      </c>
      <c r="M14" s="16">
        <f t="shared" si="0"/>
        <v>1200</v>
      </c>
      <c r="N14" s="16">
        <v>0</v>
      </c>
      <c r="O14" s="62">
        <f t="shared" si="1"/>
        <v>0</v>
      </c>
      <c r="P14" s="42">
        <f t="shared" si="2"/>
        <v>14</v>
      </c>
      <c r="Q14" s="43">
        <f t="shared" si="3"/>
        <v>10</v>
      </c>
      <c r="R14" s="7"/>
      <c r="S14" s="6"/>
      <c r="T14" s="17"/>
      <c r="U14" s="17"/>
      <c r="V14" s="18"/>
      <c r="W14" s="19">
        <v>10</v>
      </c>
      <c r="X14" s="17"/>
      <c r="Y14" s="20"/>
      <c r="Z14" s="20"/>
      <c r="AA14" s="21"/>
      <c r="AB14" s="8">
        <f t="shared" si="4"/>
        <v>1</v>
      </c>
      <c r="AC14" s="9">
        <f t="shared" si="5"/>
        <v>0.58333333333333337</v>
      </c>
      <c r="AD14" s="10">
        <f t="shared" si="6"/>
        <v>0.58333333333333337</v>
      </c>
      <c r="AE14" s="39">
        <f t="shared" si="7"/>
        <v>0.38569494809102695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L15+4500</f>
        <v>4500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0.38569494809102695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5090</v>
      </c>
      <c r="K16" s="15">
        <f>L16+5278+5817+5149+4230+5807+5845+3899+5831+5245+5169+5439</f>
        <v>62792</v>
      </c>
      <c r="L16" s="15">
        <f>3006+2077</f>
        <v>5083</v>
      </c>
      <c r="M16" s="16">
        <f t="shared" si="0"/>
        <v>5083</v>
      </c>
      <c r="N16" s="16">
        <v>0</v>
      </c>
      <c r="O16" s="62">
        <f t="shared" si="1"/>
        <v>0</v>
      </c>
      <c r="P16" s="42">
        <f t="shared" si="2"/>
        <v>23</v>
      </c>
      <c r="Q16" s="43">
        <f t="shared" si="3"/>
        <v>1</v>
      </c>
      <c r="R16" s="7"/>
      <c r="S16" s="6"/>
      <c r="T16" s="17"/>
      <c r="U16" s="17"/>
      <c r="V16" s="18">
        <v>1</v>
      </c>
      <c r="W16" s="19"/>
      <c r="X16" s="17"/>
      <c r="Y16" s="20"/>
      <c r="Z16" s="20"/>
      <c r="AA16" s="21"/>
      <c r="AB16" s="8">
        <f t="shared" si="4"/>
        <v>0.99862475442043219</v>
      </c>
      <c r="AC16" s="9">
        <f t="shared" si="5"/>
        <v>0.95833333333333337</v>
      </c>
      <c r="AD16" s="10">
        <f t="shared" si="6"/>
        <v>0.95701538965291422</v>
      </c>
      <c r="AE16" s="39">
        <f t="shared" si="7"/>
        <v>0.38569494809102695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643</v>
      </c>
      <c r="D17" s="55" t="s">
        <v>245</v>
      </c>
      <c r="E17" s="56" t="s">
        <v>645</v>
      </c>
      <c r="F17" s="12" t="s">
        <v>646</v>
      </c>
      <c r="G17" s="12">
        <v>1</v>
      </c>
      <c r="H17" s="13">
        <v>25</v>
      </c>
      <c r="I17" s="34">
        <v>3000</v>
      </c>
      <c r="J17" s="5">
        <v>2630</v>
      </c>
      <c r="K17" s="15">
        <f>L17+1450+2626</f>
        <v>4076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0.38569494809102695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267</v>
      </c>
      <c r="D18" s="55" t="s">
        <v>746</v>
      </c>
      <c r="E18" s="56" t="s">
        <v>747</v>
      </c>
      <c r="F18" s="33" t="s">
        <v>771</v>
      </c>
      <c r="G18" s="36">
        <v>1</v>
      </c>
      <c r="H18" s="38">
        <v>25</v>
      </c>
      <c r="I18" s="7">
        <v>1000</v>
      </c>
      <c r="J18" s="5">
        <v>1401</v>
      </c>
      <c r="K18" s="15">
        <f>L18+1401</f>
        <v>1401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0.38569494809102695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4620</v>
      </c>
      <c r="K19" s="15">
        <f>L19+3360+3759+4940+3946+4510+3949+3533+5051+4317+4555+3348+3248</f>
        <v>53130</v>
      </c>
      <c r="L19" s="15">
        <f>2593+2021</f>
        <v>4614</v>
      </c>
      <c r="M19" s="16">
        <f t="shared" si="0"/>
        <v>4614</v>
      </c>
      <c r="N19" s="16">
        <v>0</v>
      </c>
      <c r="O19" s="62">
        <f t="shared" si="1"/>
        <v>0</v>
      </c>
      <c r="P19" s="42">
        <f t="shared" si="2"/>
        <v>23</v>
      </c>
      <c r="Q19" s="43">
        <f t="shared" si="3"/>
        <v>1</v>
      </c>
      <c r="R19" s="7"/>
      <c r="S19" s="6"/>
      <c r="T19" s="17"/>
      <c r="U19" s="17"/>
      <c r="V19" s="18">
        <v>1</v>
      </c>
      <c r="W19" s="19"/>
      <c r="X19" s="17"/>
      <c r="Y19" s="20"/>
      <c r="Z19" s="20"/>
      <c r="AA19" s="21"/>
      <c r="AB19" s="8">
        <f t="shared" si="4"/>
        <v>0.99870129870129876</v>
      </c>
      <c r="AC19" s="9">
        <f t="shared" si="5"/>
        <v>0.95833333333333337</v>
      </c>
      <c r="AD19" s="10">
        <f t="shared" si="6"/>
        <v>0.95708874458874471</v>
      </c>
      <c r="AE19" s="39">
        <f t="shared" si="7"/>
        <v>0.38569494809102695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0.38569494809102695</v>
      </c>
      <c r="AF20" s="94">
        <f t="shared" si="8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9">SUM(I6:I20)</f>
        <v>502650</v>
      </c>
      <c r="J21" s="22">
        <f t="shared" si="9"/>
        <v>74411</v>
      </c>
      <c r="K21" s="23">
        <f t="shared" si="9"/>
        <v>774621</v>
      </c>
      <c r="L21" s="24">
        <f t="shared" si="9"/>
        <v>26019</v>
      </c>
      <c r="M21" s="23">
        <f t="shared" si="9"/>
        <v>26019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139</v>
      </c>
      <c r="Q21" s="46">
        <f t="shared" si="10"/>
        <v>221</v>
      </c>
      <c r="R21" s="26">
        <f t="shared" si="10"/>
        <v>48</v>
      </c>
      <c r="S21" s="27">
        <f t="shared" si="10"/>
        <v>2</v>
      </c>
      <c r="T21" s="27">
        <f t="shared" si="10"/>
        <v>0</v>
      </c>
      <c r="U21" s="27">
        <f t="shared" si="10"/>
        <v>0</v>
      </c>
      <c r="V21" s="28">
        <f t="shared" si="10"/>
        <v>3</v>
      </c>
      <c r="W21" s="29">
        <f t="shared" si="10"/>
        <v>168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0.46623656098977145</v>
      </c>
      <c r="AC21" s="4">
        <f>SUM(AC6:AC20)/15</f>
        <v>0.38611111111111113</v>
      </c>
      <c r="AD21" s="4">
        <f>SUM(AD6:AD20)/15</f>
        <v>0.38569494809102695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797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810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318" t="s">
        <v>47</v>
      </c>
      <c r="D50" s="318" t="s">
        <v>48</v>
      </c>
      <c r="E50" s="318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318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44" t="s">
        <v>791</v>
      </c>
      <c r="B51" s="445"/>
      <c r="C51" s="314" t="s">
        <v>798</v>
      </c>
      <c r="D51" s="314" t="s">
        <v>799</v>
      </c>
      <c r="E51" s="317" t="s">
        <v>800</v>
      </c>
      <c r="F51" s="432" t="s">
        <v>801</v>
      </c>
      <c r="G51" s="432"/>
      <c r="H51" s="432"/>
      <c r="I51" s="432"/>
      <c r="J51" s="432"/>
      <c r="K51" s="432"/>
      <c r="L51" s="432"/>
      <c r="M51" s="446"/>
      <c r="N51" s="313" t="s">
        <v>807</v>
      </c>
      <c r="O51" s="74" t="s">
        <v>812</v>
      </c>
      <c r="P51" s="451" t="s">
        <v>799</v>
      </c>
      <c r="Q51" s="452"/>
      <c r="R51" s="445" t="s">
        <v>811</v>
      </c>
      <c r="S51" s="445"/>
      <c r="T51" s="445"/>
      <c r="U51" s="445"/>
      <c r="V51" s="432" t="s">
        <v>806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802</v>
      </c>
      <c r="B52" s="445"/>
      <c r="C52" s="314" t="s">
        <v>803</v>
      </c>
      <c r="D52" s="314" t="s">
        <v>804</v>
      </c>
      <c r="E52" s="317" t="s">
        <v>805</v>
      </c>
      <c r="F52" s="432" t="s">
        <v>806</v>
      </c>
      <c r="G52" s="432"/>
      <c r="H52" s="432"/>
      <c r="I52" s="432"/>
      <c r="J52" s="432"/>
      <c r="K52" s="432"/>
      <c r="L52" s="432"/>
      <c r="M52" s="446"/>
      <c r="N52" s="313" t="s">
        <v>791</v>
      </c>
      <c r="O52" s="74" t="s">
        <v>814</v>
      </c>
      <c r="P52" s="451" t="s">
        <v>815</v>
      </c>
      <c r="Q52" s="452"/>
      <c r="R52" s="445" t="s">
        <v>813</v>
      </c>
      <c r="S52" s="445"/>
      <c r="T52" s="445"/>
      <c r="U52" s="445"/>
      <c r="V52" s="432" t="s">
        <v>809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807</v>
      </c>
      <c r="B53" s="454"/>
      <c r="C53" s="317" t="s">
        <v>808</v>
      </c>
      <c r="D53" s="314" t="s">
        <v>792</v>
      </c>
      <c r="E53" s="317" t="s">
        <v>795</v>
      </c>
      <c r="F53" s="432" t="s">
        <v>809</v>
      </c>
      <c r="G53" s="432"/>
      <c r="H53" s="432"/>
      <c r="I53" s="432"/>
      <c r="J53" s="432"/>
      <c r="K53" s="432"/>
      <c r="L53" s="432"/>
      <c r="M53" s="446"/>
      <c r="N53" s="313" t="s">
        <v>802</v>
      </c>
      <c r="O53" s="74" t="s">
        <v>817</v>
      </c>
      <c r="P53" s="451" t="s">
        <v>818</v>
      </c>
      <c r="Q53" s="452"/>
      <c r="R53" s="445" t="s">
        <v>816</v>
      </c>
      <c r="S53" s="445"/>
      <c r="T53" s="445"/>
      <c r="U53" s="445"/>
      <c r="V53" s="432" t="s">
        <v>809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/>
      <c r="B54" s="454"/>
      <c r="C54" s="317"/>
      <c r="D54" s="314"/>
      <c r="E54" s="317"/>
      <c r="F54" s="432"/>
      <c r="G54" s="432"/>
      <c r="H54" s="432"/>
      <c r="I54" s="432"/>
      <c r="J54" s="432"/>
      <c r="K54" s="432"/>
      <c r="L54" s="432"/>
      <c r="M54" s="446"/>
      <c r="N54" s="313" t="s">
        <v>820</v>
      </c>
      <c r="O54" s="74" t="s">
        <v>821</v>
      </c>
      <c r="P54" s="451" t="s">
        <v>822</v>
      </c>
      <c r="Q54" s="452"/>
      <c r="R54" s="445" t="s">
        <v>819</v>
      </c>
      <c r="S54" s="445"/>
      <c r="T54" s="445"/>
      <c r="U54" s="445"/>
      <c r="V54" s="432" t="s">
        <v>809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/>
      <c r="B55" s="454"/>
      <c r="C55" s="317"/>
      <c r="D55" s="314"/>
      <c r="E55" s="314"/>
      <c r="F55" s="432"/>
      <c r="G55" s="432"/>
      <c r="H55" s="432"/>
      <c r="I55" s="432"/>
      <c r="J55" s="432"/>
      <c r="K55" s="432"/>
      <c r="L55" s="432"/>
      <c r="M55" s="446"/>
      <c r="N55" s="313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/>
      <c r="B56" s="445"/>
      <c r="C56" s="314"/>
      <c r="D56" s="314"/>
      <c r="E56" s="317"/>
      <c r="F56" s="432"/>
      <c r="G56" s="432"/>
      <c r="H56" s="432"/>
      <c r="I56" s="432"/>
      <c r="J56" s="432"/>
      <c r="K56" s="432"/>
      <c r="L56" s="432"/>
      <c r="M56" s="446"/>
      <c r="N56" s="313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314"/>
      <c r="D57" s="314"/>
      <c r="E57" s="317"/>
      <c r="F57" s="432"/>
      <c r="G57" s="432"/>
      <c r="H57" s="432"/>
      <c r="I57" s="432"/>
      <c r="J57" s="432"/>
      <c r="K57" s="432"/>
      <c r="L57" s="432"/>
      <c r="M57" s="446"/>
      <c r="N57" s="313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317"/>
      <c r="D58" s="314"/>
      <c r="E58" s="317"/>
      <c r="F58" s="432"/>
      <c r="G58" s="432"/>
      <c r="H58" s="432"/>
      <c r="I58" s="432"/>
      <c r="J58" s="432"/>
      <c r="K58" s="432"/>
      <c r="L58" s="432"/>
      <c r="M58" s="446"/>
      <c r="N58" s="313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314"/>
      <c r="D59" s="314"/>
      <c r="E59" s="314"/>
      <c r="F59" s="432"/>
      <c r="G59" s="432"/>
      <c r="H59" s="432"/>
      <c r="I59" s="432"/>
      <c r="J59" s="432"/>
      <c r="K59" s="432"/>
      <c r="L59" s="432"/>
      <c r="M59" s="446"/>
      <c r="N59" s="313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316"/>
      <c r="D60" s="316"/>
      <c r="E60" s="316"/>
      <c r="F60" s="449"/>
      <c r="G60" s="449"/>
      <c r="H60" s="449"/>
      <c r="I60" s="449"/>
      <c r="J60" s="449"/>
      <c r="K60" s="449"/>
      <c r="L60" s="449"/>
      <c r="M60" s="450"/>
      <c r="N60" s="315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823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311" t="s">
        <v>2</v>
      </c>
      <c r="D62" s="311" t="s">
        <v>38</v>
      </c>
      <c r="E62" s="311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311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312" t="s">
        <v>612</v>
      </c>
      <c r="D63" s="307"/>
      <c r="E63" s="309" t="s">
        <v>627</v>
      </c>
      <c r="F63" s="421" t="s">
        <v>626</v>
      </c>
      <c r="G63" s="421"/>
      <c r="H63" s="421"/>
      <c r="I63" s="421"/>
      <c r="J63" s="421"/>
      <c r="K63" s="421" t="s">
        <v>620</v>
      </c>
      <c r="L63" s="421"/>
      <c r="M63" s="54" t="s">
        <v>615</v>
      </c>
      <c r="N63" s="421">
        <v>7</v>
      </c>
      <c r="O63" s="421"/>
      <c r="P63" s="431" t="s">
        <v>628</v>
      </c>
      <c r="Q63" s="431"/>
      <c r="R63" s="432" t="s">
        <v>629</v>
      </c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  <c r="AF63" s="53"/>
    </row>
    <row r="64" spans="1:32" ht="26.25" customHeight="1">
      <c r="A64" s="429">
        <v>2</v>
      </c>
      <c r="B64" s="430"/>
      <c r="C64" s="312" t="s">
        <v>802</v>
      </c>
      <c r="D64" s="307"/>
      <c r="E64" s="309" t="s">
        <v>799</v>
      </c>
      <c r="F64" s="496" t="s">
        <v>824</v>
      </c>
      <c r="G64" s="421"/>
      <c r="H64" s="421"/>
      <c r="I64" s="421"/>
      <c r="J64" s="421"/>
      <c r="K64" s="441" t="s">
        <v>825</v>
      </c>
      <c r="L64" s="441"/>
      <c r="M64" s="54" t="s">
        <v>826</v>
      </c>
      <c r="N64" s="421">
        <v>7</v>
      </c>
      <c r="O64" s="421"/>
      <c r="P64" s="431">
        <v>50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312" t="s">
        <v>827</v>
      </c>
      <c r="D65" s="307"/>
      <c r="E65" s="309" t="s">
        <v>815</v>
      </c>
      <c r="F65" s="496" t="s">
        <v>828</v>
      </c>
      <c r="G65" s="421"/>
      <c r="H65" s="421"/>
      <c r="I65" s="421"/>
      <c r="J65" s="421"/>
      <c r="K65" s="441" t="s">
        <v>825</v>
      </c>
      <c r="L65" s="441"/>
      <c r="M65" s="54" t="s">
        <v>829</v>
      </c>
      <c r="N65" s="421">
        <v>7</v>
      </c>
      <c r="O65" s="421"/>
      <c r="P65" s="431">
        <v>50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312"/>
      <c r="D66" s="307"/>
      <c r="E66" s="309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312"/>
      <c r="D67" s="307"/>
      <c r="E67" s="309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39" customHeight="1">
      <c r="A68" s="429">
        <v>6</v>
      </c>
      <c r="B68" s="430"/>
      <c r="C68" s="312"/>
      <c r="D68" s="307"/>
      <c r="E68" s="309"/>
      <c r="F68" s="496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39" customHeight="1">
      <c r="A69" s="429">
        <v>7</v>
      </c>
      <c r="B69" s="430"/>
      <c r="C69" s="312"/>
      <c r="D69" s="307"/>
      <c r="E69" s="309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8</v>
      </c>
      <c r="B70" s="430"/>
      <c r="C70" s="312"/>
      <c r="D70" s="307"/>
      <c r="E70" s="309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830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310" t="s">
        <v>2</v>
      </c>
      <c r="D72" s="310" t="s">
        <v>38</v>
      </c>
      <c r="E72" s="310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308" t="s">
        <v>62</v>
      </c>
      <c r="D73" s="308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307" t="s">
        <v>129</v>
      </c>
      <c r="D74" s="307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1">A74+1</f>
        <v>3</v>
      </c>
      <c r="B75" s="393"/>
      <c r="C75" s="307" t="s">
        <v>62</v>
      </c>
      <c r="D75" s="307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1"/>
        <v>4</v>
      </c>
      <c r="B76" s="393"/>
      <c r="C76" s="307" t="s">
        <v>62</v>
      </c>
      <c r="D76" s="307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1"/>
        <v>5</v>
      </c>
      <c r="B77" s="393"/>
      <c r="C77" s="307" t="s">
        <v>62</v>
      </c>
      <c r="D77" s="307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1"/>
        <v>6</v>
      </c>
      <c r="B78" s="393"/>
      <c r="C78" s="307" t="s">
        <v>129</v>
      </c>
      <c r="D78" s="307"/>
      <c r="E78" s="35" t="s">
        <v>123</v>
      </c>
      <c r="F78" s="393" t="s">
        <v>253</v>
      </c>
      <c r="G78" s="393"/>
      <c r="H78" s="393"/>
      <c r="I78" s="393"/>
      <c r="J78" s="393"/>
      <c r="K78" s="402" t="s">
        <v>128</v>
      </c>
      <c r="L78" s="403"/>
      <c r="M78" s="403"/>
      <c r="N78" s="403"/>
      <c r="O78" s="403"/>
      <c r="P78" s="403"/>
      <c r="Q78" s="403"/>
      <c r="R78" s="403"/>
      <c r="S78" s="404"/>
      <c r="T78" s="405">
        <v>42803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1"/>
        <v>7</v>
      </c>
      <c r="B79" s="393"/>
      <c r="C79" s="307"/>
      <c r="D79" s="307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1"/>
        <v>8</v>
      </c>
      <c r="B80" s="393"/>
      <c r="C80" s="307"/>
      <c r="D80" s="307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1"/>
        <v>9</v>
      </c>
      <c r="B81" s="393"/>
      <c r="C81" s="307"/>
      <c r="D81" s="307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831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2" zoomScaleNormal="72" zoomScaleSheetLayoutView="70" workbookViewId="0">
      <selection activeCell="A9" sqref="A9:XFD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832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0.34888629928344439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5750</v>
      </c>
      <c r="K7" s="15">
        <f>L7+2454+5092+5124+5082+1904+1592+4745+5721+5190+4942+5771+5728+4942+5331</f>
        <v>69366</v>
      </c>
      <c r="L7" s="15">
        <f>2993+2755</f>
        <v>5748</v>
      </c>
      <c r="M7" s="16">
        <f t="shared" si="0"/>
        <v>5748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0.99965217391304351</v>
      </c>
      <c r="AC7" s="9">
        <f t="shared" si="5"/>
        <v>1</v>
      </c>
      <c r="AD7" s="10">
        <f t="shared" si="6"/>
        <v>0.99965217391304351</v>
      </c>
      <c r="AE7" s="39">
        <f t="shared" si="7"/>
        <v>0.34888629928344439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>
        <v>24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0.34888629928344439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791</v>
      </c>
      <c r="D9" s="55" t="s">
        <v>833</v>
      </c>
      <c r="E9" s="57" t="s">
        <v>834</v>
      </c>
      <c r="F9" s="12" t="s">
        <v>835</v>
      </c>
      <c r="G9" s="12">
        <v>1</v>
      </c>
      <c r="H9" s="13">
        <v>24</v>
      </c>
      <c r="I9" s="34">
        <v>2000</v>
      </c>
      <c r="J9" s="5">
        <v>1500</v>
      </c>
      <c r="K9" s="15">
        <f>L9</f>
        <v>0</v>
      </c>
      <c r="L9" s="15"/>
      <c r="M9" s="16">
        <f t="shared" si="0"/>
        <v>0</v>
      </c>
      <c r="N9" s="16">
        <v>0</v>
      </c>
      <c r="O9" s="62" t="str">
        <f t="shared" si="1"/>
        <v>0</v>
      </c>
      <c r="P9" s="42" t="str">
        <f t="shared" si="2"/>
        <v>0</v>
      </c>
      <c r="Q9" s="43">
        <f t="shared" si="3"/>
        <v>24</v>
      </c>
      <c r="R9" s="7"/>
      <c r="S9" s="6"/>
      <c r="T9" s="17"/>
      <c r="U9" s="17"/>
      <c r="V9" s="18"/>
      <c r="W9" s="19">
        <v>24</v>
      </c>
      <c r="X9" s="17"/>
      <c r="Y9" s="20"/>
      <c r="Z9" s="20"/>
      <c r="AA9" s="21"/>
      <c r="AB9" s="8">
        <f t="shared" si="4"/>
        <v>0</v>
      </c>
      <c r="AC9" s="9">
        <f t="shared" si="5"/>
        <v>0</v>
      </c>
      <c r="AD9" s="10">
        <f t="shared" si="6"/>
        <v>0</v>
      </c>
      <c r="AE9" s="39">
        <f t="shared" si="7"/>
        <v>0.34888629928344439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820</v>
      </c>
      <c r="D10" s="55" t="s">
        <v>799</v>
      </c>
      <c r="E10" s="57" t="s">
        <v>836</v>
      </c>
      <c r="F10" s="12" t="s">
        <v>835</v>
      </c>
      <c r="G10" s="12">
        <v>1</v>
      </c>
      <c r="H10" s="13">
        <v>25</v>
      </c>
      <c r="I10" s="34">
        <v>3000</v>
      </c>
      <c r="J10" s="5">
        <v>300</v>
      </c>
      <c r="K10" s="15">
        <f>L10</f>
        <v>293</v>
      </c>
      <c r="L10" s="15">
        <f>293</f>
        <v>293</v>
      </c>
      <c r="M10" s="16">
        <f t="shared" si="0"/>
        <v>293</v>
      </c>
      <c r="N10" s="16">
        <v>0</v>
      </c>
      <c r="O10" s="62">
        <f t="shared" si="1"/>
        <v>0</v>
      </c>
      <c r="P10" s="42">
        <f t="shared" si="2"/>
        <v>3</v>
      </c>
      <c r="Q10" s="43">
        <f t="shared" si="3"/>
        <v>21</v>
      </c>
      <c r="R10" s="7"/>
      <c r="S10" s="6">
        <v>21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0.97666666666666668</v>
      </c>
      <c r="AC10" s="9">
        <f t="shared" si="5"/>
        <v>0.125</v>
      </c>
      <c r="AD10" s="10">
        <f t="shared" si="6"/>
        <v>0.12208333333333334</v>
      </c>
      <c r="AE10" s="39">
        <f t="shared" si="7"/>
        <v>0.34888629928344439</v>
      </c>
      <c r="AF10" s="94">
        <f t="shared" si="8"/>
        <v>5</v>
      </c>
    </row>
    <row r="11" spans="1:32" ht="27" customHeight="1">
      <c r="A11" s="110">
        <v>5</v>
      </c>
      <c r="B11" s="11" t="s">
        <v>59</v>
      </c>
      <c r="C11" s="37" t="s">
        <v>820</v>
      </c>
      <c r="D11" s="55" t="s">
        <v>845</v>
      </c>
      <c r="E11" s="57" t="s">
        <v>846</v>
      </c>
      <c r="F11" s="12" t="s">
        <v>835</v>
      </c>
      <c r="G11" s="12">
        <v>1</v>
      </c>
      <c r="H11" s="13">
        <v>25</v>
      </c>
      <c r="I11" s="34">
        <v>3000</v>
      </c>
      <c r="J11" s="5">
        <v>930</v>
      </c>
      <c r="K11" s="15">
        <f>L11</f>
        <v>923</v>
      </c>
      <c r="L11" s="15">
        <v>923</v>
      </c>
      <c r="M11" s="16">
        <f t="shared" ref="M11" si="9">L11-N11</f>
        <v>923</v>
      </c>
      <c r="N11" s="16">
        <v>0</v>
      </c>
      <c r="O11" s="62">
        <f t="shared" ref="O11" si="10">IF(L11=0,"0",N11/L11)</f>
        <v>0</v>
      </c>
      <c r="P11" s="42">
        <f t="shared" ref="P11" si="11">IF(L11=0,"0",(24-Q11))</f>
        <v>6</v>
      </c>
      <c r="Q11" s="43">
        <f t="shared" ref="Q11" si="12">SUM(R11:AA11)</f>
        <v>18</v>
      </c>
      <c r="R11" s="7"/>
      <c r="S11" s="6">
        <v>18</v>
      </c>
      <c r="T11" s="17"/>
      <c r="U11" s="17"/>
      <c r="V11" s="18"/>
      <c r="W11" s="19"/>
      <c r="X11" s="17"/>
      <c r="Y11" s="20"/>
      <c r="Z11" s="20"/>
      <c r="AA11" s="21"/>
      <c r="AB11" s="8">
        <f t="shared" ref="AB11" si="13">IF(J11=0,"0",(L11/J11))</f>
        <v>0.99247311827956985</v>
      </c>
      <c r="AC11" s="9">
        <f t="shared" ref="AC11" si="14">IF(P11=0,"0",(P11/24))</f>
        <v>0.25</v>
      </c>
      <c r="AD11" s="10">
        <f t="shared" ref="AD11" si="15">AC11*AB11*(1-O11)</f>
        <v>0.24811827956989246</v>
      </c>
      <c r="AE11" s="39">
        <f t="shared" si="7"/>
        <v>0.34888629928344439</v>
      </c>
      <c r="AF11" s="94">
        <f t="shared" ref="AF11" si="16">A11</f>
        <v>5</v>
      </c>
    </row>
    <row r="12" spans="1:32" ht="27" customHeight="1">
      <c r="A12" s="110">
        <v>6</v>
      </c>
      <c r="B12" s="11" t="s">
        <v>59</v>
      </c>
      <c r="C12" s="11" t="s">
        <v>643</v>
      </c>
      <c r="D12" s="55" t="s">
        <v>121</v>
      </c>
      <c r="E12" s="57" t="s">
        <v>795</v>
      </c>
      <c r="F12" s="12" t="s">
        <v>796</v>
      </c>
      <c r="G12" s="12">
        <v>1</v>
      </c>
      <c r="H12" s="13">
        <v>25</v>
      </c>
      <c r="I12" s="34">
        <v>4000</v>
      </c>
      <c r="J12" s="14">
        <v>470</v>
      </c>
      <c r="K12" s="15">
        <f>L12+3949</f>
        <v>4412</v>
      </c>
      <c r="L12" s="15">
        <v>463</v>
      </c>
      <c r="M12" s="16">
        <f t="shared" si="0"/>
        <v>463</v>
      </c>
      <c r="N12" s="16">
        <v>0</v>
      </c>
      <c r="O12" s="62">
        <f t="shared" si="1"/>
        <v>0</v>
      </c>
      <c r="P12" s="42">
        <f t="shared" si="2"/>
        <v>4</v>
      </c>
      <c r="Q12" s="43">
        <f t="shared" si="3"/>
        <v>20</v>
      </c>
      <c r="R12" s="7"/>
      <c r="S12" s="6">
        <v>20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0.98510638297872344</v>
      </c>
      <c r="AC12" s="9">
        <f t="shared" si="5"/>
        <v>0.16666666666666666</v>
      </c>
      <c r="AD12" s="10">
        <f t="shared" si="6"/>
        <v>0.16418439716312055</v>
      </c>
      <c r="AE12" s="39">
        <f t="shared" si="7"/>
        <v>0.34888629928344439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267</v>
      </c>
      <c r="D13" s="55" t="s">
        <v>746</v>
      </c>
      <c r="E13" s="57" t="s">
        <v>758</v>
      </c>
      <c r="F13" s="12" t="s">
        <v>769</v>
      </c>
      <c r="G13" s="12">
        <v>1</v>
      </c>
      <c r="H13" s="13">
        <v>25</v>
      </c>
      <c r="I13" s="34">
        <v>400</v>
      </c>
      <c r="J13" s="5">
        <v>570</v>
      </c>
      <c r="K13" s="15">
        <f>L13+570</f>
        <v>570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0.34888629928344439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122</v>
      </c>
      <c r="D14" s="55" t="s">
        <v>144</v>
      </c>
      <c r="E14" s="57" t="s">
        <v>157</v>
      </c>
      <c r="F14" s="12" t="s">
        <v>134</v>
      </c>
      <c r="G14" s="12">
        <v>1</v>
      </c>
      <c r="H14" s="13">
        <v>25</v>
      </c>
      <c r="I14" s="7">
        <v>42000</v>
      </c>
      <c r="J14" s="14">
        <v>570</v>
      </c>
      <c r="K14" s="15">
        <f>L14+2452+3389+4558+2185+3734+1821+2940+2659+4787+4596+2547+3562+4687+4190+3890+3626+4342</f>
        <v>60534</v>
      </c>
      <c r="L14" s="15">
        <v>569</v>
      </c>
      <c r="M14" s="16">
        <f t="shared" si="0"/>
        <v>569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/>
      <c r="T14" s="17"/>
      <c r="U14" s="17"/>
      <c r="V14" s="18"/>
      <c r="W14" s="19">
        <v>20</v>
      </c>
      <c r="X14" s="17"/>
      <c r="Y14" s="20"/>
      <c r="Z14" s="20"/>
      <c r="AA14" s="21"/>
      <c r="AB14" s="8">
        <f t="shared" si="4"/>
        <v>0.99824561403508771</v>
      </c>
      <c r="AC14" s="9">
        <f t="shared" si="5"/>
        <v>0.16666666666666666</v>
      </c>
      <c r="AD14" s="10">
        <f t="shared" si="6"/>
        <v>0.16637426900584795</v>
      </c>
      <c r="AE14" s="39">
        <f t="shared" si="7"/>
        <v>0.34888629928344439</v>
      </c>
      <c r="AF14" s="94">
        <f t="shared" si="8"/>
        <v>8</v>
      </c>
    </row>
    <row r="15" spans="1:32" ht="27" customHeight="1">
      <c r="A15" s="110">
        <v>8</v>
      </c>
      <c r="B15" s="11" t="s">
        <v>59</v>
      </c>
      <c r="C15" s="11" t="s">
        <v>791</v>
      </c>
      <c r="D15" s="55" t="s">
        <v>799</v>
      </c>
      <c r="E15" s="57" t="s">
        <v>813</v>
      </c>
      <c r="F15" s="12" t="s">
        <v>837</v>
      </c>
      <c r="G15" s="12">
        <v>1</v>
      </c>
      <c r="H15" s="13">
        <v>25</v>
      </c>
      <c r="I15" s="7">
        <v>2000</v>
      </c>
      <c r="J15" s="14">
        <v>2480</v>
      </c>
      <c r="K15" s="15">
        <f>L15</f>
        <v>2475</v>
      </c>
      <c r="L15" s="15">
        <f>2084+391</f>
        <v>2475</v>
      </c>
      <c r="M15" s="16">
        <f t="shared" ref="M15" si="17">L15-N15</f>
        <v>2475</v>
      </c>
      <c r="N15" s="16">
        <v>0</v>
      </c>
      <c r="O15" s="62">
        <f t="shared" ref="O15" si="18">IF(L15=0,"0",N15/L15)</f>
        <v>0</v>
      </c>
      <c r="P15" s="42">
        <f t="shared" ref="P15" si="19">IF(L15=0,"0",(24-Q15))</f>
        <v>18</v>
      </c>
      <c r="Q15" s="43">
        <f t="shared" ref="Q15" si="20">SUM(R15:AA15)</f>
        <v>6</v>
      </c>
      <c r="R15" s="7"/>
      <c r="S15" s="6"/>
      <c r="T15" s="17">
        <v>6</v>
      </c>
      <c r="U15" s="17"/>
      <c r="V15" s="18"/>
      <c r="W15" s="19"/>
      <c r="X15" s="17"/>
      <c r="Y15" s="20"/>
      <c r="Z15" s="20"/>
      <c r="AA15" s="21"/>
      <c r="AB15" s="8">
        <f t="shared" ref="AB15" si="21">IF(J15=0,"0",(L15/J15))</f>
        <v>0.99798387096774188</v>
      </c>
      <c r="AC15" s="9">
        <f t="shared" ref="AC15" si="22">IF(P15=0,"0",(P15/24))</f>
        <v>0.75</v>
      </c>
      <c r="AD15" s="10">
        <f t="shared" ref="AD15" si="23">AC15*AB15*(1-O15)</f>
        <v>0.74848790322580638</v>
      </c>
      <c r="AE15" s="39">
        <f t="shared" si="7"/>
        <v>0.34888629928344439</v>
      </c>
      <c r="AF15" s="94">
        <f t="shared" ref="AF15" si="24">A15</f>
        <v>8</v>
      </c>
    </row>
    <row r="16" spans="1:32" ht="27" customHeight="1">
      <c r="A16" s="109">
        <v>9</v>
      </c>
      <c r="B16" s="11" t="s">
        <v>59</v>
      </c>
      <c r="C16" s="37" t="s">
        <v>791</v>
      </c>
      <c r="D16" s="55" t="s">
        <v>838</v>
      </c>
      <c r="E16" s="57" t="s">
        <v>839</v>
      </c>
      <c r="F16" s="33" t="s">
        <v>840</v>
      </c>
      <c r="G16" s="36">
        <v>1</v>
      </c>
      <c r="H16" s="38">
        <v>25</v>
      </c>
      <c r="I16" s="7">
        <v>250</v>
      </c>
      <c r="J16" s="5">
        <v>1200</v>
      </c>
      <c r="K16" s="15">
        <f>L16</f>
        <v>250</v>
      </c>
      <c r="L16" s="15">
        <v>250</v>
      </c>
      <c r="M16" s="16">
        <f t="shared" si="0"/>
        <v>250</v>
      </c>
      <c r="N16" s="16">
        <v>0</v>
      </c>
      <c r="O16" s="62">
        <f t="shared" si="1"/>
        <v>0</v>
      </c>
      <c r="P16" s="42">
        <f t="shared" si="2"/>
        <v>4</v>
      </c>
      <c r="Q16" s="43">
        <f t="shared" si="3"/>
        <v>20</v>
      </c>
      <c r="R16" s="7">
        <v>20</v>
      </c>
      <c r="S16" s="6"/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0.20833333333333334</v>
      </c>
      <c r="AC16" s="9">
        <f t="shared" si="5"/>
        <v>0.16666666666666666</v>
      </c>
      <c r="AD16" s="10">
        <f t="shared" si="6"/>
        <v>3.4722222222222224E-2</v>
      </c>
      <c r="AE16" s="39">
        <f t="shared" si="7"/>
        <v>0.34888629928344439</v>
      </c>
      <c r="AF16" s="94">
        <f t="shared" si="8"/>
        <v>9</v>
      </c>
    </row>
    <row r="17" spans="1:32" ht="27" customHeight="1">
      <c r="A17" s="109">
        <v>10</v>
      </c>
      <c r="B17" s="11" t="s">
        <v>727</v>
      </c>
      <c r="C17" s="37" t="s">
        <v>691</v>
      </c>
      <c r="D17" s="55"/>
      <c r="E17" s="57" t="s">
        <v>692</v>
      </c>
      <c r="F17" s="12" t="s">
        <v>728</v>
      </c>
      <c r="G17" s="12">
        <v>8</v>
      </c>
      <c r="H17" s="13">
        <v>15</v>
      </c>
      <c r="I17" s="34">
        <v>3000</v>
      </c>
      <c r="J17" s="5">
        <v>4500</v>
      </c>
      <c r="K17" s="15">
        <f>L17+4500</f>
        <v>4500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0.34888629928344439</v>
      </c>
      <c r="AF17" s="94">
        <f t="shared" si="8"/>
        <v>10</v>
      </c>
    </row>
    <row r="18" spans="1:32" ht="27" customHeight="1">
      <c r="A18" s="109">
        <v>11</v>
      </c>
      <c r="B18" s="11" t="s">
        <v>59</v>
      </c>
      <c r="C18" s="11" t="s">
        <v>129</v>
      </c>
      <c r="D18" s="55" t="s">
        <v>133</v>
      </c>
      <c r="E18" s="56" t="s">
        <v>303</v>
      </c>
      <c r="F18" s="12">
        <v>7301</v>
      </c>
      <c r="G18" s="36">
        <v>1</v>
      </c>
      <c r="H18" s="38">
        <v>25</v>
      </c>
      <c r="I18" s="7">
        <v>60000</v>
      </c>
      <c r="J18" s="14">
        <v>5780</v>
      </c>
      <c r="K18" s="15">
        <f>L18+5278+5817+5149+4230+5807+5845+3899+5831+5245+5169+5439+5083</f>
        <v>68569</v>
      </c>
      <c r="L18" s="15">
        <f>2977+2800</f>
        <v>5777</v>
      </c>
      <c r="M18" s="16">
        <f t="shared" si="0"/>
        <v>5777</v>
      </c>
      <c r="N18" s="16">
        <v>0</v>
      </c>
      <c r="O18" s="62">
        <f t="shared" si="1"/>
        <v>0</v>
      </c>
      <c r="P18" s="42">
        <f t="shared" si="2"/>
        <v>24</v>
      </c>
      <c r="Q18" s="43">
        <f t="shared" si="3"/>
        <v>0</v>
      </c>
      <c r="R18" s="7"/>
      <c r="S18" s="6"/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0.99948096885813154</v>
      </c>
      <c r="AC18" s="9">
        <f t="shared" si="5"/>
        <v>1</v>
      </c>
      <c r="AD18" s="10">
        <f t="shared" si="6"/>
        <v>0.99948096885813154</v>
      </c>
      <c r="AE18" s="39">
        <f t="shared" si="7"/>
        <v>0.34888629928344439</v>
      </c>
      <c r="AF18" s="94">
        <f t="shared" si="8"/>
        <v>11</v>
      </c>
    </row>
    <row r="19" spans="1:32" ht="27" customHeight="1">
      <c r="A19" s="109">
        <v>12</v>
      </c>
      <c r="B19" s="11" t="s">
        <v>59</v>
      </c>
      <c r="C19" s="37" t="s">
        <v>643</v>
      </c>
      <c r="D19" s="55" t="s">
        <v>841</v>
      </c>
      <c r="E19" s="56" t="s">
        <v>842</v>
      </c>
      <c r="F19" s="12">
        <v>8301</v>
      </c>
      <c r="G19" s="12">
        <v>1</v>
      </c>
      <c r="H19" s="13">
        <v>25</v>
      </c>
      <c r="I19" s="34">
        <v>3000</v>
      </c>
      <c r="J19" s="5">
        <v>2630</v>
      </c>
      <c r="K19" s="15">
        <f>L19</f>
        <v>2929</v>
      </c>
      <c r="L19" s="15">
        <f>2496+433</f>
        <v>2929</v>
      </c>
      <c r="M19" s="16">
        <f t="shared" si="0"/>
        <v>2929</v>
      </c>
      <c r="N19" s="16">
        <v>0</v>
      </c>
      <c r="O19" s="62">
        <f t="shared" si="1"/>
        <v>0</v>
      </c>
      <c r="P19" s="42">
        <f t="shared" si="2"/>
        <v>18</v>
      </c>
      <c r="Q19" s="43">
        <f t="shared" si="3"/>
        <v>6</v>
      </c>
      <c r="R19" s="7"/>
      <c r="S19" s="6"/>
      <c r="T19" s="17">
        <v>6</v>
      </c>
      <c r="U19" s="17"/>
      <c r="V19" s="18"/>
      <c r="W19" s="19"/>
      <c r="X19" s="17"/>
      <c r="Y19" s="20"/>
      <c r="Z19" s="20"/>
      <c r="AA19" s="21"/>
      <c r="AB19" s="8">
        <f t="shared" si="4"/>
        <v>1.1136882129277565</v>
      </c>
      <c r="AC19" s="9">
        <f t="shared" si="5"/>
        <v>0.75</v>
      </c>
      <c r="AD19" s="10">
        <f t="shared" si="6"/>
        <v>0.83526615969581741</v>
      </c>
      <c r="AE19" s="39">
        <f t="shared" si="7"/>
        <v>0.34888629928344439</v>
      </c>
      <c r="AF19" s="94">
        <f t="shared" si="8"/>
        <v>12</v>
      </c>
    </row>
    <row r="20" spans="1:32" ht="27" customHeight="1">
      <c r="A20" s="110">
        <v>13</v>
      </c>
      <c r="B20" s="11" t="s">
        <v>59</v>
      </c>
      <c r="C20" s="37" t="s">
        <v>791</v>
      </c>
      <c r="D20" s="55" t="s">
        <v>833</v>
      </c>
      <c r="E20" s="56" t="s">
        <v>843</v>
      </c>
      <c r="F20" s="33" t="s">
        <v>844</v>
      </c>
      <c r="G20" s="36">
        <v>1</v>
      </c>
      <c r="H20" s="38">
        <v>25</v>
      </c>
      <c r="I20" s="7">
        <v>2000</v>
      </c>
      <c r="J20" s="5">
        <v>1401</v>
      </c>
      <c r="K20" s="15">
        <f>L20</f>
        <v>0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0.34888629928344439</v>
      </c>
      <c r="AF20" s="94">
        <f t="shared" si="8"/>
        <v>13</v>
      </c>
    </row>
    <row r="21" spans="1:32" ht="27" customHeight="1">
      <c r="A21" s="110">
        <v>14</v>
      </c>
      <c r="B21" s="11" t="s">
        <v>59</v>
      </c>
      <c r="C21" s="37" t="s">
        <v>129</v>
      </c>
      <c r="D21" s="55" t="s">
        <v>58</v>
      </c>
      <c r="E21" s="57" t="s">
        <v>141</v>
      </c>
      <c r="F21" s="33" t="s">
        <v>130</v>
      </c>
      <c r="G21" s="36">
        <v>1</v>
      </c>
      <c r="H21" s="38">
        <v>25</v>
      </c>
      <c r="I21" s="34">
        <v>44000</v>
      </c>
      <c r="J21" s="5">
        <v>4210</v>
      </c>
      <c r="K21" s="15">
        <f>L21+3360+3759+4940+3946+4510+3949+3533+5051+4317+4555+3348+3248+4614</f>
        <v>57332</v>
      </c>
      <c r="L21" s="15">
        <f>2630+1572</f>
        <v>4202</v>
      </c>
      <c r="M21" s="16">
        <f t="shared" si="0"/>
        <v>4202</v>
      </c>
      <c r="N21" s="16">
        <v>0</v>
      </c>
      <c r="O21" s="62">
        <f t="shared" si="1"/>
        <v>0</v>
      </c>
      <c r="P21" s="42">
        <f t="shared" si="2"/>
        <v>22</v>
      </c>
      <c r="Q21" s="43">
        <f t="shared" si="3"/>
        <v>2</v>
      </c>
      <c r="R21" s="7"/>
      <c r="S21" s="6">
        <v>2</v>
      </c>
      <c r="T21" s="17"/>
      <c r="U21" s="17"/>
      <c r="V21" s="18"/>
      <c r="W21" s="19"/>
      <c r="X21" s="17"/>
      <c r="Y21" s="20"/>
      <c r="Z21" s="20"/>
      <c r="AA21" s="21"/>
      <c r="AB21" s="8">
        <f t="shared" si="4"/>
        <v>0.99809976247030874</v>
      </c>
      <c r="AC21" s="9">
        <f t="shared" si="5"/>
        <v>0.91666666666666663</v>
      </c>
      <c r="AD21" s="10">
        <f t="shared" si="6"/>
        <v>0.91492478226444962</v>
      </c>
      <c r="AE21" s="39">
        <f t="shared" si="7"/>
        <v>0.34888629928344439</v>
      </c>
      <c r="AF21" s="94">
        <f t="shared" si="8"/>
        <v>14</v>
      </c>
    </row>
    <row r="22" spans="1:32" ht="27" customHeight="1" thickBot="1">
      <c r="A22" s="110">
        <v>15</v>
      </c>
      <c r="B22" s="11" t="s">
        <v>59</v>
      </c>
      <c r="C22" s="11" t="s">
        <v>119</v>
      </c>
      <c r="D22" s="55" t="s">
        <v>143</v>
      </c>
      <c r="E22" s="56"/>
      <c r="F22" s="12" t="s">
        <v>120</v>
      </c>
      <c r="G22" s="12">
        <v>4</v>
      </c>
      <c r="H22" s="38">
        <v>20</v>
      </c>
      <c r="I22" s="7">
        <v>200000</v>
      </c>
      <c r="J22" s="14">
        <v>35770</v>
      </c>
      <c r="K22" s="15">
        <f>L22+40636+52572+50384+54156+47100+55408+54312+54884+35764</f>
        <v>445216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/>
      <c r="W22" s="19">
        <v>24</v>
      </c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0.34888629928344439</v>
      </c>
      <c r="AF22" s="94">
        <f t="shared" si="8"/>
        <v>15</v>
      </c>
    </row>
    <row r="23" spans="1:32" ht="31.5" customHeight="1" thickBot="1">
      <c r="A23" s="457" t="s">
        <v>34</v>
      </c>
      <c r="B23" s="458"/>
      <c r="C23" s="458"/>
      <c r="D23" s="458"/>
      <c r="E23" s="458"/>
      <c r="F23" s="458"/>
      <c r="G23" s="458"/>
      <c r="H23" s="459"/>
      <c r="I23" s="25">
        <f t="shared" ref="I23:N23" si="25">SUM(I6:I22)</f>
        <v>508650</v>
      </c>
      <c r="J23" s="22">
        <f t="shared" si="25"/>
        <v>70291</v>
      </c>
      <c r="K23" s="23">
        <f t="shared" si="25"/>
        <v>786109</v>
      </c>
      <c r="L23" s="24">
        <f t="shared" si="25"/>
        <v>23629</v>
      </c>
      <c r="M23" s="23">
        <f t="shared" si="25"/>
        <v>23629</v>
      </c>
      <c r="N23" s="24">
        <f t="shared" si="25"/>
        <v>0</v>
      </c>
      <c r="O23" s="44">
        <f t="shared" si="1"/>
        <v>0</v>
      </c>
      <c r="P23" s="45">
        <f t="shared" ref="P23:AA23" si="26">SUM(P6:P22)</f>
        <v>127</v>
      </c>
      <c r="Q23" s="46">
        <f t="shared" si="26"/>
        <v>281</v>
      </c>
      <c r="R23" s="26">
        <f t="shared" si="26"/>
        <v>68</v>
      </c>
      <c r="S23" s="27">
        <f t="shared" si="26"/>
        <v>85</v>
      </c>
      <c r="T23" s="27">
        <f t="shared" si="26"/>
        <v>12</v>
      </c>
      <c r="U23" s="27">
        <f t="shared" si="26"/>
        <v>0</v>
      </c>
      <c r="V23" s="28">
        <f t="shared" si="26"/>
        <v>0</v>
      </c>
      <c r="W23" s="29">
        <f t="shared" si="26"/>
        <v>116</v>
      </c>
      <c r="X23" s="30">
        <f t="shared" si="26"/>
        <v>0</v>
      </c>
      <c r="Y23" s="30">
        <f t="shared" si="26"/>
        <v>0</v>
      </c>
      <c r="Z23" s="30">
        <f t="shared" si="26"/>
        <v>0</v>
      </c>
      <c r="AA23" s="30">
        <f t="shared" si="26"/>
        <v>0</v>
      </c>
      <c r="AB23" s="31">
        <f>SUM(AB6:AB22)/15</f>
        <v>0.61798200696202421</v>
      </c>
      <c r="AC23" s="4">
        <f>SUM(AC6:AC22)/15</f>
        <v>0.3527777777777778</v>
      </c>
      <c r="AD23" s="4">
        <f>SUM(AD6:AD22)/15</f>
        <v>0.34888629928344439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60" t="s">
        <v>46</v>
      </c>
      <c r="B50" s="460"/>
      <c r="C50" s="460"/>
      <c r="D50" s="460"/>
      <c r="E50" s="460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61" t="s">
        <v>847</v>
      </c>
      <c r="B51" s="462"/>
      <c r="C51" s="462"/>
      <c r="D51" s="462"/>
      <c r="E51" s="462"/>
      <c r="F51" s="462"/>
      <c r="G51" s="462"/>
      <c r="H51" s="462"/>
      <c r="I51" s="462"/>
      <c r="J51" s="462"/>
      <c r="K51" s="462"/>
      <c r="L51" s="462"/>
      <c r="M51" s="463"/>
      <c r="N51" s="464" t="s">
        <v>856</v>
      </c>
      <c r="O51" s="465"/>
      <c r="P51" s="465"/>
      <c r="Q51" s="465"/>
      <c r="R51" s="465"/>
      <c r="S51" s="465"/>
      <c r="T51" s="465"/>
      <c r="U51" s="465"/>
      <c r="V51" s="465"/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67" t="s">
        <v>2</v>
      </c>
      <c r="B52" s="468"/>
      <c r="C52" s="318" t="s">
        <v>47</v>
      </c>
      <c r="D52" s="318" t="s">
        <v>48</v>
      </c>
      <c r="E52" s="318" t="s">
        <v>113</v>
      </c>
      <c r="F52" s="468" t="s">
        <v>112</v>
      </c>
      <c r="G52" s="468"/>
      <c r="H52" s="468"/>
      <c r="I52" s="468"/>
      <c r="J52" s="468"/>
      <c r="K52" s="468"/>
      <c r="L52" s="468"/>
      <c r="M52" s="469"/>
      <c r="N52" s="73" t="s">
        <v>117</v>
      </c>
      <c r="O52" s="318" t="s">
        <v>47</v>
      </c>
      <c r="P52" s="470" t="s">
        <v>48</v>
      </c>
      <c r="Q52" s="471"/>
      <c r="R52" s="470" t="s">
        <v>39</v>
      </c>
      <c r="S52" s="472"/>
      <c r="T52" s="472"/>
      <c r="U52" s="471"/>
      <c r="V52" s="470" t="s">
        <v>49</v>
      </c>
      <c r="W52" s="472"/>
      <c r="X52" s="472"/>
      <c r="Y52" s="472"/>
      <c r="Z52" s="472"/>
      <c r="AA52" s="472"/>
      <c r="AB52" s="472"/>
      <c r="AC52" s="472"/>
      <c r="AD52" s="473"/>
    </row>
    <row r="53" spans="1:32" ht="27" customHeight="1">
      <c r="A53" s="444" t="s">
        <v>791</v>
      </c>
      <c r="B53" s="445"/>
      <c r="C53" s="314" t="s">
        <v>798</v>
      </c>
      <c r="D53" s="314" t="s">
        <v>799</v>
      </c>
      <c r="E53" s="317" t="s">
        <v>800</v>
      </c>
      <c r="F53" s="432" t="s">
        <v>848</v>
      </c>
      <c r="G53" s="432"/>
      <c r="H53" s="432"/>
      <c r="I53" s="432"/>
      <c r="J53" s="432"/>
      <c r="K53" s="432"/>
      <c r="L53" s="432"/>
      <c r="M53" s="446"/>
      <c r="N53" s="313" t="s">
        <v>807</v>
      </c>
      <c r="O53" s="74" t="s">
        <v>812</v>
      </c>
      <c r="P53" s="451" t="s">
        <v>799</v>
      </c>
      <c r="Q53" s="452"/>
      <c r="R53" s="445" t="s">
        <v>811</v>
      </c>
      <c r="S53" s="445"/>
      <c r="T53" s="445"/>
      <c r="U53" s="445"/>
      <c r="V53" s="432" t="s">
        <v>858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849</v>
      </c>
      <c r="B54" s="445"/>
      <c r="C54" s="314" t="s">
        <v>812</v>
      </c>
      <c r="D54" s="314" t="s">
        <v>815</v>
      </c>
      <c r="E54" s="317" t="s">
        <v>850</v>
      </c>
      <c r="F54" s="432" t="s">
        <v>851</v>
      </c>
      <c r="G54" s="432"/>
      <c r="H54" s="432"/>
      <c r="I54" s="432"/>
      <c r="J54" s="432"/>
      <c r="K54" s="432"/>
      <c r="L54" s="432"/>
      <c r="M54" s="446"/>
      <c r="N54" s="313" t="s">
        <v>791</v>
      </c>
      <c r="O54" s="74" t="s">
        <v>803</v>
      </c>
      <c r="P54" s="451" t="s">
        <v>804</v>
      </c>
      <c r="Q54" s="452"/>
      <c r="R54" s="445" t="s">
        <v>857</v>
      </c>
      <c r="S54" s="445"/>
      <c r="T54" s="445"/>
      <c r="U54" s="445"/>
      <c r="V54" s="432" t="s">
        <v>809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807</v>
      </c>
      <c r="B55" s="454"/>
      <c r="C55" s="317" t="s">
        <v>808</v>
      </c>
      <c r="D55" s="314" t="s">
        <v>792</v>
      </c>
      <c r="E55" s="317" t="s">
        <v>795</v>
      </c>
      <c r="F55" s="432" t="s">
        <v>852</v>
      </c>
      <c r="G55" s="432"/>
      <c r="H55" s="432"/>
      <c r="I55" s="432"/>
      <c r="J55" s="432"/>
      <c r="K55" s="432"/>
      <c r="L55" s="432"/>
      <c r="M55" s="446"/>
      <c r="N55" s="313" t="s">
        <v>820</v>
      </c>
      <c r="O55" s="74" t="s">
        <v>808</v>
      </c>
      <c r="P55" s="451" t="s">
        <v>792</v>
      </c>
      <c r="Q55" s="452"/>
      <c r="R55" s="445" t="s">
        <v>795</v>
      </c>
      <c r="S55" s="445"/>
      <c r="T55" s="445"/>
      <c r="U55" s="445"/>
      <c r="V55" s="432" t="s">
        <v>859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 t="s">
        <v>849</v>
      </c>
      <c r="B56" s="445"/>
      <c r="C56" s="314" t="s">
        <v>812</v>
      </c>
      <c r="D56" s="314" t="s">
        <v>853</v>
      </c>
      <c r="E56" s="317" t="s">
        <v>854</v>
      </c>
      <c r="F56" s="432" t="s">
        <v>851</v>
      </c>
      <c r="G56" s="432"/>
      <c r="H56" s="432"/>
      <c r="I56" s="432"/>
      <c r="J56" s="432"/>
      <c r="K56" s="432"/>
      <c r="L56" s="432"/>
      <c r="M56" s="446"/>
      <c r="N56" s="313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53" t="s">
        <v>802</v>
      </c>
      <c r="B57" s="454"/>
      <c r="C57" s="317" t="s">
        <v>814</v>
      </c>
      <c r="D57" s="314" t="s">
        <v>799</v>
      </c>
      <c r="E57" s="314" t="s">
        <v>813</v>
      </c>
      <c r="F57" s="432" t="s">
        <v>855</v>
      </c>
      <c r="G57" s="432"/>
      <c r="H57" s="432"/>
      <c r="I57" s="432"/>
      <c r="J57" s="432"/>
      <c r="K57" s="432"/>
      <c r="L57" s="432"/>
      <c r="M57" s="446"/>
      <c r="N57" s="313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/>
      <c r="B58" s="445"/>
      <c r="C58" s="314"/>
      <c r="D58" s="314"/>
      <c r="E58" s="317"/>
      <c r="F58" s="432"/>
      <c r="G58" s="432"/>
      <c r="H58" s="432"/>
      <c r="I58" s="432"/>
      <c r="J58" s="432"/>
      <c r="K58" s="432"/>
      <c r="L58" s="432"/>
      <c r="M58" s="446"/>
      <c r="N58" s="313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314"/>
      <c r="D59" s="314"/>
      <c r="E59" s="317"/>
      <c r="F59" s="432"/>
      <c r="G59" s="432"/>
      <c r="H59" s="432"/>
      <c r="I59" s="432"/>
      <c r="J59" s="432"/>
      <c r="K59" s="432"/>
      <c r="L59" s="432"/>
      <c r="M59" s="446"/>
      <c r="N59" s="313"/>
      <c r="O59" s="74"/>
      <c r="P59" s="451"/>
      <c r="Q59" s="452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53"/>
      <c r="B60" s="454"/>
      <c r="C60" s="317"/>
      <c r="D60" s="314"/>
      <c r="E60" s="317"/>
      <c r="F60" s="432"/>
      <c r="G60" s="432"/>
      <c r="H60" s="432"/>
      <c r="I60" s="432"/>
      <c r="J60" s="432"/>
      <c r="K60" s="432"/>
      <c r="L60" s="432"/>
      <c r="M60" s="446"/>
      <c r="N60" s="313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</row>
    <row r="61" spans="1:32" ht="27" customHeight="1">
      <c r="A61" s="444"/>
      <c r="B61" s="445"/>
      <c r="C61" s="314"/>
      <c r="D61" s="314"/>
      <c r="E61" s="314"/>
      <c r="F61" s="432"/>
      <c r="G61" s="432"/>
      <c r="H61" s="432"/>
      <c r="I61" s="432"/>
      <c r="J61" s="432"/>
      <c r="K61" s="432"/>
      <c r="L61" s="432"/>
      <c r="M61" s="446"/>
      <c r="N61" s="313"/>
      <c r="O61" s="74"/>
      <c r="P61" s="445"/>
      <c r="Q61" s="445"/>
      <c r="R61" s="445"/>
      <c r="S61" s="445"/>
      <c r="T61" s="445"/>
      <c r="U61" s="445"/>
      <c r="V61" s="432"/>
      <c r="W61" s="432"/>
      <c r="X61" s="432"/>
      <c r="Y61" s="432"/>
      <c r="Z61" s="432"/>
      <c r="AA61" s="432"/>
      <c r="AB61" s="432"/>
      <c r="AC61" s="432"/>
      <c r="AD61" s="446"/>
      <c r="AF61" s="94">
        <f>8*3000</f>
        <v>24000</v>
      </c>
    </row>
    <row r="62" spans="1:32" ht="27" customHeight="1" thickBot="1">
      <c r="A62" s="447"/>
      <c r="B62" s="448"/>
      <c r="C62" s="316"/>
      <c r="D62" s="316"/>
      <c r="E62" s="316"/>
      <c r="F62" s="449"/>
      <c r="G62" s="449"/>
      <c r="H62" s="449"/>
      <c r="I62" s="449"/>
      <c r="J62" s="449"/>
      <c r="K62" s="449"/>
      <c r="L62" s="449"/>
      <c r="M62" s="450"/>
      <c r="N62" s="315"/>
      <c r="O62" s="121"/>
      <c r="P62" s="448"/>
      <c r="Q62" s="448"/>
      <c r="R62" s="448"/>
      <c r="S62" s="448"/>
      <c r="T62" s="448"/>
      <c r="U62" s="448"/>
      <c r="V62" s="449"/>
      <c r="W62" s="449"/>
      <c r="X62" s="449"/>
      <c r="Y62" s="449"/>
      <c r="Z62" s="449"/>
      <c r="AA62" s="449"/>
      <c r="AB62" s="449"/>
      <c r="AC62" s="449"/>
      <c r="AD62" s="450"/>
      <c r="AF62" s="94">
        <f>16*3000</f>
        <v>48000</v>
      </c>
    </row>
    <row r="63" spans="1:32" ht="27.75" thickBot="1">
      <c r="A63" s="442" t="s">
        <v>860</v>
      </c>
      <c r="B63" s="442"/>
      <c r="C63" s="442"/>
      <c r="D63" s="442"/>
      <c r="E63" s="442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43" t="s">
        <v>118</v>
      </c>
      <c r="B64" s="439"/>
      <c r="C64" s="311" t="s">
        <v>2</v>
      </c>
      <c r="D64" s="311" t="s">
        <v>38</v>
      </c>
      <c r="E64" s="311" t="s">
        <v>3</v>
      </c>
      <c r="F64" s="439" t="s">
        <v>115</v>
      </c>
      <c r="G64" s="439"/>
      <c r="H64" s="439"/>
      <c r="I64" s="439"/>
      <c r="J64" s="439"/>
      <c r="K64" s="439" t="s">
        <v>40</v>
      </c>
      <c r="L64" s="439"/>
      <c r="M64" s="311" t="s">
        <v>41</v>
      </c>
      <c r="N64" s="439" t="s">
        <v>42</v>
      </c>
      <c r="O64" s="439"/>
      <c r="P64" s="436" t="s">
        <v>43</v>
      </c>
      <c r="Q64" s="438"/>
      <c r="R64" s="436" t="s">
        <v>44</v>
      </c>
      <c r="S64" s="437"/>
      <c r="T64" s="437"/>
      <c r="U64" s="437"/>
      <c r="V64" s="437"/>
      <c r="W64" s="437"/>
      <c r="X64" s="437"/>
      <c r="Y64" s="437"/>
      <c r="Z64" s="437"/>
      <c r="AA64" s="438"/>
      <c r="AB64" s="439" t="s">
        <v>45</v>
      </c>
      <c r="AC64" s="439"/>
      <c r="AD64" s="440"/>
      <c r="AF64" s="94">
        <f>SUM(AF61:AF63)</f>
        <v>96000</v>
      </c>
    </row>
    <row r="65" spans="1:32" ht="26.25" customHeight="1">
      <c r="A65" s="429">
        <v>1</v>
      </c>
      <c r="B65" s="430"/>
      <c r="C65" s="312" t="s">
        <v>861</v>
      </c>
      <c r="D65" s="307"/>
      <c r="E65" s="309" t="s">
        <v>799</v>
      </c>
      <c r="F65" s="421" t="s">
        <v>862</v>
      </c>
      <c r="G65" s="421"/>
      <c r="H65" s="421"/>
      <c r="I65" s="421"/>
      <c r="J65" s="421"/>
      <c r="K65" s="421" t="s">
        <v>620</v>
      </c>
      <c r="L65" s="421"/>
      <c r="M65" s="54" t="s">
        <v>829</v>
      </c>
      <c r="N65" s="421">
        <v>7</v>
      </c>
      <c r="O65" s="421"/>
      <c r="P65" s="431">
        <v>50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2</v>
      </c>
      <c r="B66" s="430"/>
      <c r="C66" s="312" t="s">
        <v>863</v>
      </c>
      <c r="D66" s="307"/>
      <c r="E66" s="309" t="s">
        <v>833</v>
      </c>
      <c r="F66" s="496" t="s">
        <v>864</v>
      </c>
      <c r="G66" s="421"/>
      <c r="H66" s="421"/>
      <c r="I66" s="421"/>
      <c r="J66" s="421"/>
      <c r="K66" s="441">
        <v>7301</v>
      </c>
      <c r="L66" s="441"/>
      <c r="M66" s="54" t="s">
        <v>865</v>
      </c>
      <c r="N66" s="421">
        <v>7</v>
      </c>
      <c r="O66" s="421"/>
      <c r="P66" s="431">
        <v>50</v>
      </c>
      <c r="Q66" s="431"/>
      <c r="R66" s="432" t="s">
        <v>866</v>
      </c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</row>
    <row r="67" spans="1:32" ht="26.25" customHeight="1">
      <c r="A67" s="429">
        <v>3</v>
      </c>
      <c r="B67" s="430"/>
      <c r="C67" s="312"/>
      <c r="D67" s="307"/>
      <c r="E67" s="309"/>
      <c r="F67" s="496"/>
      <c r="G67" s="421"/>
      <c r="H67" s="421"/>
      <c r="I67" s="421"/>
      <c r="J67" s="421"/>
      <c r="K67" s="441"/>
      <c r="L67" s="44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4</v>
      </c>
      <c r="B68" s="430"/>
      <c r="C68" s="312"/>
      <c r="D68" s="307"/>
      <c r="E68" s="309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5</v>
      </c>
      <c r="B69" s="430"/>
      <c r="C69" s="312"/>
      <c r="D69" s="307"/>
      <c r="E69" s="309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6</v>
      </c>
      <c r="B70" s="430"/>
      <c r="C70" s="312"/>
      <c r="D70" s="307"/>
      <c r="E70" s="309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39" customHeight="1">
      <c r="A71" s="429">
        <v>7</v>
      </c>
      <c r="B71" s="430"/>
      <c r="C71" s="312"/>
      <c r="D71" s="307"/>
      <c r="E71" s="309"/>
      <c r="F71" s="496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39" customHeight="1">
      <c r="A72" s="429">
        <v>8</v>
      </c>
      <c r="B72" s="430"/>
      <c r="C72" s="312"/>
      <c r="D72" s="307"/>
      <c r="E72" s="309"/>
      <c r="F72" s="496"/>
      <c r="G72" s="421"/>
      <c r="H72" s="421"/>
      <c r="I72" s="421"/>
      <c r="J72" s="421"/>
      <c r="K72" s="421"/>
      <c r="L72" s="421"/>
      <c r="M72" s="54"/>
      <c r="N72" s="421"/>
      <c r="O72" s="421"/>
      <c r="P72" s="431"/>
      <c r="Q72" s="431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21"/>
      <c r="AC72" s="421"/>
      <c r="AD72" s="422"/>
      <c r="AF72" s="53"/>
    </row>
    <row r="73" spans="1:32" ht="26.25" customHeight="1" thickBot="1">
      <c r="A73" s="400" t="s">
        <v>867</v>
      </c>
      <c r="B73" s="400"/>
      <c r="C73" s="400"/>
      <c r="D73" s="400"/>
      <c r="E73" s="400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3" t="s">
        <v>118</v>
      </c>
      <c r="B74" s="424"/>
      <c r="C74" s="310" t="s">
        <v>2</v>
      </c>
      <c r="D74" s="310" t="s">
        <v>38</v>
      </c>
      <c r="E74" s="310" t="s">
        <v>3</v>
      </c>
      <c r="F74" s="424" t="s">
        <v>39</v>
      </c>
      <c r="G74" s="424"/>
      <c r="H74" s="424"/>
      <c r="I74" s="424"/>
      <c r="J74" s="424"/>
      <c r="K74" s="425" t="s">
        <v>60</v>
      </c>
      <c r="L74" s="426"/>
      <c r="M74" s="426"/>
      <c r="N74" s="426"/>
      <c r="O74" s="426"/>
      <c r="P74" s="426"/>
      <c r="Q74" s="426"/>
      <c r="R74" s="426"/>
      <c r="S74" s="427"/>
      <c r="T74" s="424" t="s">
        <v>50</v>
      </c>
      <c r="U74" s="424"/>
      <c r="V74" s="425" t="s">
        <v>51</v>
      </c>
      <c r="W74" s="427"/>
      <c r="X74" s="426" t="s">
        <v>52</v>
      </c>
      <c r="Y74" s="426"/>
      <c r="Z74" s="426"/>
      <c r="AA74" s="426"/>
      <c r="AB74" s="426"/>
      <c r="AC74" s="426"/>
      <c r="AD74" s="428"/>
      <c r="AF74" s="53"/>
    </row>
    <row r="75" spans="1:32" ht="33.75" customHeight="1">
      <c r="A75" s="408">
        <v>1</v>
      </c>
      <c r="B75" s="409"/>
      <c r="C75" s="308" t="s">
        <v>62</v>
      </c>
      <c r="D75" s="308"/>
      <c r="E75" s="71" t="s">
        <v>58</v>
      </c>
      <c r="F75" s="410" t="s">
        <v>63</v>
      </c>
      <c r="G75" s="411"/>
      <c r="H75" s="411"/>
      <c r="I75" s="411"/>
      <c r="J75" s="412"/>
      <c r="K75" s="413" t="s">
        <v>61</v>
      </c>
      <c r="L75" s="414"/>
      <c r="M75" s="414"/>
      <c r="N75" s="414"/>
      <c r="O75" s="414"/>
      <c r="P75" s="414"/>
      <c r="Q75" s="414"/>
      <c r="R75" s="414"/>
      <c r="S75" s="415"/>
      <c r="T75" s="416">
        <v>41791</v>
      </c>
      <c r="U75" s="417"/>
      <c r="V75" s="418"/>
      <c r="W75" s="418"/>
      <c r="X75" s="419"/>
      <c r="Y75" s="419"/>
      <c r="Z75" s="419"/>
      <c r="AA75" s="419"/>
      <c r="AB75" s="419"/>
      <c r="AC75" s="419"/>
      <c r="AD75" s="420"/>
      <c r="AF75" s="53"/>
    </row>
    <row r="76" spans="1:32" ht="30" customHeight="1">
      <c r="A76" s="392">
        <f>A75+1</f>
        <v>2</v>
      </c>
      <c r="B76" s="393"/>
      <c r="C76" s="307" t="s">
        <v>129</v>
      </c>
      <c r="D76" s="307"/>
      <c r="E76" s="35" t="s">
        <v>121</v>
      </c>
      <c r="F76" s="393" t="s">
        <v>138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42779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ref="A77:A83" si="27">A76+1</f>
        <v>3</v>
      </c>
      <c r="B77" s="393"/>
      <c r="C77" s="307" t="s">
        <v>62</v>
      </c>
      <c r="D77" s="307"/>
      <c r="E77" s="35" t="s">
        <v>121</v>
      </c>
      <c r="F77" s="393" t="s">
        <v>125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27"/>
        <v>4</v>
      </c>
      <c r="B78" s="393"/>
      <c r="C78" s="307" t="s">
        <v>62</v>
      </c>
      <c r="D78" s="307"/>
      <c r="E78" s="35" t="s">
        <v>121</v>
      </c>
      <c r="F78" s="393" t="s">
        <v>124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27"/>
        <v>5</v>
      </c>
      <c r="B79" s="393"/>
      <c r="C79" s="307" t="s">
        <v>62</v>
      </c>
      <c r="D79" s="307"/>
      <c r="E79" s="35" t="s">
        <v>58</v>
      </c>
      <c r="F79" s="393" t="s">
        <v>126</v>
      </c>
      <c r="G79" s="393"/>
      <c r="H79" s="393"/>
      <c r="I79" s="393"/>
      <c r="J79" s="393"/>
      <c r="K79" s="402" t="s">
        <v>61</v>
      </c>
      <c r="L79" s="403"/>
      <c r="M79" s="403"/>
      <c r="N79" s="403"/>
      <c r="O79" s="403"/>
      <c r="P79" s="403"/>
      <c r="Q79" s="403"/>
      <c r="R79" s="403"/>
      <c r="S79" s="404"/>
      <c r="T79" s="405">
        <v>42667</v>
      </c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27"/>
        <v>6</v>
      </c>
      <c r="B80" s="393"/>
      <c r="C80" s="307" t="s">
        <v>129</v>
      </c>
      <c r="D80" s="307"/>
      <c r="E80" s="35" t="s">
        <v>123</v>
      </c>
      <c r="F80" s="393" t="s">
        <v>253</v>
      </c>
      <c r="G80" s="393"/>
      <c r="H80" s="393"/>
      <c r="I80" s="393"/>
      <c r="J80" s="393"/>
      <c r="K80" s="402" t="s">
        <v>128</v>
      </c>
      <c r="L80" s="403"/>
      <c r="M80" s="403"/>
      <c r="N80" s="403"/>
      <c r="O80" s="403"/>
      <c r="P80" s="403"/>
      <c r="Q80" s="403"/>
      <c r="R80" s="403"/>
      <c r="S80" s="404"/>
      <c r="T80" s="405">
        <v>42803</v>
      </c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27"/>
        <v>7</v>
      </c>
      <c r="B81" s="393"/>
      <c r="C81" s="307"/>
      <c r="D81" s="307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27"/>
        <v>8</v>
      </c>
      <c r="B82" s="393"/>
      <c r="C82" s="307"/>
      <c r="D82" s="307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0" customHeight="1">
      <c r="A83" s="392">
        <f t="shared" si="27"/>
        <v>9</v>
      </c>
      <c r="B83" s="393"/>
      <c r="C83" s="307"/>
      <c r="D83" s="307"/>
      <c r="E83" s="35"/>
      <c r="F83" s="393"/>
      <c r="G83" s="393"/>
      <c r="H83" s="393"/>
      <c r="I83" s="393"/>
      <c r="J83" s="393"/>
      <c r="K83" s="402"/>
      <c r="L83" s="403"/>
      <c r="M83" s="403"/>
      <c r="N83" s="403"/>
      <c r="O83" s="403"/>
      <c r="P83" s="403"/>
      <c r="Q83" s="403"/>
      <c r="R83" s="403"/>
      <c r="S83" s="404"/>
      <c r="T83" s="405"/>
      <c r="U83" s="405"/>
      <c r="V83" s="405"/>
      <c r="W83" s="405"/>
      <c r="X83" s="406"/>
      <c r="Y83" s="406"/>
      <c r="Z83" s="406"/>
      <c r="AA83" s="406"/>
      <c r="AB83" s="406"/>
      <c r="AC83" s="406"/>
      <c r="AD83" s="407"/>
      <c r="AF83" s="53"/>
    </row>
    <row r="84" spans="1:32" ht="36" thickBot="1">
      <c r="A84" s="400" t="s">
        <v>868</v>
      </c>
      <c r="B84" s="400"/>
      <c r="C84" s="400"/>
      <c r="D84" s="400"/>
      <c r="E84" s="400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01" t="s">
        <v>37</v>
      </c>
      <c r="B85" s="396"/>
      <c r="C85" s="396" t="s">
        <v>53</v>
      </c>
      <c r="D85" s="396"/>
      <c r="E85" s="396" t="s">
        <v>54</v>
      </c>
      <c r="F85" s="396"/>
      <c r="G85" s="396"/>
      <c r="H85" s="396"/>
      <c r="I85" s="396"/>
      <c r="J85" s="396"/>
      <c r="K85" s="396" t="s">
        <v>55</v>
      </c>
      <c r="L85" s="396"/>
      <c r="M85" s="396"/>
      <c r="N85" s="396"/>
      <c r="O85" s="396"/>
      <c r="P85" s="396"/>
      <c r="Q85" s="396"/>
      <c r="R85" s="396"/>
      <c r="S85" s="396"/>
      <c r="T85" s="396" t="s">
        <v>56</v>
      </c>
      <c r="U85" s="396"/>
      <c r="V85" s="396" t="s">
        <v>57</v>
      </c>
      <c r="W85" s="396"/>
      <c r="X85" s="396"/>
      <c r="Y85" s="396" t="s">
        <v>52</v>
      </c>
      <c r="Z85" s="396"/>
      <c r="AA85" s="396"/>
      <c r="AB85" s="396"/>
      <c r="AC85" s="396"/>
      <c r="AD85" s="397"/>
      <c r="AF85" s="53"/>
    </row>
    <row r="86" spans="1:32" ht="30.75" customHeight="1">
      <c r="A86" s="398">
        <v>1</v>
      </c>
      <c r="B86" s="399"/>
      <c r="C86" s="394">
        <v>1</v>
      </c>
      <c r="D86" s="394"/>
      <c r="E86" s="394" t="s">
        <v>561</v>
      </c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 t="s">
        <v>486</v>
      </c>
      <c r="U86" s="394"/>
      <c r="V86" s="395"/>
      <c r="W86" s="395"/>
      <c r="X86" s="395"/>
      <c r="Y86" s="386" t="s">
        <v>562</v>
      </c>
      <c r="Z86" s="386"/>
      <c r="AA86" s="386"/>
      <c r="AB86" s="386"/>
      <c r="AC86" s="386"/>
      <c r="AD86" s="387"/>
      <c r="AF86" s="53"/>
    </row>
    <row r="87" spans="1:32" ht="30.75" customHeight="1">
      <c r="A87" s="392">
        <v>2</v>
      </c>
      <c r="B87" s="393"/>
      <c r="C87" s="394"/>
      <c r="D87" s="394"/>
      <c r="E87" s="394"/>
      <c r="F87" s="394"/>
      <c r="G87" s="394"/>
      <c r="H87" s="394"/>
      <c r="I87" s="394"/>
      <c r="J87" s="394"/>
      <c r="K87" s="394"/>
      <c r="L87" s="394"/>
      <c r="M87" s="394"/>
      <c r="N87" s="394"/>
      <c r="O87" s="394"/>
      <c r="P87" s="394"/>
      <c r="Q87" s="394"/>
      <c r="R87" s="394"/>
      <c r="S87" s="394"/>
      <c r="T87" s="394"/>
      <c r="U87" s="394"/>
      <c r="V87" s="395"/>
      <c r="W87" s="395"/>
      <c r="X87" s="395"/>
      <c r="Y87" s="386"/>
      <c r="Z87" s="386"/>
      <c r="AA87" s="386"/>
      <c r="AB87" s="386"/>
      <c r="AC87" s="386"/>
      <c r="AD87" s="387"/>
      <c r="AF87" s="53"/>
    </row>
    <row r="88" spans="1:32" ht="30.75" customHeight="1" thickBot="1">
      <c r="A88" s="388">
        <v>3</v>
      </c>
      <c r="B88" s="389"/>
      <c r="C88" s="389"/>
      <c r="D88" s="389"/>
      <c r="E88" s="389"/>
      <c r="F88" s="389"/>
      <c r="G88" s="389"/>
      <c r="H88" s="389"/>
      <c r="I88" s="389"/>
      <c r="J88" s="389"/>
      <c r="K88" s="389"/>
      <c r="L88" s="389"/>
      <c r="M88" s="389"/>
      <c r="N88" s="389"/>
      <c r="O88" s="389"/>
      <c r="P88" s="389"/>
      <c r="Q88" s="389"/>
      <c r="R88" s="389"/>
      <c r="S88" s="389"/>
      <c r="T88" s="389"/>
      <c r="U88" s="389"/>
      <c r="V88" s="389"/>
      <c r="W88" s="389"/>
      <c r="X88" s="389"/>
      <c r="Y88" s="390"/>
      <c r="Z88" s="390"/>
      <c r="AA88" s="390"/>
      <c r="AB88" s="390"/>
      <c r="AC88" s="390"/>
      <c r="AD88" s="391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11" sqref="A11:XFD11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869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0.27447948879289991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5750</v>
      </c>
      <c r="K7" s="15">
        <f>L7+2454+5092+5124+5082+1904+1592+4745+5721+5190+4942+5771+5728+4942+5331+5748</f>
        <v>75113</v>
      </c>
      <c r="L7" s="15">
        <f>2995+2752</f>
        <v>5747</v>
      </c>
      <c r="M7" s="16">
        <f t="shared" si="0"/>
        <v>5747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0.99947826086956526</v>
      </c>
      <c r="AC7" s="9">
        <f t="shared" si="5"/>
        <v>1</v>
      </c>
      <c r="AD7" s="10">
        <f t="shared" si="6"/>
        <v>0.99947826086956526</v>
      </c>
      <c r="AE7" s="39">
        <f t="shared" si="7"/>
        <v>0.27447948879289991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>
        <v>24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0.27447948879289991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791</v>
      </c>
      <c r="D9" s="55" t="s">
        <v>792</v>
      </c>
      <c r="E9" s="57" t="s">
        <v>870</v>
      </c>
      <c r="F9" s="12" t="s">
        <v>871</v>
      </c>
      <c r="G9" s="12">
        <v>1</v>
      </c>
      <c r="H9" s="13">
        <v>24</v>
      </c>
      <c r="I9" s="34">
        <v>2000</v>
      </c>
      <c r="J9" s="5">
        <v>920</v>
      </c>
      <c r="K9" s="15">
        <f>L9</f>
        <v>911</v>
      </c>
      <c r="L9" s="15">
        <v>911</v>
      </c>
      <c r="M9" s="16">
        <f t="shared" si="0"/>
        <v>911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>
        <v>18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0.99021739130434783</v>
      </c>
      <c r="AC9" s="9">
        <f t="shared" si="5"/>
        <v>0.25</v>
      </c>
      <c r="AD9" s="10">
        <f t="shared" si="6"/>
        <v>0.24755434782608696</v>
      </c>
      <c r="AE9" s="39">
        <f t="shared" si="7"/>
        <v>0.27447948879289991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820</v>
      </c>
      <c r="D10" s="55" t="s">
        <v>799</v>
      </c>
      <c r="E10" s="57" t="s">
        <v>836</v>
      </c>
      <c r="F10" s="12" t="s">
        <v>835</v>
      </c>
      <c r="G10" s="12">
        <v>1</v>
      </c>
      <c r="H10" s="13">
        <v>25</v>
      </c>
      <c r="I10" s="34">
        <v>3000</v>
      </c>
      <c r="J10" s="5">
        <v>2030</v>
      </c>
      <c r="K10" s="15">
        <f>L10+293</f>
        <v>2321</v>
      </c>
      <c r="L10" s="15">
        <f>1393+635</f>
        <v>2028</v>
      </c>
      <c r="M10" s="16">
        <f t="shared" si="0"/>
        <v>2028</v>
      </c>
      <c r="N10" s="16">
        <v>0</v>
      </c>
      <c r="O10" s="62">
        <f t="shared" si="1"/>
        <v>0</v>
      </c>
      <c r="P10" s="42">
        <f t="shared" si="2"/>
        <v>13</v>
      </c>
      <c r="Q10" s="43">
        <f t="shared" si="3"/>
        <v>11</v>
      </c>
      <c r="R10" s="7"/>
      <c r="S10" s="6"/>
      <c r="T10" s="17"/>
      <c r="U10" s="17"/>
      <c r="V10" s="18"/>
      <c r="W10" s="19">
        <v>11</v>
      </c>
      <c r="X10" s="17"/>
      <c r="Y10" s="20"/>
      <c r="Z10" s="20"/>
      <c r="AA10" s="21"/>
      <c r="AB10" s="8">
        <f t="shared" si="4"/>
        <v>0.9990147783251232</v>
      </c>
      <c r="AC10" s="9">
        <f t="shared" si="5"/>
        <v>0.54166666666666663</v>
      </c>
      <c r="AD10" s="10">
        <f t="shared" si="6"/>
        <v>0.54113300492610839</v>
      </c>
      <c r="AE10" s="39">
        <f t="shared" si="7"/>
        <v>0.27447948879289991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643</v>
      </c>
      <c r="D11" s="55" t="s">
        <v>121</v>
      </c>
      <c r="E11" s="57" t="s">
        <v>795</v>
      </c>
      <c r="F11" s="12" t="s">
        <v>796</v>
      </c>
      <c r="G11" s="12">
        <v>1</v>
      </c>
      <c r="H11" s="13">
        <v>25</v>
      </c>
      <c r="I11" s="34">
        <v>4000</v>
      </c>
      <c r="J11" s="14">
        <v>620</v>
      </c>
      <c r="K11" s="15">
        <f>L11+3949+463</f>
        <v>5027</v>
      </c>
      <c r="L11" s="15">
        <v>615</v>
      </c>
      <c r="M11" s="16">
        <f t="shared" si="0"/>
        <v>615</v>
      </c>
      <c r="N11" s="16">
        <v>0</v>
      </c>
      <c r="O11" s="62">
        <f t="shared" si="1"/>
        <v>0</v>
      </c>
      <c r="P11" s="42">
        <f t="shared" si="2"/>
        <v>4</v>
      </c>
      <c r="Q11" s="43">
        <f t="shared" si="3"/>
        <v>20</v>
      </c>
      <c r="R11" s="7"/>
      <c r="S11" s="6">
        <v>20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0.99193548387096775</v>
      </c>
      <c r="AC11" s="9">
        <f t="shared" si="5"/>
        <v>0.16666666666666666</v>
      </c>
      <c r="AD11" s="10">
        <f t="shared" si="6"/>
        <v>0.16532258064516128</v>
      </c>
      <c r="AE11" s="39">
        <f t="shared" si="7"/>
        <v>0.27447948879289991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267</v>
      </c>
      <c r="D12" s="55" t="s">
        <v>746</v>
      </c>
      <c r="E12" s="57" t="s">
        <v>758</v>
      </c>
      <c r="F12" s="12" t="s">
        <v>769</v>
      </c>
      <c r="G12" s="12">
        <v>1</v>
      </c>
      <c r="H12" s="13">
        <v>25</v>
      </c>
      <c r="I12" s="34">
        <v>400</v>
      </c>
      <c r="J12" s="5">
        <v>570</v>
      </c>
      <c r="K12" s="15">
        <f>L12+570</f>
        <v>570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0.27447948879289991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872</v>
      </c>
      <c r="F13" s="12" t="s">
        <v>134</v>
      </c>
      <c r="G13" s="12">
        <v>1</v>
      </c>
      <c r="H13" s="13">
        <v>25</v>
      </c>
      <c r="I13" s="7">
        <v>1000</v>
      </c>
      <c r="J13" s="14">
        <v>570</v>
      </c>
      <c r="K13" s="15">
        <f>L13</f>
        <v>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>
        <v>24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0.27447948879289991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791</v>
      </c>
      <c r="D14" s="55" t="s">
        <v>838</v>
      </c>
      <c r="E14" s="57" t="s">
        <v>839</v>
      </c>
      <c r="F14" s="33" t="s">
        <v>840</v>
      </c>
      <c r="G14" s="36">
        <v>1</v>
      </c>
      <c r="H14" s="38">
        <v>25</v>
      </c>
      <c r="I14" s="7">
        <v>250</v>
      </c>
      <c r="J14" s="5">
        <v>750</v>
      </c>
      <c r="K14" s="15">
        <f>L14+250</f>
        <v>997</v>
      </c>
      <c r="L14" s="15">
        <f>645+102</f>
        <v>747</v>
      </c>
      <c r="M14" s="16">
        <f t="shared" si="0"/>
        <v>747</v>
      </c>
      <c r="N14" s="16">
        <v>0</v>
      </c>
      <c r="O14" s="62">
        <f t="shared" si="1"/>
        <v>0</v>
      </c>
      <c r="P14" s="42">
        <f t="shared" si="2"/>
        <v>5</v>
      </c>
      <c r="Q14" s="43">
        <f t="shared" si="3"/>
        <v>19</v>
      </c>
      <c r="R14" s="7"/>
      <c r="S14" s="6"/>
      <c r="T14" s="17"/>
      <c r="U14" s="17"/>
      <c r="V14" s="18"/>
      <c r="W14" s="19">
        <v>19</v>
      </c>
      <c r="X14" s="17"/>
      <c r="Y14" s="20"/>
      <c r="Z14" s="20"/>
      <c r="AA14" s="21"/>
      <c r="AB14" s="8">
        <f t="shared" si="4"/>
        <v>0.996</v>
      </c>
      <c r="AC14" s="9">
        <f t="shared" si="5"/>
        <v>0.20833333333333334</v>
      </c>
      <c r="AD14" s="10">
        <f t="shared" si="6"/>
        <v>0.20750000000000002</v>
      </c>
      <c r="AE14" s="39">
        <f t="shared" si="7"/>
        <v>0.27447948879289991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L15+4500</f>
        <v>4500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0.27447948879289991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133</v>
      </c>
      <c r="E16" s="56" t="s">
        <v>303</v>
      </c>
      <c r="F16" s="12">
        <v>7301</v>
      </c>
      <c r="G16" s="36">
        <v>1</v>
      </c>
      <c r="H16" s="38">
        <v>25</v>
      </c>
      <c r="I16" s="7">
        <v>60000</v>
      </c>
      <c r="J16" s="14">
        <v>1970</v>
      </c>
      <c r="K16" s="15">
        <f>L16+5278+5817+5149+4230+5807+5845+3899+5831+5245+5169+5439+5083+5777</f>
        <v>70538</v>
      </c>
      <c r="L16" s="15">
        <v>1969</v>
      </c>
      <c r="M16" s="16">
        <f t="shared" si="0"/>
        <v>1969</v>
      </c>
      <c r="N16" s="16">
        <v>0</v>
      </c>
      <c r="O16" s="62">
        <f t="shared" si="1"/>
        <v>0</v>
      </c>
      <c r="P16" s="42">
        <f t="shared" si="2"/>
        <v>11</v>
      </c>
      <c r="Q16" s="43">
        <f t="shared" si="3"/>
        <v>13</v>
      </c>
      <c r="R16" s="7"/>
      <c r="S16" s="6"/>
      <c r="T16" s="17"/>
      <c r="U16" s="17"/>
      <c r="V16" s="18"/>
      <c r="W16" s="19">
        <v>13</v>
      </c>
      <c r="X16" s="17"/>
      <c r="Y16" s="20"/>
      <c r="Z16" s="20"/>
      <c r="AA16" s="21"/>
      <c r="AB16" s="8">
        <f t="shared" si="4"/>
        <v>0.999492385786802</v>
      </c>
      <c r="AC16" s="9">
        <f t="shared" si="5"/>
        <v>0.45833333333333331</v>
      </c>
      <c r="AD16" s="10">
        <f t="shared" si="6"/>
        <v>0.45810067681895089</v>
      </c>
      <c r="AE16" s="39">
        <f t="shared" si="7"/>
        <v>0.27447948879289991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643</v>
      </c>
      <c r="D17" s="55" t="s">
        <v>841</v>
      </c>
      <c r="E17" s="56" t="s">
        <v>842</v>
      </c>
      <c r="F17" s="12">
        <v>8301</v>
      </c>
      <c r="G17" s="12">
        <v>1</v>
      </c>
      <c r="H17" s="13">
        <v>25</v>
      </c>
      <c r="I17" s="34">
        <v>3000</v>
      </c>
      <c r="J17" s="5">
        <v>1930</v>
      </c>
      <c r="K17" s="15">
        <f>L17+2929</f>
        <v>4854</v>
      </c>
      <c r="L17" s="15">
        <v>1925</v>
      </c>
      <c r="M17" s="16">
        <f t="shared" si="0"/>
        <v>1925</v>
      </c>
      <c r="N17" s="16">
        <v>0</v>
      </c>
      <c r="O17" s="62">
        <f t="shared" si="1"/>
        <v>0</v>
      </c>
      <c r="P17" s="42">
        <f t="shared" si="2"/>
        <v>12</v>
      </c>
      <c r="Q17" s="43">
        <f t="shared" si="3"/>
        <v>12</v>
      </c>
      <c r="R17" s="7"/>
      <c r="S17" s="6"/>
      <c r="T17" s="17"/>
      <c r="U17" s="17"/>
      <c r="V17" s="18"/>
      <c r="W17" s="19">
        <v>12</v>
      </c>
      <c r="X17" s="17"/>
      <c r="Y17" s="20"/>
      <c r="Z17" s="20"/>
      <c r="AA17" s="21"/>
      <c r="AB17" s="8">
        <f t="shared" si="4"/>
        <v>0.99740932642487046</v>
      </c>
      <c r="AC17" s="9">
        <f t="shared" si="5"/>
        <v>0.5</v>
      </c>
      <c r="AD17" s="10">
        <f t="shared" si="6"/>
        <v>0.49870466321243523</v>
      </c>
      <c r="AE17" s="39">
        <f t="shared" si="7"/>
        <v>0.27447948879289991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791</v>
      </c>
      <c r="D18" s="55" t="s">
        <v>833</v>
      </c>
      <c r="E18" s="56" t="s">
        <v>843</v>
      </c>
      <c r="F18" s="33" t="s">
        <v>844</v>
      </c>
      <c r="G18" s="36">
        <v>1</v>
      </c>
      <c r="H18" s="38">
        <v>25</v>
      </c>
      <c r="I18" s="7">
        <v>2000</v>
      </c>
      <c r="J18" s="5">
        <v>1401</v>
      </c>
      <c r="K18" s="15">
        <f>L18</f>
        <v>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0.27447948879289991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4990</v>
      </c>
      <c r="K19" s="15">
        <f>L19+3360+3759+4940+3946+4510+3949+3533+5051+4317+4555+3348+3248+4614+4202</f>
        <v>62319</v>
      </c>
      <c r="L19" s="15">
        <f>2545+2442</f>
        <v>4987</v>
      </c>
      <c r="M19" s="16">
        <f t="shared" si="0"/>
        <v>4987</v>
      </c>
      <c r="N19" s="16">
        <v>0</v>
      </c>
      <c r="O19" s="62">
        <f t="shared" si="1"/>
        <v>0</v>
      </c>
      <c r="P19" s="42">
        <f t="shared" si="2"/>
        <v>24</v>
      </c>
      <c r="Q19" s="43">
        <f t="shared" si="3"/>
        <v>0</v>
      </c>
      <c r="R19" s="7"/>
      <c r="S19" s="6"/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0.99939879759519035</v>
      </c>
      <c r="AC19" s="9">
        <f t="shared" si="5"/>
        <v>1</v>
      </c>
      <c r="AD19" s="10">
        <f t="shared" si="6"/>
        <v>0.99939879759519035</v>
      </c>
      <c r="AE19" s="39">
        <f t="shared" si="7"/>
        <v>0.27447948879289991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0.27447948879289991</v>
      </c>
      <c r="AF20" s="94">
        <f t="shared" si="8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9">SUM(I6:I20)</f>
        <v>462650</v>
      </c>
      <c r="J21" s="22">
        <f t="shared" si="9"/>
        <v>64001</v>
      </c>
      <c r="K21" s="23">
        <f t="shared" si="9"/>
        <v>741106</v>
      </c>
      <c r="L21" s="24">
        <f t="shared" si="9"/>
        <v>18929</v>
      </c>
      <c r="M21" s="23">
        <f t="shared" si="9"/>
        <v>18929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99</v>
      </c>
      <c r="Q21" s="46">
        <f t="shared" si="10"/>
        <v>261</v>
      </c>
      <c r="R21" s="26">
        <f t="shared" si="10"/>
        <v>48</v>
      </c>
      <c r="S21" s="27">
        <f t="shared" si="10"/>
        <v>86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127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0.531529761611791</v>
      </c>
      <c r="AC21" s="4">
        <f>SUM(AC6:AC20)/15</f>
        <v>0.27500000000000002</v>
      </c>
      <c r="AD21" s="4">
        <f>SUM(AD6:AD20)/15</f>
        <v>0.27447948879289991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873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877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318" t="s">
        <v>47</v>
      </c>
      <c r="D50" s="318" t="s">
        <v>48</v>
      </c>
      <c r="E50" s="318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318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44" t="s">
        <v>849</v>
      </c>
      <c r="B51" s="445"/>
      <c r="C51" s="314" t="s">
        <v>812</v>
      </c>
      <c r="D51" s="314" t="s">
        <v>815</v>
      </c>
      <c r="E51" s="317" t="s">
        <v>850</v>
      </c>
      <c r="F51" s="432" t="s">
        <v>858</v>
      </c>
      <c r="G51" s="432"/>
      <c r="H51" s="432"/>
      <c r="I51" s="432"/>
      <c r="J51" s="432"/>
      <c r="K51" s="432"/>
      <c r="L51" s="432"/>
      <c r="M51" s="446"/>
      <c r="N51" s="313" t="s">
        <v>807</v>
      </c>
      <c r="O51" s="74" t="s">
        <v>812</v>
      </c>
      <c r="P51" s="451" t="s">
        <v>845</v>
      </c>
      <c r="Q51" s="452"/>
      <c r="R51" s="445" t="s">
        <v>878</v>
      </c>
      <c r="S51" s="445"/>
      <c r="T51" s="445"/>
      <c r="U51" s="445"/>
      <c r="V51" s="432" t="s">
        <v>855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53" t="s">
        <v>807</v>
      </c>
      <c r="B52" s="454"/>
      <c r="C52" s="317" t="s">
        <v>808</v>
      </c>
      <c r="D52" s="314" t="s">
        <v>792</v>
      </c>
      <c r="E52" s="317" t="s">
        <v>795</v>
      </c>
      <c r="F52" s="432" t="s">
        <v>852</v>
      </c>
      <c r="G52" s="432"/>
      <c r="H52" s="432"/>
      <c r="I52" s="432"/>
      <c r="J52" s="432"/>
      <c r="K52" s="432"/>
      <c r="L52" s="432"/>
      <c r="M52" s="446"/>
      <c r="N52" s="313" t="s">
        <v>791</v>
      </c>
      <c r="O52" s="74" t="s">
        <v>803</v>
      </c>
      <c r="P52" s="451" t="s">
        <v>804</v>
      </c>
      <c r="Q52" s="452"/>
      <c r="R52" s="445" t="s">
        <v>857</v>
      </c>
      <c r="S52" s="445"/>
      <c r="T52" s="445"/>
      <c r="U52" s="445"/>
      <c r="V52" s="432" t="s">
        <v>858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861</v>
      </c>
      <c r="B53" s="454"/>
      <c r="C53" s="317" t="s">
        <v>814</v>
      </c>
      <c r="D53" s="314" t="s">
        <v>874</v>
      </c>
      <c r="E53" s="317" t="s">
        <v>872</v>
      </c>
      <c r="F53" s="432" t="s">
        <v>875</v>
      </c>
      <c r="G53" s="432"/>
      <c r="H53" s="432"/>
      <c r="I53" s="432"/>
      <c r="J53" s="432"/>
      <c r="K53" s="432"/>
      <c r="L53" s="432"/>
      <c r="M53" s="446"/>
      <c r="N53" s="313" t="s">
        <v>861</v>
      </c>
      <c r="O53" s="74" t="s">
        <v>814</v>
      </c>
      <c r="P53" s="451" t="s">
        <v>879</v>
      </c>
      <c r="Q53" s="452"/>
      <c r="R53" s="445" t="s">
        <v>880</v>
      </c>
      <c r="S53" s="445"/>
      <c r="T53" s="445"/>
      <c r="U53" s="445"/>
      <c r="V53" s="432" t="s">
        <v>859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791</v>
      </c>
      <c r="B54" s="445"/>
      <c r="C54" s="314" t="s">
        <v>803</v>
      </c>
      <c r="D54" s="314" t="s">
        <v>792</v>
      </c>
      <c r="E54" s="317" t="s">
        <v>870</v>
      </c>
      <c r="F54" s="432" t="s">
        <v>876</v>
      </c>
      <c r="G54" s="432"/>
      <c r="H54" s="432"/>
      <c r="I54" s="432"/>
      <c r="J54" s="432"/>
      <c r="K54" s="432"/>
      <c r="L54" s="432"/>
      <c r="M54" s="446"/>
      <c r="N54" s="313" t="s">
        <v>820</v>
      </c>
      <c r="O54" s="74" t="s">
        <v>808</v>
      </c>
      <c r="P54" s="451" t="s">
        <v>792</v>
      </c>
      <c r="Q54" s="452"/>
      <c r="R54" s="445" t="s">
        <v>795</v>
      </c>
      <c r="S54" s="445"/>
      <c r="T54" s="445"/>
      <c r="U54" s="445"/>
      <c r="V54" s="432" t="s">
        <v>859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802</v>
      </c>
      <c r="B55" s="454"/>
      <c r="C55" s="317" t="s">
        <v>883</v>
      </c>
      <c r="D55" s="314" t="s">
        <v>884</v>
      </c>
      <c r="E55" s="314" t="s">
        <v>834</v>
      </c>
      <c r="F55" s="432" t="s">
        <v>885</v>
      </c>
      <c r="G55" s="432"/>
      <c r="H55" s="432"/>
      <c r="I55" s="432"/>
      <c r="J55" s="432"/>
      <c r="K55" s="432"/>
      <c r="L55" s="432"/>
      <c r="M55" s="446"/>
      <c r="N55" s="313" t="s">
        <v>802</v>
      </c>
      <c r="O55" s="74" t="s">
        <v>883</v>
      </c>
      <c r="P55" s="451" t="s">
        <v>884</v>
      </c>
      <c r="Q55" s="452"/>
      <c r="R55" s="445" t="s">
        <v>834</v>
      </c>
      <c r="S55" s="445"/>
      <c r="T55" s="445"/>
      <c r="U55" s="445"/>
      <c r="V55" s="432" t="s">
        <v>859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/>
      <c r="B56" s="445"/>
      <c r="C56" s="314"/>
      <c r="D56" s="314"/>
      <c r="E56" s="317"/>
      <c r="F56" s="432"/>
      <c r="G56" s="432"/>
      <c r="H56" s="432"/>
      <c r="I56" s="432"/>
      <c r="J56" s="432"/>
      <c r="K56" s="432"/>
      <c r="L56" s="432"/>
      <c r="M56" s="446"/>
      <c r="N56" s="313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314"/>
      <c r="D57" s="314"/>
      <c r="E57" s="317"/>
      <c r="F57" s="432"/>
      <c r="G57" s="432"/>
      <c r="H57" s="432"/>
      <c r="I57" s="432"/>
      <c r="J57" s="432"/>
      <c r="K57" s="432"/>
      <c r="L57" s="432"/>
      <c r="M57" s="446"/>
      <c r="N57" s="313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317"/>
      <c r="D58" s="314"/>
      <c r="E58" s="317"/>
      <c r="F58" s="432"/>
      <c r="G58" s="432"/>
      <c r="H58" s="432"/>
      <c r="I58" s="432"/>
      <c r="J58" s="432"/>
      <c r="K58" s="432"/>
      <c r="L58" s="432"/>
      <c r="M58" s="446"/>
      <c r="N58" s="313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314"/>
      <c r="D59" s="314"/>
      <c r="E59" s="314"/>
      <c r="F59" s="432"/>
      <c r="G59" s="432"/>
      <c r="H59" s="432"/>
      <c r="I59" s="432"/>
      <c r="J59" s="432"/>
      <c r="K59" s="432"/>
      <c r="L59" s="432"/>
      <c r="M59" s="446"/>
      <c r="N59" s="313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316"/>
      <c r="D60" s="316"/>
      <c r="E60" s="316"/>
      <c r="F60" s="449"/>
      <c r="G60" s="449"/>
      <c r="H60" s="449"/>
      <c r="I60" s="449"/>
      <c r="J60" s="449"/>
      <c r="K60" s="449"/>
      <c r="L60" s="449"/>
      <c r="M60" s="450"/>
      <c r="N60" s="315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881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311" t="s">
        <v>2</v>
      </c>
      <c r="D62" s="311" t="s">
        <v>38</v>
      </c>
      <c r="E62" s="311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311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312" t="s">
        <v>863</v>
      </c>
      <c r="D63" s="307"/>
      <c r="E63" s="309" t="s">
        <v>833</v>
      </c>
      <c r="F63" s="496" t="s">
        <v>864</v>
      </c>
      <c r="G63" s="421"/>
      <c r="H63" s="421"/>
      <c r="I63" s="421"/>
      <c r="J63" s="421"/>
      <c r="K63" s="441" t="s">
        <v>882</v>
      </c>
      <c r="L63" s="441"/>
      <c r="M63" s="54" t="s">
        <v>865</v>
      </c>
      <c r="N63" s="421">
        <v>7</v>
      </c>
      <c r="O63" s="421"/>
      <c r="P63" s="431">
        <v>50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  <c r="AF63" s="53"/>
    </row>
    <row r="64" spans="1:32" ht="26.25" customHeight="1">
      <c r="A64" s="429">
        <v>2</v>
      </c>
      <c r="B64" s="430"/>
      <c r="C64" s="312"/>
      <c r="D64" s="307"/>
      <c r="E64" s="309"/>
      <c r="F64" s="496"/>
      <c r="G64" s="421"/>
      <c r="H64" s="421"/>
      <c r="I64" s="421"/>
      <c r="J64" s="421"/>
      <c r="K64" s="441"/>
      <c r="L64" s="441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312"/>
      <c r="D65" s="307"/>
      <c r="E65" s="309"/>
      <c r="F65" s="496"/>
      <c r="G65" s="421"/>
      <c r="H65" s="421"/>
      <c r="I65" s="421"/>
      <c r="J65" s="421"/>
      <c r="K65" s="441"/>
      <c r="L65" s="441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312"/>
      <c r="D66" s="307"/>
      <c r="E66" s="309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312"/>
      <c r="D67" s="307"/>
      <c r="E67" s="309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39" customHeight="1">
      <c r="A68" s="429">
        <v>6</v>
      </c>
      <c r="B68" s="430"/>
      <c r="C68" s="312"/>
      <c r="D68" s="307"/>
      <c r="E68" s="309"/>
      <c r="F68" s="496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39" customHeight="1">
      <c r="A69" s="429">
        <v>7</v>
      </c>
      <c r="B69" s="430"/>
      <c r="C69" s="312"/>
      <c r="D69" s="307"/>
      <c r="E69" s="309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8</v>
      </c>
      <c r="B70" s="430"/>
      <c r="C70" s="312"/>
      <c r="D70" s="307"/>
      <c r="E70" s="309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886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310" t="s">
        <v>2</v>
      </c>
      <c r="D72" s="310" t="s">
        <v>38</v>
      </c>
      <c r="E72" s="310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308" t="s">
        <v>62</v>
      </c>
      <c r="D73" s="308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307" t="s">
        <v>129</v>
      </c>
      <c r="D74" s="307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1">A74+1</f>
        <v>3</v>
      </c>
      <c r="B75" s="393"/>
      <c r="C75" s="307" t="s">
        <v>62</v>
      </c>
      <c r="D75" s="307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1"/>
        <v>4</v>
      </c>
      <c r="B76" s="393"/>
      <c r="C76" s="307" t="s">
        <v>62</v>
      </c>
      <c r="D76" s="307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1"/>
        <v>5</v>
      </c>
      <c r="B77" s="393"/>
      <c r="C77" s="307" t="s">
        <v>62</v>
      </c>
      <c r="D77" s="307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1"/>
        <v>6</v>
      </c>
      <c r="B78" s="393"/>
      <c r="C78" s="307" t="s">
        <v>129</v>
      </c>
      <c r="D78" s="307"/>
      <c r="E78" s="35" t="s">
        <v>123</v>
      </c>
      <c r="F78" s="393" t="s">
        <v>253</v>
      </c>
      <c r="G78" s="393"/>
      <c r="H78" s="393"/>
      <c r="I78" s="393"/>
      <c r="J78" s="393"/>
      <c r="K78" s="402" t="s">
        <v>887</v>
      </c>
      <c r="L78" s="403"/>
      <c r="M78" s="403"/>
      <c r="N78" s="403"/>
      <c r="O78" s="403"/>
      <c r="P78" s="403"/>
      <c r="Q78" s="403"/>
      <c r="R78" s="403"/>
      <c r="S78" s="404"/>
      <c r="T78" s="405">
        <v>42816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1"/>
        <v>7</v>
      </c>
      <c r="B79" s="393"/>
      <c r="C79" s="307"/>
      <c r="D79" s="307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1"/>
        <v>8</v>
      </c>
      <c r="B80" s="393"/>
      <c r="C80" s="307"/>
      <c r="D80" s="307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1"/>
        <v>9</v>
      </c>
      <c r="B81" s="393"/>
      <c r="C81" s="307"/>
      <c r="D81" s="307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888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L19" sqref="L19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889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>
        <v>0</v>
      </c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0.34116709689780461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129</v>
      </c>
      <c r="D7" s="55" t="s">
        <v>123</v>
      </c>
      <c r="E7" s="56" t="s">
        <v>142</v>
      </c>
      <c r="F7" s="12" t="s">
        <v>134</v>
      </c>
      <c r="G7" s="36">
        <v>1</v>
      </c>
      <c r="H7" s="38">
        <v>25</v>
      </c>
      <c r="I7" s="7">
        <v>50000</v>
      </c>
      <c r="J7" s="14">
        <v>6210</v>
      </c>
      <c r="K7" s="15">
        <f>L7+2454+5092+5124+5082+1904+1592+4745+5721+5190+4942+5771+5728+4942+5331+5748+5747</f>
        <v>81323</v>
      </c>
      <c r="L7" s="15">
        <f>2990+474+2746</f>
        <v>6210</v>
      </c>
      <c r="M7" s="16">
        <f t="shared" si="0"/>
        <v>6210</v>
      </c>
      <c r="N7" s="16">
        <v>0</v>
      </c>
      <c r="O7" s="62">
        <f t="shared" si="1"/>
        <v>0</v>
      </c>
      <c r="P7" s="42">
        <f t="shared" si="2"/>
        <v>24</v>
      </c>
      <c r="Q7" s="43">
        <f t="shared" si="3"/>
        <v>0</v>
      </c>
      <c r="R7" s="7"/>
      <c r="S7" s="6"/>
      <c r="T7" s="17"/>
      <c r="U7" s="17"/>
      <c r="V7" s="18"/>
      <c r="W7" s="19"/>
      <c r="X7" s="17"/>
      <c r="Y7" s="20"/>
      <c r="Z7" s="20"/>
      <c r="AA7" s="21"/>
      <c r="AB7" s="8">
        <f t="shared" si="4"/>
        <v>1</v>
      </c>
      <c r="AC7" s="9">
        <f t="shared" si="5"/>
        <v>1</v>
      </c>
      <c r="AD7" s="10">
        <f t="shared" si="6"/>
        <v>1</v>
      </c>
      <c r="AE7" s="39">
        <f t="shared" si="7"/>
        <v>0.34116709689780461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>
        <v>24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0.34116709689780461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791</v>
      </c>
      <c r="D9" s="55" t="s">
        <v>792</v>
      </c>
      <c r="E9" s="57" t="s">
        <v>870</v>
      </c>
      <c r="F9" s="12" t="s">
        <v>871</v>
      </c>
      <c r="G9" s="12">
        <v>1</v>
      </c>
      <c r="H9" s="13">
        <v>24</v>
      </c>
      <c r="I9" s="34">
        <v>2000</v>
      </c>
      <c r="J9" s="5">
        <v>2100</v>
      </c>
      <c r="K9" s="15">
        <f>L9+911</f>
        <v>3002</v>
      </c>
      <c r="L9" s="15">
        <f>1672+419</f>
        <v>2091</v>
      </c>
      <c r="M9" s="16">
        <f t="shared" si="0"/>
        <v>2091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/>
      <c r="T9" s="17"/>
      <c r="U9" s="17"/>
      <c r="V9" s="18"/>
      <c r="W9" s="19">
        <v>12</v>
      </c>
      <c r="X9" s="17"/>
      <c r="Y9" s="20"/>
      <c r="Z9" s="20"/>
      <c r="AA9" s="21"/>
      <c r="AB9" s="8">
        <f t="shared" si="4"/>
        <v>0.99571428571428566</v>
      </c>
      <c r="AC9" s="9">
        <f t="shared" si="5"/>
        <v>0.5</v>
      </c>
      <c r="AD9" s="10">
        <f t="shared" si="6"/>
        <v>0.49785714285714283</v>
      </c>
      <c r="AE9" s="39">
        <f t="shared" si="7"/>
        <v>0.34116709689780461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820</v>
      </c>
      <c r="D10" s="55" t="s">
        <v>799</v>
      </c>
      <c r="E10" s="57" t="s">
        <v>836</v>
      </c>
      <c r="F10" s="12" t="s">
        <v>835</v>
      </c>
      <c r="G10" s="12">
        <v>1</v>
      </c>
      <c r="H10" s="13">
        <v>25</v>
      </c>
      <c r="I10" s="34">
        <v>3000</v>
      </c>
      <c r="J10" s="5">
        <v>2240</v>
      </c>
      <c r="K10" s="15">
        <f>L10+293+2028</f>
        <v>4554</v>
      </c>
      <c r="L10" s="15">
        <f>1657+576</f>
        <v>2233</v>
      </c>
      <c r="M10" s="16">
        <f t="shared" si="0"/>
        <v>2233</v>
      </c>
      <c r="N10" s="16">
        <v>0</v>
      </c>
      <c r="O10" s="62">
        <f t="shared" si="1"/>
        <v>0</v>
      </c>
      <c r="P10" s="42">
        <f t="shared" si="2"/>
        <v>15</v>
      </c>
      <c r="Q10" s="43">
        <f t="shared" si="3"/>
        <v>9</v>
      </c>
      <c r="R10" s="7"/>
      <c r="S10" s="6"/>
      <c r="T10" s="17"/>
      <c r="U10" s="17"/>
      <c r="V10" s="18"/>
      <c r="W10" s="19">
        <v>9</v>
      </c>
      <c r="X10" s="17"/>
      <c r="Y10" s="20"/>
      <c r="Z10" s="20"/>
      <c r="AA10" s="21"/>
      <c r="AB10" s="8">
        <f t="shared" si="4"/>
        <v>0.99687499999999996</v>
      </c>
      <c r="AC10" s="9">
        <f t="shared" si="5"/>
        <v>0.625</v>
      </c>
      <c r="AD10" s="10">
        <f t="shared" si="6"/>
        <v>0.623046875</v>
      </c>
      <c r="AE10" s="39">
        <f t="shared" si="7"/>
        <v>0.34116709689780461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643</v>
      </c>
      <c r="D11" s="55" t="s">
        <v>121</v>
      </c>
      <c r="E11" s="57" t="s">
        <v>890</v>
      </c>
      <c r="F11" s="12" t="s">
        <v>891</v>
      </c>
      <c r="G11" s="12">
        <v>1</v>
      </c>
      <c r="H11" s="13">
        <v>25</v>
      </c>
      <c r="I11" s="34">
        <v>3000</v>
      </c>
      <c r="J11" s="14">
        <v>4460</v>
      </c>
      <c r="K11" s="15">
        <f>L11</f>
        <v>4457</v>
      </c>
      <c r="L11" s="15">
        <f>3165+1292</f>
        <v>4457</v>
      </c>
      <c r="M11" s="16">
        <f t="shared" si="0"/>
        <v>4457</v>
      </c>
      <c r="N11" s="16">
        <v>0</v>
      </c>
      <c r="O11" s="62">
        <f t="shared" si="1"/>
        <v>0</v>
      </c>
      <c r="P11" s="42">
        <f t="shared" si="2"/>
        <v>22</v>
      </c>
      <c r="Q11" s="43">
        <f t="shared" si="3"/>
        <v>2</v>
      </c>
      <c r="R11" s="7"/>
      <c r="S11" s="6">
        <v>2</v>
      </c>
      <c r="T11" s="17"/>
      <c r="U11" s="17"/>
      <c r="V11" s="18"/>
      <c r="W11" s="19"/>
      <c r="X11" s="17"/>
      <c r="Y11" s="20"/>
      <c r="Z11" s="20"/>
      <c r="AA11" s="21"/>
      <c r="AB11" s="8">
        <f t="shared" si="4"/>
        <v>0.99932735426008967</v>
      </c>
      <c r="AC11" s="9">
        <f t="shared" si="5"/>
        <v>0.91666666666666663</v>
      </c>
      <c r="AD11" s="10">
        <f t="shared" si="6"/>
        <v>0.91605007473841549</v>
      </c>
      <c r="AE11" s="39">
        <f t="shared" si="7"/>
        <v>0.34116709689780461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267</v>
      </c>
      <c r="D12" s="55" t="s">
        <v>746</v>
      </c>
      <c r="E12" s="57" t="s">
        <v>758</v>
      </c>
      <c r="F12" s="12" t="s">
        <v>769</v>
      </c>
      <c r="G12" s="12">
        <v>1</v>
      </c>
      <c r="H12" s="13">
        <v>25</v>
      </c>
      <c r="I12" s="34">
        <v>400</v>
      </c>
      <c r="J12" s="5">
        <v>570</v>
      </c>
      <c r="K12" s="15">
        <f>L12+570</f>
        <v>570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0.34116709689780461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144</v>
      </c>
      <c r="E13" s="57" t="s">
        <v>872</v>
      </c>
      <c r="F13" s="12" t="s">
        <v>134</v>
      </c>
      <c r="G13" s="12">
        <v>1</v>
      </c>
      <c r="H13" s="13">
        <v>25</v>
      </c>
      <c r="I13" s="7">
        <v>1000</v>
      </c>
      <c r="J13" s="14">
        <v>1480</v>
      </c>
      <c r="K13" s="15">
        <f>L13</f>
        <v>1476</v>
      </c>
      <c r="L13" s="15">
        <v>1476</v>
      </c>
      <c r="M13" s="16">
        <f t="shared" si="0"/>
        <v>1476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>
        <v>14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0.99729729729729732</v>
      </c>
      <c r="AC13" s="9">
        <f t="shared" si="5"/>
        <v>0.41666666666666669</v>
      </c>
      <c r="AD13" s="10">
        <f t="shared" si="6"/>
        <v>0.41554054054054057</v>
      </c>
      <c r="AE13" s="39">
        <f t="shared" si="7"/>
        <v>0.34116709689780461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791</v>
      </c>
      <c r="D14" s="55" t="s">
        <v>838</v>
      </c>
      <c r="E14" s="57" t="s">
        <v>839</v>
      </c>
      <c r="F14" s="33" t="s">
        <v>840</v>
      </c>
      <c r="G14" s="36">
        <v>1</v>
      </c>
      <c r="H14" s="38">
        <v>25</v>
      </c>
      <c r="I14" s="7">
        <v>250</v>
      </c>
      <c r="J14" s="5">
        <v>750</v>
      </c>
      <c r="K14" s="15">
        <f>L14+250+747</f>
        <v>997</v>
      </c>
      <c r="L14" s="15"/>
      <c r="M14" s="16">
        <f t="shared" si="0"/>
        <v>0</v>
      </c>
      <c r="N14" s="16">
        <v>0</v>
      </c>
      <c r="O14" s="62" t="str">
        <f t="shared" si="1"/>
        <v>0</v>
      </c>
      <c r="P14" s="42" t="str">
        <f t="shared" si="2"/>
        <v>0</v>
      </c>
      <c r="Q14" s="43">
        <f t="shared" si="3"/>
        <v>24</v>
      </c>
      <c r="R14" s="7">
        <v>24</v>
      </c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</v>
      </c>
      <c r="AC14" s="9">
        <f t="shared" si="5"/>
        <v>0</v>
      </c>
      <c r="AD14" s="10">
        <f t="shared" si="6"/>
        <v>0</v>
      </c>
      <c r="AE14" s="39">
        <f t="shared" si="7"/>
        <v>0.34116709689780461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L15+4500</f>
        <v>4500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0.34116709689780461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838</v>
      </c>
      <c r="E16" s="56" t="s">
        <v>892</v>
      </c>
      <c r="F16" s="12" t="s">
        <v>840</v>
      </c>
      <c r="G16" s="36">
        <v>1</v>
      </c>
      <c r="H16" s="38">
        <v>25</v>
      </c>
      <c r="I16" s="7">
        <v>12000</v>
      </c>
      <c r="J16" s="14">
        <v>3550</v>
      </c>
      <c r="K16" s="15">
        <f>L16</f>
        <v>3550</v>
      </c>
      <c r="L16" s="15">
        <f>369+2730+451</f>
        <v>3550</v>
      </c>
      <c r="M16" s="16">
        <f t="shared" si="0"/>
        <v>3550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1</v>
      </c>
      <c r="AC16" s="9">
        <f t="shared" si="5"/>
        <v>0.79166666666666663</v>
      </c>
      <c r="AD16" s="10">
        <f t="shared" si="6"/>
        <v>0.79166666666666663</v>
      </c>
      <c r="AE16" s="39">
        <f t="shared" si="7"/>
        <v>0.34116709689780461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643</v>
      </c>
      <c r="D17" s="55" t="s">
        <v>841</v>
      </c>
      <c r="E17" s="56" t="s">
        <v>842</v>
      </c>
      <c r="F17" s="12">
        <v>8301</v>
      </c>
      <c r="G17" s="12">
        <v>1</v>
      </c>
      <c r="H17" s="13">
        <v>25</v>
      </c>
      <c r="I17" s="34">
        <v>3000</v>
      </c>
      <c r="J17" s="5">
        <v>1930</v>
      </c>
      <c r="K17" s="15">
        <f>L17+2929+1925</f>
        <v>4854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>
        <v>24</v>
      </c>
      <c r="X17" s="17"/>
      <c r="Y17" s="20"/>
      <c r="Z17" s="20"/>
      <c r="AA17" s="21"/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 t="shared" si="7"/>
        <v>0.34116709689780461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791</v>
      </c>
      <c r="D18" s="55" t="s">
        <v>833</v>
      </c>
      <c r="E18" s="56" t="s">
        <v>843</v>
      </c>
      <c r="F18" s="33" t="s">
        <v>844</v>
      </c>
      <c r="G18" s="36">
        <v>1</v>
      </c>
      <c r="H18" s="38">
        <v>25</v>
      </c>
      <c r="I18" s="7">
        <v>2000</v>
      </c>
      <c r="J18" s="5">
        <v>1401</v>
      </c>
      <c r="K18" s="15">
        <f>L18</f>
        <v>0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>
        <v>24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0.34116709689780461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129</v>
      </c>
      <c r="D19" s="55" t="s">
        <v>58</v>
      </c>
      <c r="E19" s="57" t="s">
        <v>141</v>
      </c>
      <c r="F19" s="33" t="s">
        <v>130</v>
      </c>
      <c r="G19" s="36">
        <v>1</v>
      </c>
      <c r="H19" s="38">
        <v>25</v>
      </c>
      <c r="I19" s="34">
        <v>44000</v>
      </c>
      <c r="J19" s="5">
        <v>4230</v>
      </c>
      <c r="K19" s="15">
        <f>L19+3360+3759+4940+3946+4510+3949+3533+5051+4317+4555+3348+3248+4614+4202+4987</f>
        <v>66541</v>
      </c>
      <c r="L19" s="15">
        <f>2697+1525</f>
        <v>4222</v>
      </c>
      <c r="M19" s="16">
        <f t="shared" si="0"/>
        <v>4222</v>
      </c>
      <c r="N19" s="16">
        <v>0</v>
      </c>
      <c r="O19" s="62">
        <f t="shared" si="1"/>
        <v>0</v>
      </c>
      <c r="P19" s="42">
        <f t="shared" si="2"/>
        <v>21</v>
      </c>
      <c r="Q19" s="43">
        <f t="shared" si="3"/>
        <v>3</v>
      </c>
      <c r="R19" s="7"/>
      <c r="S19" s="6">
        <v>3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0.99810874704491725</v>
      </c>
      <c r="AC19" s="9">
        <f t="shared" si="5"/>
        <v>0.875</v>
      </c>
      <c r="AD19" s="10">
        <f t="shared" si="6"/>
        <v>0.87334515366430265</v>
      </c>
      <c r="AE19" s="39">
        <f t="shared" si="7"/>
        <v>0.34116709689780461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0.34116709689780461</v>
      </c>
      <c r="AF20" s="94">
        <f t="shared" si="8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9">SUM(I6:I20)</f>
        <v>413650</v>
      </c>
      <c r="J21" s="22">
        <f t="shared" si="9"/>
        <v>71421</v>
      </c>
      <c r="K21" s="23">
        <f t="shared" si="9"/>
        <v>689780</v>
      </c>
      <c r="L21" s="24">
        <f t="shared" si="9"/>
        <v>24239</v>
      </c>
      <c r="M21" s="23">
        <f t="shared" si="9"/>
        <v>24239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123</v>
      </c>
      <c r="Q21" s="46">
        <f t="shared" si="10"/>
        <v>237</v>
      </c>
      <c r="R21" s="26">
        <f t="shared" si="10"/>
        <v>72</v>
      </c>
      <c r="S21" s="27">
        <f t="shared" si="10"/>
        <v>48</v>
      </c>
      <c r="T21" s="27">
        <f t="shared" si="10"/>
        <v>0</v>
      </c>
      <c r="U21" s="27">
        <f t="shared" si="10"/>
        <v>0</v>
      </c>
      <c r="V21" s="28">
        <f t="shared" si="10"/>
        <v>0</v>
      </c>
      <c r="W21" s="29">
        <f t="shared" si="10"/>
        <v>117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0.46582151228777263</v>
      </c>
      <c r="AC21" s="4">
        <f>SUM(AC6:AC20)/15</f>
        <v>0.34166666666666667</v>
      </c>
      <c r="AD21" s="4">
        <f>SUM(AD6:AD20)/15</f>
        <v>0.34116709689780461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893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895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318" t="s">
        <v>47</v>
      </c>
      <c r="D50" s="318" t="s">
        <v>48</v>
      </c>
      <c r="E50" s="318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318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53" t="s">
        <v>807</v>
      </c>
      <c r="B51" s="454"/>
      <c r="C51" s="317" t="s">
        <v>808</v>
      </c>
      <c r="D51" s="314" t="s">
        <v>792</v>
      </c>
      <c r="E51" s="317" t="s">
        <v>894</v>
      </c>
      <c r="F51" s="432" t="s">
        <v>855</v>
      </c>
      <c r="G51" s="432"/>
      <c r="H51" s="432"/>
      <c r="I51" s="432"/>
      <c r="J51" s="432"/>
      <c r="K51" s="432"/>
      <c r="L51" s="432"/>
      <c r="M51" s="446"/>
      <c r="N51" s="313" t="s">
        <v>807</v>
      </c>
      <c r="O51" s="74" t="s">
        <v>812</v>
      </c>
      <c r="P51" s="451" t="s">
        <v>845</v>
      </c>
      <c r="Q51" s="452"/>
      <c r="R51" s="445" t="s">
        <v>878</v>
      </c>
      <c r="S51" s="445"/>
      <c r="T51" s="445"/>
      <c r="U51" s="445"/>
      <c r="V51" s="432" t="s">
        <v>855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53" t="s">
        <v>861</v>
      </c>
      <c r="B52" s="454"/>
      <c r="C52" s="317" t="s">
        <v>814</v>
      </c>
      <c r="D52" s="314" t="s">
        <v>874</v>
      </c>
      <c r="E52" s="317" t="s">
        <v>872</v>
      </c>
      <c r="F52" s="432" t="s">
        <v>859</v>
      </c>
      <c r="G52" s="432"/>
      <c r="H52" s="432"/>
      <c r="I52" s="432"/>
      <c r="J52" s="432"/>
      <c r="K52" s="432"/>
      <c r="L52" s="432"/>
      <c r="M52" s="446"/>
      <c r="N52" s="313" t="s">
        <v>820</v>
      </c>
      <c r="O52" s="74" t="s">
        <v>808</v>
      </c>
      <c r="P52" s="451" t="s">
        <v>792</v>
      </c>
      <c r="Q52" s="452"/>
      <c r="R52" s="445" t="s">
        <v>795</v>
      </c>
      <c r="S52" s="445"/>
      <c r="T52" s="445"/>
      <c r="U52" s="445"/>
      <c r="V52" s="432" t="s">
        <v>859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791</v>
      </c>
      <c r="B53" s="445"/>
      <c r="C53" s="314" t="s">
        <v>803</v>
      </c>
      <c r="D53" s="314" t="s">
        <v>792</v>
      </c>
      <c r="E53" s="317" t="s">
        <v>870</v>
      </c>
      <c r="F53" s="432" t="s">
        <v>858</v>
      </c>
      <c r="G53" s="432"/>
      <c r="H53" s="432"/>
      <c r="I53" s="432"/>
      <c r="J53" s="432"/>
      <c r="K53" s="432"/>
      <c r="L53" s="432"/>
      <c r="M53" s="446"/>
      <c r="N53" s="313" t="s">
        <v>802</v>
      </c>
      <c r="O53" s="74" t="s">
        <v>883</v>
      </c>
      <c r="P53" s="451" t="s">
        <v>884</v>
      </c>
      <c r="Q53" s="452"/>
      <c r="R53" s="445" t="s">
        <v>834</v>
      </c>
      <c r="S53" s="445"/>
      <c r="T53" s="445"/>
      <c r="U53" s="445"/>
      <c r="V53" s="432" t="s">
        <v>859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802</v>
      </c>
      <c r="B54" s="454"/>
      <c r="C54" s="317" t="s">
        <v>883</v>
      </c>
      <c r="D54" s="314" t="s">
        <v>884</v>
      </c>
      <c r="E54" s="314" t="s">
        <v>834</v>
      </c>
      <c r="F54" s="432" t="s">
        <v>885</v>
      </c>
      <c r="G54" s="432"/>
      <c r="H54" s="432"/>
      <c r="I54" s="432"/>
      <c r="J54" s="432"/>
      <c r="K54" s="432"/>
      <c r="L54" s="432"/>
      <c r="M54" s="446"/>
      <c r="N54" s="313"/>
      <c r="O54" s="74"/>
      <c r="P54" s="451"/>
      <c r="Q54" s="452"/>
      <c r="R54" s="445"/>
      <c r="S54" s="445"/>
      <c r="T54" s="445"/>
      <c r="U54" s="445"/>
      <c r="V54" s="432"/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802</v>
      </c>
      <c r="B55" s="454"/>
      <c r="C55" s="317" t="s">
        <v>798</v>
      </c>
      <c r="D55" s="314" t="s">
        <v>815</v>
      </c>
      <c r="E55" s="314" t="s">
        <v>800</v>
      </c>
      <c r="F55" s="432" t="s">
        <v>899</v>
      </c>
      <c r="G55" s="432"/>
      <c r="H55" s="432"/>
      <c r="I55" s="432"/>
      <c r="J55" s="432"/>
      <c r="K55" s="432"/>
      <c r="L55" s="432"/>
      <c r="M55" s="446"/>
      <c r="N55" s="313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/>
      <c r="B56" s="445"/>
      <c r="C56" s="314"/>
      <c r="D56" s="314"/>
      <c r="E56" s="317"/>
      <c r="F56" s="432"/>
      <c r="G56" s="432"/>
      <c r="H56" s="432"/>
      <c r="I56" s="432"/>
      <c r="J56" s="432"/>
      <c r="K56" s="432"/>
      <c r="L56" s="432"/>
      <c r="M56" s="446"/>
      <c r="N56" s="313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314"/>
      <c r="D57" s="314"/>
      <c r="E57" s="317"/>
      <c r="F57" s="432"/>
      <c r="G57" s="432"/>
      <c r="H57" s="432"/>
      <c r="I57" s="432"/>
      <c r="J57" s="432"/>
      <c r="K57" s="432"/>
      <c r="L57" s="432"/>
      <c r="M57" s="446"/>
      <c r="N57" s="313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317"/>
      <c r="D58" s="314"/>
      <c r="E58" s="317"/>
      <c r="F58" s="432"/>
      <c r="G58" s="432"/>
      <c r="H58" s="432"/>
      <c r="I58" s="432"/>
      <c r="J58" s="432"/>
      <c r="K58" s="432"/>
      <c r="L58" s="432"/>
      <c r="M58" s="446"/>
      <c r="N58" s="313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314"/>
      <c r="D59" s="314"/>
      <c r="E59" s="314"/>
      <c r="F59" s="432"/>
      <c r="G59" s="432"/>
      <c r="H59" s="432"/>
      <c r="I59" s="432"/>
      <c r="J59" s="432"/>
      <c r="K59" s="432"/>
      <c r="L59" s="432"/>
      <c r="M59" s="446"/>
      <c r="N59" s="313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316"/>
      <c r="D60" s="316"/>
      <c r="E60" s="316"/>
      <c r="F60" s="449"/>
      <c r="G60" s="449"/>
      <c r="H60" s="449"/>
      <c r="I60" s="449"/>
      <c r="J60" s="449"/>
      <c r="K60" s="449"/>
      <c r="L60" s="449"/>
      <c r="M60" s="450"/>
      <c r="N60" s="315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896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311" t="s">
        <v>2</v>
      </c>
      <c r="D62" s="311" t="s">
        <v>38</v>
      </c>
      <c r="E62" s="311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311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312"/>
      <c r="D63" s="307"/>
      <c r="E63" s="309"/>
      <c r="F63" s="496"/>
      <c r="G63" s="421"/>
      <c r="H63" s="421"/>
      <c r="I63" s="421"/>
      <c r="J63" s="421"/>
      <c r="K63" s="441"/>
      <c r="L63" s="441"/>
      <c r="M63" s="54"/>
      <c r="N63" s="421"/>
      <c r="O63" s="421"/>
      <c r="P63" s="431"/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  <c r="AF63" s="53"/>
    </row>
    <row r="64" spans="1:32" ht="26.25" customHeight="1">
      <c r="A64" s="429">
        <v>2</v>
      </c>
      <c r="B64" s="430"/>
      <c r="C64" s="312"/>
      <c r="D64" s="307"/>
      <c r="E64" s="309"/>
      <c r="F64" s="496"/>
      <c r="G64" s="421"/>
      <c r="H64" s="421"/>
      <c r="I64" s="421"/>
      <c r="J64" s="421"/>
      <c r="K64" s="441"/>
      <c r="L64" s="441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312"/>
      <c r="D65" s="307"/>
      <c r="E65" s="309"/>
      <c r="F65" s="496"/>
      <c r="G65" s="421"/>
      <c r="H65" s="421"/>
      <c r="I65" s="421"/>
      <c r="J65" s="421"/>
      <c r="K65" s="441"/>
      <c r="L65" s="441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312"/>
      <c r="D66" s="307"/>
      <c r="E66" s="309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312"/>
      <c r="D67" s="307"/>
      <c r="E67" s="309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39" customHeight="1">
      <c r="A68" s="429">
        <v>6</v>
      </c>
      <c r="B68" s="430"/>
      <c r="C68" s="312"/>
      <c r="D68" s="307"/>
      <c r="E68" s="309"/>
      <c r="F68" s="496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39" customHeight="1">
      <c r="A69" s="429">
        <v>7</v>
      </c>
      <c r="B69" s="430"/>
      <c r="C69" s="312"/>
      <c r="D69" s="307"/>
      <c r="E69" s="309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8</v>
      </c>
      <c r="B70" s="430"/>
      <c r="C70" s="312"/>
      <c r="D70" s="307"/>
      <c r="E70" s="309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897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310" t="s">
        <v>2</v>
      </c>
      <c r="D72" s="310" t="s">
        <v>38</v>
      </c>
      <c r="E72" s="310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308" t="s">
        <v>62</v>
      </c>
      <c r="D73" s="308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307" t="s">
        <v>129</v>
      </c>
      <c r="D74" s="307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1">A74+1</f>
        <v>3</v>
      </c>
      <c r="B75" s="393"/>
      <c r="C75" s="307" t="s">
        <v>62</v>
      </c>
      <c r="D75" s="307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1"/>
        <v>4</v>
      </c>
      <c r="B76" s="393"/>
      <c r="C76" s="307" t="s">
        <v>62</v>
      </c>
      <c r="D76" s="307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1"/>
        <v>5</v>
      </c>
      <c r="B77" s="393"/>
      <c r="C77" s="307" t="s">
        <v>62</v>
      </c>
      <c r="D77" s="307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1"/>
        <v>6</v>
      </c>
      <c r="B78" s="393"/>
      <c r="C78" s="307" t="s">
        <v>129</v>
      </c>
      <c r="D78" s="307"/>
      <c r="E78" s="35" t="s">
        <v>123</v>
      </c>
      <c r="F78" s="393" t="s">
        <v>253</v>
      </c>
      <c r="G78" s="393"/>
      <c r="H78" s="393"/>
      <c r="I78" s="393"/>
      <c r="J78" s="393"/>
      <c r="K78" s="402" t="s">
        <v>887</v>
      </c>
      <c r="L78" s="403"/>
      <c r="M78" s="403"/>
      <c r="N78" s="403"/>
      <c r="O78" s="403"/>
      <c r="P78" s="403"/>
      <c r="Q78" s="403"/>
      <c r="R78" s="403"/>
      <c r="S78" s="404"/>
      <c r="T78" s="405">
        <v>42817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1"/>
        <v>7</v>
      </c>
      <c r="B79" s="393"/>
      <c r="C79" s="307"/>
      <c r="D79" s="307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1"/>
        <v>8</v>
      </c>
      <c r="B80" s="393"/>
      <c r="C80" s="307"/>
      <c r="D80" s="307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1"/>
        <v>9</v>
      </c>
      <c r="B81" s="393"/>
      <c r="C81" s="307"/>
      <c r="D81" s="307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898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8"/>
  <sheetViews>
    <sheetView zoomScale="72" zoomScaleNormal="72" zoomScaleSheetLayoutView="70" workbookViewId="0">
      <selection activeCell="A85" sqref="A85:B85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900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19" t="s">
        <v>17</v>
      </c>
      <c r="L5" s="319" t="s">
        <v>18</v>
      </c>
      <c r="M5" s="319" t="s">
        <v>19</v>
      </c>
      <c r="N5" s="319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2" si="0">L6-N6</f>
        <v>0</v>
      </c>
      <c r="N6" s="16">
        <v>0</v>
      </c>
      <c r="O6" s="62" t="str">
        <f t="shared" ref="O6:O23" si="1">IF(L6=0,"0",N6/L6)</f>
        <v>0</v>
      </c>
      <c r="P6" s="42" t="str">
        <f t="shared" ref="P6:P22" si="2">IF(L6=0,"0",(24-Q6))</f>
        <v>0</v>
      </c>
      <c r="Q6" s="43">
        <f t="shared" ref="Q6:Q22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2" si="4">IF(J6=0,"0",(L6/J6))</f>
        <v>0</v>
      </c>
      <c r="AC6" s="9">
        <f t="shared" ref="AC6:AC22" si="5">IF(P6=0,"0",(P6/24))</f>
        <v>0</v>
      </c>
      <c r="AD6" s="10">
        <f t="shared" ref="AD6:AD22" si="6">AC6*AB6*(1-O6)</f>
        <v>0</v>
      </c>
      <c r="AE6" s="39">
        <f t="shared" ref="AE6:AE22" si="7">$AD$23</f>
        <v>0.34384575152629548</v>
      </c>
      <c r="AF6" s="94">
        <f t="shared" ref="AF6:AF22" si="8">A6</f>
        <v>1</v>
      </c>
    </row>
    <row r="7" spans="1:32" ht="27" customHeight="1">
      <c r="A7" s="108">
        <v>2</v>
      </c>
      <c r="B7" s="11" t="s">
        <v>59</v>
      </c>
      <c r="C7" s="11" t="s">
        <v>820</v>
      </c>
      <c r="D7" s="55" t="s">
        <v>901</v>
      </c>
      <c r="E7" s="56" t="s">
        <v>902</v>
      </c>
      <c r="F7" s="12" t="s">
        <v>840</v>
      </c>
      <c r="G7" s="36">
        <v>1</v>
      </c>
      <c r="H7" s="38">
        <v>25</v>
      </c>
      <c r="I7" s="7">
        <v>2000</v>
      </c>
      <c r="J7" s="14">
        <v>2480</v>
      </c>
      <c r="K7" s="15">
        <f>L7</f>
        <v>2477</v>
      </c>
      <c r="L7" s="15">
        <f>1031+1446</f>
        <v>2477</v>
      </c>
      <c r="M7" s="16">
        <f t="shared" si="0"/>
        <v>2477</v>
      </c>
      <c r="N7" s="16">
        <v>0</v>
      </c>
      <c r="O7" s="62">
        <f t="shared" si="1"/>
        <v>0</v>
      </c>
      <c r="P7" s="42">
        <f t="shared" si="2"/>
        <v>14</v>
      </c>
      <c r="Q7" s="43">
        <f t="shared" si="3"/>
        <v>10</v>
      </c>
      <c r="R7" s="7"/>
      <c r="S7" s="6"/>
      <c r="T7" s="17"/>
      <c r="U7" s="17"/>
      <c r="V7" s="18"/>
      <c r="W7" s="19">
        <v>10</v>
      </c>
      <c r="X7" s="17"/>
      <c r="Y7" s="20"/>
      <c r="Z7" s="20"/>
      <c r="AA7" s="21"/>
      <c r="AB7" s="8">
        <f t="shared" si="4"/>
        <v>0.99879032258064515</v>
      </c>
      <c r="AC7" s="9">
        <f t="shared" si="5"/>
        <v>0.58333333333333337</v>
      </c>
      <c r="AD7" s="10">
        <f t="shared" si="6"/>
        <v>0.58262768817204302</v>
      </c>
      <c r="AE7" s="39">
        <f t="shared" si="7"/>
        <v>0.34384575152629548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>
        <v>24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0.34384575152629548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167</v>
      </c>
      <c r="D9" s="55" t="s">
        <v>123</v>
      </c>
      <c r="E9" s="57" t="s">
        <v>834</v>
      </c>
      <c r="F9" s="12" t="s">
        <v>835</v>
      </c>
      <c r="G9" s="12">
        <v>1</v>
      </c>
      <c r="H9" s="13">
        <v>24</v>
      </c>
      <c r="I9" s="34">
        <v>2000</v>
      </c>
      <c r="J9" s="5">
        <v>950</v>
      </c>
      <c r="K9" s="15">
        <f>L9</f>
        <v>947</v>
      </c>
      <c r="L9" s="15">
        <f>592+355</f>
        <v>947</v>
      </c>
      <c r="M9" s="16">
        <f t="shared" si="0"/>
        <v>947</v>
      </c>
      <c r="N9" s="16">
        <v>0</v>
      </c>
      <c r="O9" s="62">
        <f t="shared" si="1"/>
        <v>0</v>
      </c>
      <c r="P9" s="42">
        <f t="shared" si="2"/>
        <v>6</v>
      </c>
      <c r="Q9" s="43">
        <f t="shared" si="3"/>
        <v>18</v>
      </c>
      <c r="R9" s="7"/>
      <c r="S9" s="6">
        <v>18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0.99684210526315786</v>
      </c>
      <c r="AC9" s="9">
        <f t="shared" si="5"/>
        <v>0.25</v>
      </c>
      <c r="AD9" s="10">
        <f t="shared" si="6"/>
        <v>0.24921052631578947</v>
      </c>
      <c r="AE9" s="39">
        <f t="shared" si="7"/>
        <v>0.34384575152629548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820</v>
      </c>
      <c r="D10" s="55" t="s">
        <v>903</v>
      </c>
      <c r="E10" s="57" t="s">
        <v>904</v>
      </c>
      <c r="F10" s="12" t="s">
        <v>835</v>
      </c>
      <c r="G10" s="12">
        <v>1</v>
      </c>
      <c r="H10" s="13">
        <v>25</v>
      </c>
      <c r="I10" s="34">
        <v>3000</v>
      </c>
      <c r="J10" s="5">
        <v>2250</v>
      </c>
      <c r="K10" s="15">
        <f>L10</f>
        <v>2243</v>
      </c>
      <c r="L10" s="15">
        <f>2075+168</f>
        <v>2243</v>
      </c>
      <c r="M10" s="16">
        <f t="shared" si="0"/>
        <v>2243</v>
      </c>
      <c r="N10" s="16">
        <v>0</v>
      </c>
      <c r="O10" s="62">
        <f t="shared" si="1"/>
        <v>0</v>
      </c>
      <c r="P10" s="42">
        <f t="shared" si="2"/>
        <v>14</v>
      </c>
      <c r="Q10" s="43">
        <f t="shared" si="3"/>
        <v>10</v>
      </c>
      <c r="R10" s="7"/>
      <c r="S10" s="6"/>
      <c r="T10" s="17"/>
      <c r="U10" s="17"/>
      <c r="V10" s="18"/>
      <c r="W10" s="19">
        <v>10</v>
      </c>
      <c r="X10" s="17"/>
      <c r="Y10" s="20"/>
      <c r="Z10" s="20"/>
      <c r="AA10" s="21"/>
      <c r="AB10" s="8">
        <f t="shared" si="4"/>
        <v>0.99688888888888894</v>
      </c>
      <c r="AC10" s="9">
        <f t="shared" si="5"/>
        <v>0.58333333333333337</v>
      </c>
      <c r="AD10" s="10">
        <f t="shared" si="6"/>
        <v>0.58151851851851855</v>
      </c>
      <c r="AE10" s="39">
        <f t="shared" si="7"/>
        <v>0.34384575152629548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643</v>
      </c>
      <c r="D11" s="55" t="s">
        <v>121</v>
      </c>
      <c r="E11" s="57" t="s">
        <v>890</v>
      </c>
      <c r="F11" s="12" t="s">
        <v>891</v>
      </c>
      <c r="G11" s="12">
        <v>1</v>
      </c>
      <c r="H11" s="13">
        <v>25</v>
      </c>
      <c r="I11" s="34">
        <v>3000</v>
      </c>
      <c r="J11" s="14">
        <v>1550</v>
      </c>
      <c r="K11" s="15">
        <f>L11+4457</f>
        <v>6002</v>
      </c>
      <c r="L11" s="15">
        <v>1545</v>
      </c>
      <c r="M11" s="16">
        <f t="shared" si="0"/>
        <v>1545</v>
      </c>
      <c r="N11" s="16">
        <v>0</v>
      </c>
      <c r="O11" s="62">
        <f t="shared" si="1"/>
        <v>0</v>
      </c>
      <c r="P11" s="42">
        <f t="shared" si="2"/>
        <v>9</v>
      </c>
      <c r="Q11" s="43">
        <f t="shared" si="3"/>
        <v>15</v>
      </c>
      <c r="R11" s="7"/>
      <c r="S11" s="6"/>
      <c r="T11" s="17"/>
      <c r="U11" s="17"/>
      <c r="V11" s="18"/>
      <c r="W11" s="19">
        <v>15</v>
      </c>
      <c r="X11" s="17"/>
      <c r="Y11" s="20"/>
      <c r="Z11" s="20"/>
      <c r="AA11" s="21"/>
      <c r="AB11" s="8">
        <f t="shared" si="4"/>
        <v>0.99677419354838714</v>
      </c>
      <c r="AC11" s="9">
        <f t="shared" si="5"/>
        <v>0.375</v>
      </c>
      <c r="AD11" s="10">
        <f t="shared" si="6"/>
        <v>0.37379032258064515</v>
      </c>
      <c r="AE11" s="39">
        <f t="shared" si="7"/>
        <v>0.34384575152629548</v>
      </c>
      <c r="AF11" s="94">
        <f t="shared" si="8"/>
        <v>6</v>
      </c>
    </row>
    <row r="12" spans="1:32" ht="27" customHeight="1">
      <c r="A12" s="110">
        <v>6</v>
      </c>
      <c r="B12" s="11" t="s">
        <v>59</v>
      </c>
      <c r="C12" s="11" t="s">
        <v>643</v>
      </c>
      <c r="D12" s="55" t="s">
        <v>121</v>
      </c>
      <c r="E12" s="57" t="s">
        <v>795</v>
      </c>
      <c r="F12" s="12" t="s">
        <v>796</v>
      </c>
      <c r="G12" s="12">
        <v>1</v>
      </c>
      <c r="H12" s="13">
        <v>25</v>
      </c>
      <c r="I12" s="34">
        <v>4000</v>
      </c>
      <c r="J12" s="14">
        <v>2220</v>
      </c>
      <c r="K12" s="15">
        <f>L12+3949+463+615</f>
        <v>7239</v>
      </c>
      <c r="L12" s="15">
        <f>760+1452</f>
        <v>2212</v>
      </c>
      <c r="M12" s="16">
        <f t="shared" si="0"/>
        <v>2212</v>
      </c>
      <c r="N12" s="16">
        <v>0</v>
      </c>
      <c r="O12" s="62">
        <f t="shared" si="1"/>
        <v>0</v>
      </c>
      <c r="P12" s="42">
        <f t="shared" si="2"/>
        <v>11</v>
      </c>
      <c r="Q12" s="43">
        <f t="shared" si="3"/>
        <v>13</v>
      </c>
      <c r="R12" s="7"/>
      <c r="S12" s="6"/>
      <c r="T12" s="17"/>
      <c r="U12" s="17"/>
      <c r="V12" s="18"/>
      <c r="W12" s="19">
        <v>13</v>
      </c>
      <c r="X12" s="17"/>
      <c r="Y12" s="20"/>
      <c r="Z12" s="20"/>
      <c r="AA12" s="21"/>
      <c r="AB12" s="8">
        <f t="shared" si="4"/>
        <v>0.99639639639639643</v>
      </c>
      <c r="AC12" s="9">
        <f t="shared" si="5"/>
        <v>0.45833333333333331</v>
      </c>
      <c r="AD12" s="10">
        <f t="shared" si="6"/>
        <v>0.45668168168168166</v>
      </c>
      <c r="AE12" s="39">
        <f t="shared" si="7"/>
        <v>0.34384575152629548</v>
      </c>
      <c r="AF12" s="94">
        <f t="shared" si="8"/>
        <v>6</v>
      </c>
    </row>
    <row r="13" spans="1:32" ht="27" customHeight="1">
      <c r="A13" s="110">
        <v>7</v>
      </c>
      <c r="B13" s="11" t="s">
        <v>59</v>
      </c>
      <c r="C13" s="37" t="s">
        <v>267</v>
      </c>
      <c r="D13" s="55" t="s">
        <v>746</v>
      </c>
      <c r="E13" s="57" t="s">
        <v>758</v>
      </c>
      <c r="F13" s="12" t="s">
        <v>769</v>
      </c>
      <c r="G13" s="12">
        <v>1</v>
      </c>
      <c r="H13" s="13">
        <v>25</v>
      </c>
      <c r="I13" s="34">
        <v>400</v>
      </c>
      <c r="J13" s="5">
        <v>570</v>
      </c>
      <c r="K13" s="15">
        <f>L13+570</f>
        <v>570</v>
      </c>
      <c r="L13" s="15"/>
      <c r="M13" s="16">
        <f t="shared" si="0"/>
        <v>0</v>
      </c>
      <c r="N13" s="16">
        <v>0</v>
      </c>
      <c r="O13" s="62" t="str">
        <f t="shared" si="1"/>
        <v>0</v>
      </c>
      <c r="P13" s="42" t="str">
        <f t="shared" si="2"/>
        <v>0</v>
      </c>
      <c r="Q13" s="43">
        <f t="shared" si="3"/>
        <v>24</v>
      </c>
      <c r="R13" s="7"/>
      <c r="S13" s="6"/>
      <c r="T13" s="17"/>
      <c r="U13" s="17"/>
      <c r="V13" s="18"/>
      <c r="W13" s="19">
        <v>24</v>
      </c>
      <c r="X13" s="17"/>
      <c r="Y13" s="20"/>
      <c r="Z13" s="20"/>
      <c r="AA13" s="21"/>
      <c r="AB13" s="8">
        <f t="shared" si="4"/>
        <v>0</v>
      </c>
      <c r="AC13" s="9">
        <f t="shared" si="5"/>
        <v>0</v>
      </c>
      <c r="AD13" s="10">
        <f t="shared" si="6"/>
        <v>0</v>
      </c>
      <c r="AE13" s="39">
        <f t="shared" si="7"/>
        <v>0.34384575152629548</v>
      </c>
      <c r="AF13" s="94">
        <f t="shared" si="8"/>
        <v>7</v>
      </c>
    </row>
    <row r="14" spans="1:32" ht="27" customHeight="1">
      <c r="A14" s="110">
        <v>8</v>
      </c>
      <c r="B14" s="11" t="s">
        <v>59</v>
      </c>
      <c r="C14" s="11" t="s">
        <v>62</v>
      </c>
      <c r="D14" s="55" t="s">
        <v>905</v>
      </c>
      <c r="E14" s="57" t="s">
        <v>906</v>
      </c>
      <c r="F14" s="12">
        <v>7301</v>
      </c>
      <c r="G14" s="12">
        <v>1</v>
      </c>
      <c r="H14" s="13">
        <v>25</v>
      </c>
      <c r="I14" s="7">
        <v>2000</v>
      </c>
      <c r="J14" s="14">
        <v>2710</v>
      </c>
      <c r="K14" s="15">
        <f>L14</f>
        <v>2710</v>
      </c>
      <c r="L14" s="15">
        <f>919+1791</f>
        <v>2710</v>
      </c>
      <c r="M14" s="16">
        <f t="shared" si="0"/>
        <v>2710</v>
      </c>
      <c r="N14" s="16">
        <v>0</v>
      </c>
      <c r="O14" s="62">
        <f t="shared" si="1"/>
        <v>0</v>
      </c>
      <c r="P14" s="42">
        <f t="shared" si="2"/>
        <v>18</v>
      </c>
      <c r="Q14" s="43">
        <f t="shared" si="3"/>
        <v>6</v>
      </c>
      <c r="R14" s="7"/>
      <c r="S14" s="6"/>
      <c r="T14" s="17"/>
      <c r="U14" s="17"/>
      <c r="V14" s="18"/>
      <c r="W14" s="19">
        <v>6</v>
      </c>
      <c r="X14" s="17"/>
      <c r="Y14" s="20"/>
      <c r="Z14" s="20"/>
      <c r="AA14" s="21"/>
      <c r="AB14" s="8">
        <f t="shared" si="4"/>
        <v>1</v>
      </c>
      <c r="AC14" s="9">
        <f t="shared" si="5"/>
        <v>0.75</v>
      </c>
      <c r="AD14" s="10">
        <f t="shared" si="6"/>
        <v>0.75</v>
      </c>
      <c r="AE14" s="39">
        <f t="shared" si="7"/>
        <v>0.34384575152629548</v>
      </c>
      <c r="AF14" s="94">
        <f t="shared" si="8"/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838</v>
      </c>
      <c r="E15" s="57" t="s">
        <v>907</v>
      </c>
      <c r="F15" s="33" t="s">
        <v>840</v>
      </c>
      <c r="G15" s="36">
        <v>2</v>
      </c>
      <c r="H15" s="38">
        <v>25</v>
      </c>
      <c r="I15" s="7">
        <v>6000</v>
      </c>
      <c r="J15" s="5">
        <v>4460</v>
      </c>
      <c r="K15" s="15">
        <f>L15</f>
        <v>4460</v>
      </c>
      <c r="L15" s="15">
        <f>2230*2</f>
        <v>4460</v>
      </c>
      <c r="M15" s="16">
        <f t="shared" si="0"/>
        <v>4460</v>
      </c>
      <c r="N15" s="16">
        <v>0</v>
      </c>
      <c r="O15" s="62">
        <f t="shared" si="1"/>
        <v>0</v>
      </c>
      <c r="P15" s="42">
        <f t="shared" si="2"/>
        <v>13</v>
      </c>
      <c r="Q15" s="43">
        <f t="shared" si="3"/>
        <v>11</v>
      </c>
      <c r="R15" s="7"/>
      <c r="S15" s="6"/>
      <c r="T15" s="17">
        <v>11</v>
      </c>
      <c r="U15" s="17"/>
      <c r="V15" s="18"/>
      <c r="W15" s="19"/>
      <c r="X15" s="17"/>
      <c r="Y15" s="20"/>
      <c r="Z15" s="20"/>
      <c r="AA15" s="21"/>
      <c r="AB15" s="8">
        <f t="shared" si="4"/>
        <v>1</v>
      </c>
      <c r="AC15" s="9">
        <f t="shared" si="5"/>
        <v>0.54166666666666663</v>
      </c>
      <c r="AD15" s="10">
        <f t="shared" si="6"/>
        <v>0.54166666666666663</v>
      </c>
      <c r="AE15" s="39">
        <f t="shared" si="7"/>
        <v>0.34384575152629548</v>
      </c>
      <c r="AF15" s="94">
        <f t="shared" si="8"/>
        <v>9</v>
      </c>
    </row>
    <row r="16" spans="1:32" ht="27" customHeight="1">
      <c r="A16" s="109">
        <v>10</v>
      </c>
      <c r="B16" s="11" t="s">
        <v>727</v>
      </c>
      <c r="C16" s="37" t="s">
        <v>691</v>
      </c>
      <c r="D16" s="55"/>
      <c r="E16" s="57" t="s">
        <v>692</v>
      </c>
      <c r="F16" s="12" t="s">
        <v>728</v>
      </c>
      <c r="G16" s="12">
        <v>8</v>
      </c>
      <c r="H16" s="13">
        <v>15</v>
      </c>
      <c r="I16" s="34">
        <v>3000</v>
      </c>
      <c r="J16" s="5">
        <v>4500</v>
      </c>
      <c r="K16" s="15">
        <f>L16+4500</f>
        <v>4500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0.34384575152629548</v>
      </c>
      <c r="AF16" s="94">
        <f t="shared" si="8"/>
        <v>10</v>
      </c>
    </row>
    <row r="17" spans="1:32" ht="27" customHeight="1">
      <c r="A17" s="109">
        <v>11</v>
      </c>
      <c r="B17" s="11" t="s">
        <v>59</v>
      </c>
      <c r="C17" s="11" t="s">
        <v>122</v>
      </c>
      <c r="D17" s="55" t="s">
        <v>908</v>
      </c>
      <c r="E17" s="56" t="s">
        <v>909</v>
      </c>
      <c r="F17" s="12">
        <v>7301</v>
      </c>
      <c r="G17" s="36">
        <v>2</v>
      </c>
      <c r="H17" s="38">
        <v>25</v>
      </c>
      <c r="I17" s="7">
        <v>6000</v>
      </c>
      <c r="J17" s="14">
        <v>6410</v>
      </c>
      <c r="K17" s="15">
        <f>L17</f>
        <v>6408</v>
      </c>
      <c r="L17" s="15">
        <f>2804*2+400*2</f>
        <v>6408</v>
      </c>
      <c r="M17" s="16">
        <f t="shared" si="0"/>
        <v>6408</v>
      </c>
      <c r="N17" s="16">
        <v>0</v>
      </c>
      <c r="O17" s="62">
        <f t="shared" si="1"/>
        <v>0</v>
      </c>
      <c r="P17" s="42">
        <f t="shared" si="2"/>
        <v>16</v>
      </c>
      <c r="Q17" s="43">
        <f t="shared" si="3"/>
        <v>8</v>
      </c>
      <c r="R17" s="7"/>
      <c r="S17" s="6"/>
      <c r="T17" s="17">
        <v>8</v>
      </c>
      <c r="U17" s="17"/>
      <c r="V17" s="18"/>
      <c r="W17" s="19"/>
      <c r="X17" s="17"/>
      <c r="Y17" s="20"/>
      <c r="Z17" s="20"/>
      <c r="AA17" s="21"/>
      <c r="AB17" s="8">
        <f t="shared" si="4"/>
        <v>0.99968798751950083</v>
      </c>
      <c r="AC17" s="9">
        <f t="shared" si="5"/>
        <v>0.66666666666666663</v>
      </c>
      <c r="AD17" s="10">
        <f t="shared" si="6"/>
        <v>0.66645865834633389</v>
      </c>
      <c r="AE17" s="39">
        <f t="shared" si="7"/>
        <v>0.34384575152629548</v>
      </c>
      <c r="AF17" s="94">
        <f t="shared" si="8"/>
        <v>11</v>
      </c>
    </row>
    <row r="18" spans="1:32" ht="27" customHeight="1">
      <c r="A18" s="109">
        <v>12</v>
      </c>
      <c r="B18" s="11" t="s">
        <v>59</v>
      </c>
      <c r="C18" s="37" t="s">
        <v>643</v>
      </c>
      <c r="D18" s="55" t="s">
        <v>841</v>
      </c>
      <c r="E18" s="56" t="s">
        <v>842</v>
      </c>
      <c r="F18" s="12">
        <v>8301</v>
      </c>
      <c r="G18" s="12">
        <v>1</v>
      </c>
      <c r="H18" s="13">
        <v>25</v>
      </c>
      <c r="I18" s="34">
        <v>3000</v>
      </c>
      <c r="J18" s="5">
        <v>1930</v>
      </c>
      <c r="K18" s="15">
        <f>L18+2929+1925</f>
        <v>4854</v>
      </c>
      <c r="L18" s="15"/>
      <c r="M18" s="16">
        <f t="shared" si="0"/>
        <v>0</v>
      </c>
      <c r="N18" s="16">
        <v>0</v>
      </c>
      <c r="O18" s="62" t="str">
        <f t="shared" si="1"/>
        <v>0</v>
      </c>
      <c r="P18" s="42" t="str">
        <f t="shared" si="2"/>
        <v>0</v>
      </c>
      <c r="Q18" s="43">
        <f t="shared" si="3"/>
        <v>24</v>
      </c>
      <c r="R18" s="7"/>
      <c r="S18" s="6"/>
      <c r="T18" s="17"/>
      <c r="U18" s="17"/>
      <c r="V18" s="18"/>
      <c r="W18" s="19">
        <v>24</v>
      </c>
      <c r="X18" s="17"/>
      <c r="Y18" s="20"/>
      <c r="Z18" s="20"/>
      <c r="AA18" s="21"/>
      <c r="AB18" s="8">
        <f t="shared" si="4"/>
        <v>0</v>
      </c>
      <c r="AC18" s="9">
        <f t="shared" si="5"/>
        <v>0</v>
      </c>
      <c r="AD18" s="10">
        <f t="shared" si="6"/>
        <v>0</v>
      </c>
      <c r="AE18" s="39">
        <f t="shared" si="7"/>
        <v>0.34384575152629548</v>
      </c>
      <c r="AF18" s="94">
        <f t="shared" si="8"/>
        <v>12</v>
      </c>
    </row>
    <row r="19" spans="1:32" ht="27" customHeight="1">
      <c r="A19" s="110">
        <v>13</v>
      </c>
      <c r="B19" s="11" t="s">
        <v>59</v>
      </c>
      <c r="C19" s="37" t="s">
        <v>62</v>
      </c>
      <c r="D19" s="55" t="s">
        <v>910</v>
      </c>
      <c r="E19" s="56" t="s">
        <v>912</v>
      </c>
      <c r="F19" s="33" t="s">
        <v>913</v>
      </c>
      <c r="G19" s="36">
        <v>1</v>
      </c>
      <c r="H19" s="38">
        <v>25</v>
      </c>
      <c r="I19" s="7">
        <v>2000</v>
      </c>
      <c r="J19" s="5">
        <v>540</v>
      </c>
      <c r="K19" s="15">
        <f>L19</f>
        <v>535</v>
      </c>
      <c r="L19" s="15">
        <f>535</f>
        <v>535</v>
      </c>
      <c r="M19" s="16">
        <f t="shared" si="0"/>
        <v>535</v>
      </c>
      <c r="N19" s="16">
        <v>0</v>
      </c>
      <c r="O19" s="62">
        <f t="shared" si="1"/>
        <v>0</v>
      </c>
      <c r="P19" s="42">
        <f t="shared" si="2"/>
        <v>4</v>
      </c>
      <c r="Q19" s="43">
        <f t="shared" si="3"/>
        <v>20</v>
      </c>
      <c r="R19" s="7"/>
      <c r="S19" s="6">
        <v>20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0.9907407407407407</v>
      </c>
      <c r="AC19" s="9">
        <f t="shared" si="5"/>
        <v>0.16666666666666666</v>
      </c>
      <c r="AD19" s="10">
        <f t="shared" si="6"/>
        <v>0.16512345679012344</v>
      </c>
      <c r="AE19" s="39">
        <f t="shared" si="7"/>
        <v>0.34384575152629548</v>
      </c>
      <c r="AF19" s="94">
        <f t="shared" si="8"/>
        <v>13</v>
      </c>
    </row>
    <row r="20" spans="1:32" ht="27" customHeight="1">
      <c r="A20" s="110">
        <v>14</v>
      </c>
      <c r="B20" s="11" t="s">
        <v>59</v>
      </c>
      <c r="C20" s="37" t="s">
        <v>129</v>
      </c>
      <c r="D20" s="55" t="s">
        <v>58</v>
      </c>
      <c r="E20" s="57" t="s">
        <v>141</v>
      </c>
      <c r="F20" s="33" t="s">
        <v>130</v>
      </c>
      <c r="G20" s="36">
        <v>1</v>
      </c>
      <c r="H20" s="38">
        <v>25</v>
      </c>
      <c r="I20" s="34">
        <v>44000</v>
      </c>
      <c r="J20" s="5">
        <v>1600</v>
      </c>
      <c r="K20" s="15">
        <f>L20+3360+3759+4940+3946+4510+3949+3533+5051+4317+4555+3348+3248+4614+4202+4987+4222</f>
        <v>68139</v>
      </c>
      <c r="L20" s="15">
        <v>1598</v>
      </c>
      <c r="M20" s="16">
        <f t="shared" si="0"/>
        <v>1598</v>
      </c>
      <c r="N20" s="16">
        <v>0</v>
      </c>
      <c r="O20" s="62">
        <f t="shared" si="1"/>
        <v>0</v>
      </c>
      <c r="P20" s="42">
        <f t="shared" si="2"/>
        <v>6</v>
      </c>
      <c r="Q20" s="43">
        <f t="shared" si="3"/>
        <v>18</v>
      </c>
      <c r="R20" s="7"/>
      <c r="S20" s="6"/>
      <c r="T20" s="17"/>
      <c r="U20" s="17"/>
      <c r="V20" s="18"/>
      <c r="W20" s="19">
        <v>18</v>
      </c>
      <c r="X20" s="17"/>
      <c r="Y20" s="20"/>
      <c r="Z20" s="20"/>
      <c r="AA20" s="21"/>
      <c r="AB20" s="8">
        <f t="shared" si="4"/>
        <v>0.99875000000000003</v>
      </c>
      <c r="AC20" s="9">
        <f t="shared" si="5"/>
        <v>0.25</v>
      </c>
      <c r="AD20" s="10">
        <f t="shared" si="6"/>
        <v>0.24968750000000001</v>
      </c>
      <c r="AE20" s="39">
        <f t="shared" si="7"/>
        <v>0.34384575152629548</v>
      </c>
      <c r="AF20" s="94">
        <f t="shared" si="8"/>
        <v>14</v>
      </c>
    </row>
    <row r="21" spans="1:32" ht="27" customHeight="1">
      <c r="A21" s="110">
        <v>14</v>
      </c>
      <c r="B21" s="11" t="s">
        <v>59</v>
      </c>
      <c r="C21" s="37" t="s">
        <v>122</v>
      </c>
      <c r="D21" s="55" t="s">
        <v>58</v>
      </c>
      <c r="E21" s="57" t="s">
        <v>914</v>
      </c>
      <c r="F21" s="33" t="s">
        <v>915</v>
      </c>
      <c r="G21" s="36">
        <v>1</v>
      </c>
      <c r="H21" s="38">
        <v>25</v>
      </c>
      <c r="I21" s="34">
        <v>1600</v>
      </c>
      <c r="J21" s="5">
        <v>2180</v>
      </c>
      <c r="K21" s="15">
        <f>L21</f>
        <v>2177</v>
      </c>
      <c r="L21" s="15">
        <v>2177</v>
      </c>
      <c r="M21" s="16">
        <f t="shared" ref="M21" si="9">L21-N21</f>
        <v>2177</v>
      </c>
      <c r="N21" s="16">
        <v>0</v>
      </c>
      <c r="O21" s="62">
        <f t="shared" ref="O21" si="10">IF(L21=0,"0",N21/L21)</f>
        <v>0</v>
      </c>
      <c r="P21" s="42">
        <f t="shared" ref="P21" si="11">IF(L21=0,"0",(24-Q21))</f>
        <v>13</v>
      </c>
      <c r="Q21" s="43">
        <f t="shared" ref="Q21" si="12">SUM(R21:AA21)</f>
        <v>11</v>
      </c>
      <c r="R21" s="7"/>
      <c r="S21" s="6"/>
      <c r="T21" s="17"/>
      <c r="U21" s="17"/>
      <c r="V21" s="18"/>
      <c r="W21" s="19">
        <v>11</v>
      </c>
      <c r="X21" s="17"/>
      <c r="Y21" s="20"/>
      <c r="Z21" s="20"/>
      <c r="AA21" s="21"/>
      <c r="AB21" s="8">
        <f t="shared" ref="AB21" si="13">IF(J21=0,"0",(L21/J21))</f>
        <v>0.99862385321100922</v>
      </c>
      <c r="AC21" s="9">
        <f t="shared" ref="AC21" si="14">IF(P21=0,"0",(P21/24))</f>
        <v>0.54166666666666663</v>
      </c>
      <c r="AD21" s="10">
        <f t="shared" ref="AD21" si="15">AC21*AB21*(1-O21)</f>
        <v>0.54092125382263001</v>
      </c>
      <c r="AE21" s="39">
        <f t="shared" si="7"/>
        <v>0.34384575152629548</v>
      </c>
      <c r="AF21" s="94">
        <f t="shared" ref="AF21" si="16">A21</f>
        <v>14</v>
      </c>
    </row>
    <row r="22" spans="1:32" ht="27" customHeight="1" thickBot="1">
      <c r="A22" s="110">
        <v>15</v>
      </c>
      <c r="B22" s="11" t="s">
        <v>59</v>
      </c>
      <c r="C22" s="11" t="s">
        <v>119</v>
      </c>
      <c r="D22" s="55" t="s">
        <v>143</v>
      </c>
      <c r="E22" s="56"/>
      <c r="F22" s="12" t="s">
        <v>120</v>
      </c>
      <c r="G22" s="12">
        <v>4</v>
      </c>
      <c r="H22" s="38">
        <v>20</v>
      </c>
      <c r="I22" s="7">
        <v>200000</v>
      </c>
      <c r="J22" s="14">
        <v>35770</v>
      </c>
      <c r="K22" s="15">
        <f>L22+40636+52572+50384+54156+47100+55408+54312+54884+35764</f>
        <v>445216</v>
      </c>
      <c r="L22" s="15"/>
      <c r="M22" s="16">
        <f t="shared" si="0"/>
        <v>0</v>
      </c>
      <c r="N22" s="16">
        <v>0</v>
      </c>
      <c r="O22" s="62" t="str">
        <f t="shared" si="1"/>
        <v>0</v>
      </c>
      <c r="P22" s="42" t="str">
        <f t="shared" si="2"/>
        <v>0</v>
      </c>
      <c r="Q22" s="43">
        <f t="shared" si="3"/>
        <v>24</v>
      </c>
      <c r="R22" s="7"/>
      <c r="S22" s="6"/>
      <c r="T22" s="17"/>
      <c r="U22" s="17"/>
      <c r="V22" s="18"/>
      <c r="W22" s="19">
        <v>24</v>
      </c>
      <c r="X22" s="17"/>
      <c r="Y22" s="20"/>
      <c r="Z22" s="20"/>
      <c r="AA22" s="21"/>
      <c r="AB22" s="8">
        <f t="shared" si="4"/>
        <v>0</v>
      </c>
      <c r="AC22" s="9">
        <f t="shared" si="5"/>
        <v>0</v>
      </c>
      <c r="AD22" s="10">
        <f t="shared" si="6"/>
        <v>0</v>
      </c>
      <c r="AE22" s="39">
        <f t="shared" si="7"/>
        <v>0.34384575152629548</v>
      </c>
      <c r="AF22" s="94">
        <f t="shared" si="8"/>
        <v>15</v>
      </c>
    </row>
    <row r="23" spans="1:32" ht="31.5" customHeight="1" thickBot="1">
      <c r="A23" s="457" t="s">
        <v>34</v>
      </c>
      <c r="B23" s="458"/>
      <c r="C23" s="458"/>
      <c r="D23" s="458"/>
      <c r="E23" s="458"/>
      <c r="F23" s="458"/>
      <c r="G23" s="458"/>
      <c r="H23" s="459"/>
      <c r="I23" s="25">
        <f t="shared" ref="I23:N23" si="17">SUM(I6:I22)</f>
        <v>372000</v>
      </c>
      <c r="J23" s="22">
        <f t="shared" si="17"/>
        <v>72350</v>
      </c>
      <c r="K23" s="23">
        <f t="shared" si="17"/>
        <v>627217</v>
      </c>
      <c r="L23" s="24">
        <f t="shared" si="17"/>
        <v>27312</v>
      </c>
      <c r="M23" s="23">
        <f t="shared" si="17"/>
        <v>27312</v>
      </c>
      <c r="N23" s="24">
        <f t="shared" si="17"/>
        <v>0</v>
      </c>
      <c r="O23" s="44">
        <f t="shared" si="1"/>
        <v>0</v>
      </c>
      <c r="P23" s="45">
        <f t="shared" ref="P23:AA23" si="18">SUM(P6:P22)</f>
        <v>124</v>
      </c>
      <c r="Q23" s="46">
        <f t="shared" si="18"/>
        <v>284</v>
      </c>
      <c r="R23" s="26">
        <f t="shared" si="18"/>
        <v>48</v>
      </c>
      <c r="S23" s="27">
        <f t="shared" si="18"/>
        <v>38</v>
      </c>
      <c r="T23" s="27">
        <f t="shared" si="18"/>
        <v>19</v>
      </c>
      <c r="U23" s="27">
        <f t="shared" si="18"/>
        <v>0</v>
      </c>
      <c r="V23" s="28">
        <f t="shared" si="18"/>
        <v>0</v>
      </c>
      <c r="W23" s="29">
        <f t="shared" si="18"/>
        <v>179</v>
      </c>
      <c r="X23" s="30">
        <f t="shared" si="18"/>
        <v>0</v>
      </c>
      <c r="Y23" s="30">
        <f t="shared" si="18"/>
        <v>0</v>
      </c>
      <c r="Z23" s="30">
        <f t="shared" si="18"/>
        <v>0</v>
      </c>
      <c r="AA23" s="30">
        <f t="shared" si="18"/>
        <v>0</v>
      </c>
      <c r="AB23" s="31">
        <f>SUM(AB6:AB22)/15</f>
        <v>0.73156629920991501</v>
      </c>
      <c r="AC23" s="4">
        <f>SUM(AC6:AC22)/15</f>
        <v>0.34444444444444444</v>
      </c>
      <c r="AD23" s="4">
        <f>SUM(AD6:AD22)/15</f>
        <v>0.34384575152629548</v>
      </c>
      <c r="AE23" s="32"/>
    </row>
    <row r="25" spans="1:32" ht="18.75">
      <c r="A25" s="2"/>
      <c r="B25" s="2" t="s">
        <v>35</v>
      </c>
      <c r="C25" s="2"/>
      <c r="D25" s="2"/>
      <c r="E25" s="2"/>
      <c r="F25" s="2"/>
      <c r="G25" s="2"/>
      <c r="H25" s="3"/>
      <c r="I25" s="3"/>
      <c r="J25" s="2"/>
      <c r="K25" s="2"/>
      <c r="L25" s="2"/>
      <c r="M25" s="2"/>
      <c r="N25" s="2" t="s">
        <v>36</v>
      </c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1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</row>
    <row r="34" spans="1:32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95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F39" s="53"/>
    </row>
    <row r="40" spans="1:32" ht="27">
      <c r="A40" s="63"/>
      <c r="B40" s="63"/>
      <c r="C40" s="63"/>
      <c r="D40" s="63"/>
      <c r="E40" s="63"/>
      <c r="F40" s="64"/>
      <c r="G40" s="64"/>
      <c r="H40" s="65"/>
      <c r="I40" s="65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F40" s="53"/>
    </row>
    <row r="41" spans="1:32" ht="29.25" customHeight="1">
      <c r="A41" s="66"/>
      <c r="B41" s="66"/>
      <c r="C41" s="67"/>
      <c r="D41" s="67"/>
      <c r="E41" s="67"/>
      <c r="F41" s="66"/>
      <c r="G41" s="66"/>
      <c r="H41" s="66"/>
      <c r="I41" s="66"/>
      <c r="J41" s="66"/>
      <c r="K41" s="66"/>
      <c r="L41" s="66"/>
      <c r="M41" s="67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29.25" customHeight="1">
      <c r="A48" s="66"/>
      <c r="B48" s="66"/>
      <c r="C48" s="68"/>
      <c r="D48" s="67"/>
      <c r="E48" s="67"/>
      <c r="F48" s="66"/>
      <c r="G48" s="66"/>
      <c r="H48" s="66"/>
      <c r="I48" s="66"/>
      <c r="J48" s="66"/>
      <c r="K48" s="66"/>
      <c r="L48" s="66"/>
      <c r="M48" s="68"/>
      <c r="N48" s="66"/>
      <c r="O48" s="66"/>
      <c r="P48" s="69"/>
      <c r="Q48" s="69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66"/>
      <c r="AC48" s="66"/>
      <c r="AD48" s="66"/>
      <c r="AF48" s="53"/>
    </row>
    <row r="49" spans="1:32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36" thickBot="1">
      <c r="A50" s="460" t="s">
        <v>46</v>
      </c>
      <c r="B50" s="460"/>
      <c r="C50" s="460"/>
      <c r="D50" s="460"/>
      <c r="E50" s="460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F50" s="53"/>
    </row>
    <row r="51" spans="1:32" ht="26.25" thickBot="1">
      <c r="A51" s="461" t="s">
        <v>916</v>
      </c>
      <c r="B51" s="462"/>
      <c r="C51" s="462"/>
      <c r="D51" s="462"/>
      <c r="E51" s="462"/>
      <c r="F51" s="462"/>
      <c r="G51" s="462"/>
      <c r="H51" s="462"/>
      <c r="I51" s="462"/>
      <c r="J51" s="462"/>
      <c r="K51" s="462"/>
      <c r="L51" s="462"/>
      <c r="M51" s="463"/>
      <c r="N51" s="464" t="s">
        <v>935</v>
      </c>
      <c r="O51" s="465"/>
      <c r="P51" s="465"/>
      <c r="Q51" s="465"/>
      <c r="R51" s="465"/>
      <c r="S51" s="465"/>
      <c r="T51" s="465"/>
      <c r="U51" s="465"/>
      <c r="V51" s="465"/>
      <c r="W51" s="465"/>
      <c r="X51" s="465"/>
      <c r="Y51" s="465"/>
      <c r="Z51" s="465"/>
      <c r="AA51" s="465"/>
      <c r="AB51" s="465"/>
      <c r="AC51" s="465"/>
      <c r="AD51" s="466"/>
    </row>
    <row r="52" spans="1:32" ht="27" customHeight="1">
      <c r="A52" s="467" t="s">
        <v>2</v>
      </c>
      <c r="B52" s="468"/>
      <c r="C52" s="318" t="s">
        <v>47</v>
      </c>
      <c r="D52" s="318" t="s">
        <v>48</v>
      </c>
      <c r="E52" s="318" t="s">
        <v>113</v>
      </c>
      <c r="F52" s="468" t="s">
        <v>112</v>
      </c>
      <c r="G52" s="468"/>
      <c r="H52" s="468"/>
      <c r="I52" s="468"/>
      <c r="J52" s="468"/>
      <c r="K52" s="468"/>
      <c r="L52" s="468"/>
      <c r="M52" s="469"/>
      <c r="N52" s="73" t="s">
        <v>117</v>
      </c>
      <c r="O52" s="318" t="s">
        <v>47</v>
      </c>
      <c r="P52" s="470" t="s">
        <v>48</v>
      </c>
      <c r="Q52" s="471"/>
      <c r="R52" s="470" t="s">
        <v>39</v>
      </c>
      <c r="S52" s="472"/>
      <c r="T52" s="472"/>
      <c r="U52" s="471"/>
      <c r="V52" s="470" t="s">
        <v>49</v>
      </c>
      <c r="W52" s="472"/>
      <c r="X52" s="472"/>
      <c r="Y52" s="472"/>
      <c r="Z52" s="472"/>
      <c r="AA52" s="472"/>
      <c r="AB52" s="472"/>
      <c r="AC52" s="472"/>
      <c r="AD52" s="473"/>
    </row>
    <row r="53" spans="1:32" ht="27" customHeight="1">
      <c r="A53" s="453" t="s">
        <v>807</v>
      </c>
      <c r="B53" s="454"/>
      <c r="C53" s="317" t="s">
        <v>808</v>
      </c>
      <c r="D53" s="314" t="s">
        <v>792</v>
      </c>
      <c r="E53" s="317" t="s">
        <v>917</v>
      </c>
      <c r="F53" s="432" t="s">
        <v>918</v>
      </c>
      <c r="G53" s="432"/>
      <c r="H53" s="432"/>
      <c r="I53" s="432"/>
      <c r="J53" s="432"/>
      <c r="K53" s="432"/>
      <c r="L53" s="432"/>
      <c r="M53" s="446"/>
      <c r="N53" s="313" t="s">
        <v>129</v>
      </c>
      <c r="O53" s="74" t="s">
        <v>812</v>
      </c>
      <c r="P53" s="451" t="s">
        <v>936</v>
      </c>
      <c r="Q53" s="452"/>
      <c r="R53" s="445" t="s">
        <v>937</v>
      </c>
      <c r="S53" s="445"/>
      <c r="T53" s="445"/>
      <c r="U53" s="445"/>
      <c r="V53" s="432" t="s">
        <v>855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919</v>
      </c>
      <c r="B54" s="454"/>
      <c r="C54" s="317" t="s">
        <v>389</v>
      </c>
      <c r="D54" s="314" t="s">
        <v>422</v>
      </c>
      <c r="E54" s="317" t="s">
        <v>902</v>
      </c>
      <c r="F54" s="432" t="s">
        <v>920</v>
      </c>
      <c r="G54" s="432"/>
      <c r="H54" s="432"/>
      <c r="I54" s="432"/>
      <c r="J54" s="432"/>
      <c r="K54" s="432"/>
      <c r="L54" s="432"/>
      <c r="M54" s="446"/>
      <c r="N54" s="313" t="s">
        <v>122</v>
      </c>
      <c r="O54" s="74" t="s">
        <v>131</v>
      </c>
      <c r="P54" s="451" t="s">
        <v>938</v>
      </c>
      <c r="Q54" s="452"/>
      <c r="R54" s="445" t="s">
        <v>939</v>
      </c>
      <c r="S54" s="445"/>
      <c r="T54" s="445"/>
      <c r="U54" s="445"/>
      <c r="V54" s="432" t="s">
        <v>329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919</v>
      </c>
      <c r="B55" s="454"/>
      <c r="C55" s="322" t="s">
        <v>131</v>
      </c>
      <c r="D55" s="323" t="s">
        <v>845</v>
      </c>
      <c r="E55" s="322" t="s">
        <v>906</v>
      </c>
      <c r="F55" s="432" t="s">
        <v>920</v>
      </c>
      <c r="G55" s="432"/>
      <c r="H55" s="432"/>
      <c r="I55" s="432"/>
      <c r="J55" s="432"/>
      <c r="K55" s="432"/>
      <c r="L55" s="432"/>
      <c r="M55" s="446"/>
      <c r="N55" s="313" t="s">
        <v>802</v>
      </c>
      <c r="O55" s="74" t="s">
        <v>172</v>
      </c>
      <c r="P55" s="451" t="s">
        <v>884</v>
      </c>
      <c r="Q55" s="452"/>
      <c r="R55" s="445" t="s">
        <v>834</v>
      </c>
      <c r="S55" s="445"/>
      <c r="T55" s="445"/>
      <c r="U55" s="445"/>
      <c r="V55" s="432" t="s">
        <v>859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802</v>
      </c>
      <c r="B56" s="454"/>
      <c r="C56" s="317" t="s">
        <v>172</v>
      </c>
      <c r="D56" s="314" t="s">
        <v>884</v>
      </c>
      <c r="E56" s="314" t="s">
        <v>834</v>
      </c>
      <c r="F56" s="432" t="s">
        <v>921</v>
      </c>
      <c r="G56" s="432"/>
      <c r="H56" s="432"/>
      <c r="I56" s="432"/>
      <c r="J56" s="432"/>
      <c r="K56" s="432"/>
      <c r="L56" s="432"/>
      <c r="M56" s="446"/>
      <c r="N56" s="313" t="s">
        <v>122</v>
      </c>
      <c r="O56" s="74" t="s">
        <v>940</v>
      </c>
      <c r="P56" s="451" t="s">
        <v>941</v>
      </c>
      <c r="Q56" s="452"/>
      <c r="R56" s="445" t="s">
        <v>942</v>
      </c>
      <c r="S56" s="445"/>
      <c r="T56" s="445"/>
      <c r="U56" s="445"/>
      <c r="V56" s="432" t="s">
        <v>329</v>
      </c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53" t="s">
        <v>919</v>
      </c>
      <c r="B57" s="454"/>
      <c r="C57" s="322" t="s">
        <v>501</v>
      </c>
      <c r="D57" s="323" t="s">
        <v>922</v>
      </c>
      <c r="E57" s="322" t="s">
        <v>912</v>
      </c>
      <c r="F57" s="432" t="s">
        <v>923</v>
      </c>
      <c r="G57" s="432"/>
      <c r="H57" s="432"/>
      <c r="I57" s="432"/>
      <c r="J57" s="432"/>
      <c r="K57" s="432"/>
      <c r="L57" s="432"/>
      <c r="M57" s="446"/>
      <c r="N57" s="313" t="s">
        <v>943</v>
      </c>
      <c r="O57" s="74" t="s">
        <v>944</v>
      </c>
      <c r="P57" s="451" t="s">
        <v>945</v>
      </c>
      <c r="Q57" s="452"/>
      <c r="R57" s="445" t="s">
        <v>911</v>
      </c>
      <c r="S57" s="445"/>
      <c r="T57" s="445"/>
      <c r="U57" s="445"/>
      <c r="V57" s="432" t="s">
        <v>195</v>
      </c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 t="s">
        <v>924</v>
      </c>
      <c r="B58" s="445"/>
      <c r="C58" s="314" t="s">
        <v>925</v>
      </c>
      <c r="D58" s="314" t="s">
        <v>926</v>
      </c>
      <c r="E58" s="317" t="s">
        <v>927</v>
      </c>
      <c r="F58" s="432" t="s">
        <v>928</v>
      </c>
      <c r="G58" s="432"/>
      <c r="H58" s="432"/>
      <c r="I58" s="432"/>
      <c r="J58" s="432"/>
      <c r="K58" s="432"/>
      <c r="L58" s="432"/>
      <c r="M58" s="446"/>
      <c r="N58" s="313" t="s">
        <v>122</v>
      </c>
      <c r="O58" s="74" t="s">
        <v>925</v>
      </c>
      <c r="P58" s="445" t="s">
        <v>908</v>
      </c>
      <c r="Q58" s="445"/>
      <c r="R58" s="445" t="s">
        <v>946</v>
      </c>
      <c r="S58" s="445"/>
      <c r="T58" s="445"/>
      <c r="U58" s="445"/>
      <c r="V58" s="432" t="s">
        <v>329</v>
      </c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 t="s">
        <v>929</v>
      </c>
      <c r="B59" s="445"/>
      <c r="C59" s="314" t="s">
        <v>930</v>
      </c>
      <c r="D59" s="314" t="s">
        <v>931</v>
      </c>
      <c r="E59" s="317" t="s">
        <v>932</v>
      </c>
      <c r="F59" s="432" t="s">
        <v>928</v>
      </c>
      <c r="G59" s="432"/>
      <c r="H59" s="432"/>
      <c r="I59" s="432"/>
      <c r="J59" s="432"/>
      <c r="K59" s="432"/>
      <c r="L59" s="432"/>
      <c r="M59" s="446"/>
      <c r="N59" s="313"/>
      <c r="O59" s="74"/>
      <c r="P59" s="451"/>
      <c r="Q59" s="452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53" t="s">
        <v>929</v>
      </c>
      <c r="B60" s="454"/>
      <c r="C60" s="317" t="s">
        <v>933</v>
      </c>
      <c r="D60" s="314" t="s">
        <v>908</v>
      </c>
      <c r="E60" s="317" t="s">
        <v>934</v>
      </c>
      <c r="F60" s="432" t="s">
        <v>928</v>
      </c>
      <c r="G60" s="432"/>
      <c r="H60" s="432"/>
      <c r="I60" s="432"/>
      <c r="J60" s="432"/>
      <c r="K60" s="432"/>
      <c r="L60" s="432"/>
      <c r="M60" s="446"/>
      <c r="N60" s="313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</row>
    <row r="61" spans="1:32" ht="27" customHeight="1">
      <c r="A61" s="444"/>
      <c r="B61" s="445"/>
      <c r="C61" s="314"/>
      <c r="D61" s="314"/>
      <c r="E61" s="314"/>
      <c r="F61" s="432"/>
      <c r="G61" s="432"/>
      <c r="H61" s="432"/>
      <c r="I61" s="432"/>
      <c r="J61" s="432"/>
      <c r="K61" s="432"/>
      <c r="L61" s="432"/>
      <c r="M61" s="446"/>
      <c r="N61" s="313"/>
      <c r="O61" s="74"/>
      <c r="P61" s="445"/>
      <c r="Q61" s="445"/>
      <c r="R61" s="445"/>
      <c r="S61" s="445"/>
      <c r="T61" s="445"/>
      <c r="U61" s="445"/>
      <c r="V61" s="432"/>
      <c r="W61" s="432"/>
      <c r="X61" s="432"/>
      <c r="Y61" s="432"/>
      <c r="Z61" s="432"/>
      <c r="AA61" s="432"/>
      <c r="AB61" s="432"/>
      <c r="AC61" s="432"/>
      <c r="AD61" s="446"/>
      <c r="AF61" s="94">
        <f>8*3000</f>
        <v>24000</v>
      </c>
    </row>
    <row r="62" spans="1:32" ht="27" customHeight="1" thickBot="1">
      <c r="A62" s="447"/>
      <c r="B62" s="448"/>
      <c r="C62" s="316"/>
      <c r="D62" s="316"/>
      <c r="E62" s="316"/>
      <c r="F62" s="449"/>
      <c r="G62" s="449"/>
      <c r="H62" s="449"/>
      <c r="I62" s="449"/>
      <c r="J62" s="449"/>
      <c r="K62" s="449"/>
      <c r="L62" s="449"/>
      <c r="M62" s="450"/>
      <c r="N62" s="315"/>
      <c r="O62" s="121"/>
      <c r="P62" s="448"/>
      <c r="Q62" s="448"/>
      <c r="R62" s="448"/>
      <c r="S62" s="448"/>
      <c r="T62" s="448"/>
      <c r="U62" s="448"/>
      <c r="V62" s="449"/>
      <c r="W62" s="449"/>
      <c r="X62" s="449"/>
      <c r="Y62" s="449"/>
      <c r="Z62" s="449"/>
      <c r="AA62" s="449"/>
      <c r="AB62" s="449"/>
      <c r="AC62" s="449"/>
      <c r="AD62" s="450"/>
      <c r="AF62" s="94">
        <f>16*3000</f>
        <v>48000</v>
      </c>
    </row>
    <row r="63" spans="1:32" ht="27.75" thickBot="1">
      <c r="A63" s="442" t="s">
        <v>947</v>
      </c>
      <c r="B63" s="442"/>
      <c r="C63" s="442"/>
      <c r="D63" s="442"/>
      <c r="E63" s="442"/>
      <c r="F63" s="40"/>
      <c r="G63" s="40"/>
      <c r="H63" s="41"/>
      <c r="I63" s="41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F63" s="94">
        <v>24000</v>
      </c>
    </row>
    <row r="64" spans="1:32" ht="29.25" customHeight="1" thickBot="1">
      <c r="A64" s="443" t="s">
        <v>118</v>
      </c>
      <c r="B64" s="439"/>
      <c r="C64" s="311" t="s">
        <v>2</v>
      </c>
      <c r="D64" s="311" t="s">
        <v>38</v>
      </c>
      <c r="E64" s="311" t="s">
        <v>3</v>
      </c>
      <c r="F64" s="439" t="s">
        <v>115</v>
      </c>
      <c r="G64" s="439"/>
      <c r="H64" s="439"/>
      <c r="I64" s="439"/>
      <c r="J64" s="439"/>
      <c r="K64" s="439" t="s">
        <v>40</v>
      </c>
      <c r="L64" s="439"/>
      <c r="M64" s="311" t="s">
        <v>41</v>
      </c>
      <c r="N64" s="439" t="s">
        <v>42</v>
      </c>
      <c r="O64" s="439"/>
      <c r="P64" s="436" t="s">
        <v>43</v>
      </c>
      <c r="Q64" s="438"/>
      <c r="R64" s="436" t="s">
        <v>44</v>
      </c>
      <c r="S64" s="437"/>
      <c r="T64" s="437"/>
      <c r="U64" s="437"/>
      <c r="V64" s="437"/>
      <c r="W64" s="437"/>
      <c r="X64" s="437"/>
      <c r="Y64" s="437"/>
      <c r="Z64" s="437"/>
      <c r="AA64" s="438"/>
      <c r="AB64" s="439" t="s">
        <v>45</v>
      </c>
      <c r="AC64" s="439"/>
      <c r="AD64" s="440"/>
      <c r="AF64" s="94">
        <f>SUM(AF61:AF63)</f>
        <v>96000</v>
      </c>
    </row>
    <row r="65" spans="1:32" ht="26.25" customHeight="1">
      <c r="A65" s="429">
        <v>1</v>
      </c>
      <c r="B65" s="430"/>
      <c r="C65" s="329" t="s">
        <v>691</v>
      </c>
      <c r="D65" s="331"/>
      <c r="E65" s="328"/>
      <c r="F65" s="421" t="s">
        <v>692</v>
      </c>
      <c r="G65" s="421"/>
      <c r="H65" s="421"/>
      <c r="I65" s="421"/>
      <c r="J65" s="421"/>
      <c r="K65" s="421" t="s">
        <v>756</v>
      </c>
      <c r="L65" s="421"/>
      <c r="M65" s="54" t="s">
        <v>948</v>
      </c>
      <c r="N65" s="421">
        <v>10</v>
      </c>
      <c r="O65" s="421"/>
      <c r="P65" s="431">
        <v>3000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6.25" customHeight="1">
      <c r="A66" s="429">
        <v>2</v>
      </c>
      <c r="B66" s="430"/>
      <c r="C66" s="312"/>
      <c r="D66" s="307"/>
      <c r="E66" s="309"/>
      <c r="F66" s="496"/>
      <c r="G66" s="421"/>
      <c r="H66" s="421"/>
      <c r="I66" s="421"/>
      <c r="J66" s="421"/>
      <c r="K66" s="441"/>
      <c r="L66" s="44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</row>
    <row r="67" spans="1:32" ht="26.25" customHeight="1">
      <c r="A67" s="429">
        <v>3</v>
      </c>
      <c r="B67" s="430"/>
      <c r="C67" s="312"/>
      <c r="D67" s="307"/>
      <c r="E67" s="309"/>
      <c r="F67" s="496"/>
      <c r="G67" s="421"/>
      <c r="H67" s="421"/>
      <c r="I67" s="421"/>
      <c r="J67" s="421"/>
      <c r="K67" s="441"/>
      <c r="L67" s="44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6.25" customHeight="1">
      <c r="A68" s="429">
        <v>4</v>
      </c>
      <c r="B68" s="430"/>
      <c r="C68" s="312"/>
      <c r="D68" s="307"/>
      <c r="E68" s="309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6.25" customHeight="1">
      <c r="A69" s="429">
        <v>5</v>
      </c>
      <c r="B69" s="430"/>
      <c r="C69" s="312"/>
      <c r="D69" s="307"/>
      <c r="E69" s="309"/>
      <c r="F69" s="421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6</v>
      </c>
      <c r="B70" s="430"/>
      <c r="C70" s="312"/>
      <c r="D70" s="307"/>
      <c r="E70" s="309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39" customHeight="1">
      <c r="A71" s="429">
        <v>7</v>
      </c>
      <c r="B71" s="430"/>
      <c r="C71" s="312"/>
      <c r="D71" s="307"/>
      <c r="E71" s="309"/>
      <c r="F71" s="496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39" customHeight="1">
      <c r="A72" s="429">
        <v>8</v>
      </c>
      <c r="B72" s="430"/>
      <c r="C72" s="312"/>
      <c r="D72" s="307"/>
      <c r="E72" s="309"/>
      <c r="F72" s="496"/>
      <c r="G72" s="421"/>
      <c r="H72" s="421"/>
      <c r="I72" s="421"/>
      <c r="J72" s="421"/>
      <c r="K72" s="421"/>
      <c r="L72" s="421"/>
      <c r="M72" s="54"/>
      <c r="N72" s="421"/>
      <c r="O72" s="421"/>
      <c r="P72" s="431"/>
      <c r="Q72" s="431"/>
      <c r="R72" s="432"/>
      <c r="S72" s="432"/>
      <c r="T72" s="432"/>
      <c r="U72" s="432"/>
      <c r="V72" s="432"/>
      <c r="W72" s="432"/>
      <c r="X72" s="432"/>
      <c r="Y72" s="432"/>
      <c r="Z72" s="432"/>
      <c r="AA72" s="432"/>
      <c r="AB72" s="421"/>
      <c r="AC72" s="421"/>
      <c r="AD72" s="422"/>
      <c r="AF72" s="53"/>
    </row>
    <row r="73" spans="1:32" ht="26.25" customHeight="1" thickBot="1">
      <c r="A73" s="400" t="s">
        <v>949</v>
      </c>
      <c r="B73" s="400"/>
      <c r="C73" s="400"/>
      <c r="D73" s="400"/>
      <c r="E73" s="400"/>
      <c r="F73" s="40"/>
      <c r="G73" s="40"/>
      <c r="H73" s="41"/>
      <c r="I73" s="41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F73" s="53"/>
    </row>
    <row r="74" spans="1:32" ht="23.25" thickBot="1">
      <c r="A74" s="423" t="s">
        <v>118</v>
      </c>
      <c r="B74" s="424"/>
      <c r="C74" s="310" t="s">
        <v>2</v>
      </c>
      <c r="D74" s="310" t="s">
        <v>38</v>
      </c>
      <c r="E74" s="310" t="s">
        <v>3</v>
      </c>
      <c r="F74" s="424" t="s">
        <v>39</v>
      </c>
      <c r="G74" s="424"/>
      <c r="H74" s="424"/>
      <c r="I74" s="424"/>
      <c r="J74" s="424"/>
      <c r="K74" s="425" t="s">
        <v>60</v>
      </c>
      <c r="L74" s="426"/>
      <c r="M74" s="426"/>
      <c r="N74" s="426"/>
      <c r="O74" s="426"/>
      <c r="P74" s="426"/>
      <c r="Q74" s="426"/>
      <c r="R74" s="426"/>
      <c r="S74" s="427"/>
      <c r="T74" s="424" t="s">
        <v>50</v>
      </c>
      <c r="U74" s="424"/>
      <c r="V74" s="425" t="s">
        <v>51</v>
      </c>
      <c r="W74" s="427"/>
      <c r="X74" s="426" t="s">
        <v>52</v>
      </c>
      <c r="Y74" s="426"/>
      <c r="Z74" s="426"/>
      <c r="AA74" s="426"/>
      <c r="AB74" s="426"/>
      <c r="AC74" s="426"/>
      <c r="AD74" s="428"/>
      <c r="AF74" s="53"/>
    </row>
    <row r="75" spans="1:32" ht="33.75" customHeight="1">
      <c r="A75" s="408">
        <v>1</v>
      </c>
      <c r="B75" s="409"/>
      <c r="C75" s="308" t="s">
        <v>62</v>
      </c>
      <c r="D75" s="308"/>
      <c r="E75" s="71" t="s">
        <v>58</v>
      </c>
      <c r="F75" s="410" t="s">
        <v>63</v>
      </c>
      <c r="G75" s="411"/>
      <c r="H75" s="411"/>
      <c r="I75" s="411"/>
      <c r="J75" s="412"/>
      <c r="K75" s="413" t="s">
        <v>61</v>
      </c>
      <c r="L75" s="414"/>
      <c r="M75" s="414"/>
      <c r="N75" s="414"/>
      <c r="O75" s="414"/>
      <c r="P75" s="414"/>
      <c r="Q75" s="414"/>
      <c r="R75" s="414"/>
      <c r="S75" s="415"/>
      <c r="T75" s="416">
        <v>41791</v>
      </c>
      <c r="U75" s="417"/>
      <c r="V75" s="418"/>
      <c r="W75" s="418"/>
      <c r="X75" s="419"/>
      <c r="Y75" s="419"/>
      <c r="Z75" s="419"/>
      <c r="AA75" s="419"/>
      <c r="AB75" s="419"/>
      <c r="AC75" s="419"/>
      <c r="AD75" s="420"/>
      <c r="AF75" s="53"/>
    </row>
    <row r="76" spans="1:32" ht="30" customHeight="1">
      <c r="A76" s="392">
        <f>A75+1</f>
        <v>2</v>
      </c>
      <c r="B76" s="393"/>
      <c r="C76" s="307" t="s">
        <v>129</v>
      </c>
      <c r="D76" s="307"/>
      <c r="E76" s="35" t="s">
        <v>121</v>
      </c>
      <c r="F76" s="393" t="s">
        <v>138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42779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ref="A77:A83" si="19">A76+1</f>
        <v>3</v>
      </c>
      <c r="B77" s="393"/>
      <c r="C77" s="307" t="s">
        <v>62</v>
      </c>
      <c r="D77" s="307"/>
      <c r="E77" s="35" t="s">
        <v>121</v>
      </c>
      <c r="F77" s="393" t="s">
        <v>125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9"/>
        <v>4</v>
      </c>
      <c r="B78" s="393"/>
      <c r="C78" s="307" t="s">
        <v>62</v>
      </c>
      <c r="D78" s="307"/>
      <c r="E78" s="35" t="s">
        <v>121</v>
      </c>
      <c r="F78" s="393" t="s">
        <v>124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9"/>
        <v>5</v>
      </c>
      <c r="B79" s="393"/>
      <c r="C79" s="307" t="s">
        <v>62</v>
      </c>
      <c r="D79" s="307"/>
      <c r="E79" s="35" t="s">
        <v>58</v>
      </c>
      <c r="F79" s="393" t="s">
        <v>126</v>
      </c>
      <c r="G79" s="393"/>
      <c r="H79" s="393"/>
      <c r="I79" s="393"/>
      <c r="J79" s="393"/>
      <c r="K79" s="402" t="s">
        <v>61</v>
      </c>
      <c r="L79" s="403"/>
      <c r="M79" s="403"/>
      <c r="N79" s="403"/>
      <c r="O79" s="403"/>
      <c r="P79" s="403"/>
      <c r="Q79" s="403"/>
      <c r="R79" s="403"/>
      <c r="S79" s="404"/>
      <c r="T79" s="405">
        <v>42667</v>
      </c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9"/>
        <v>6</v>
      </c>
      <c r="B80" s="393"/>
      <c r="C80" s="307" t="s">
        <v>129</v>
      </c>
      <c r="D80" s="307"/>
      <c r="E80" s="35" t="s">
        <v>123</v>
      </c>
      <c r="F80" s="393" t="s">
        <v>253</v>
      </c>
      <c r="G80" s="393"/>
      <c r="H80" s="393"/>
      <c r="I80" s="393"/>
      <c r="J80" s="393"/>
      <c r="K80" s="402" t="s">
        <v>950</v>
      </c>
      <c r="L80" s="403"/>
      <c r="M80" s="403"/>
      <c r="N80" s="403"/>
      <c r="O80" s="403"/>
      <c r="P80" s="403"/>
      <c r="Q80" s="403"/>
      <c r="R80" s="403"/>
      <c r="S80" s="404"/>
      <c r="T80" s="405">
        <v>42818</v>
      </c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9"/>
        <v>7</v>
      </c>
      <c r="B81" s="393"/>
      <c r="C81" s="307"/>
      <c r="D81" s="307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19"/>
        <v>8</v>
      </c>
      <c r="B82" s="393"/>
      <c r="C82" s="307"/>
      <c r="D82" s="307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0" customHeight="1">
      <c r="A83" s="392">
        <f t="shared" si="19"/>
        <v>9</v>
      </c>
      <c r="B83" s="393"/>
      <c r="C83" s="307"/>
      <c r="D83" s="307"/>
      <c r="E83" s="35"/>
      <c r="F83" s="393"/>
      <c r="G83" s="393"/>
      <c r="H83" s="393"/>
      <c r="I83" s="393"/>
      <c r="J83" s="393"/>
      <c r="K83" s="402"/>
      <c r="L83" s="403"/>
      <c r="M83" s="403"/>
      <c r="N83" s="403"/>
      <c r="O83" s="403"/>
      <c r="P83" s="403"/>
      <c r="Q83" s="403"/>
      <c r="R83" s="403"/>
      <c r="S83" s="404"/>
      <c r="T83" s="405"/>
      <c r="U83" s="405"/>
      <c r="V83" s="405"/>
      <c r="W83" s="405"/>
      <c r="X83" s="406"/>
      <c r="Y83" s="406"/>
      <c r="Z83" s="406"/>
      <c r="AA83" s="406"/>
      <c r="AB83" s="406"/>
      <c r="AC83" s="406"/>
      <c r="AD83" s="407"/>
      <c r="AF83" s="53"/>
    </row>
    <row r="84" spans="1:32" ht="36" thickBot="1">
      <c r="A84" s="400" t="s">
        <v>951</v>
      </c>
      <c r="B84" s="400"/>
      <c r="C84" s="400"/>
      <c r="D84" s="400"/>
      <c r="E84" s="400"/>
      <c r="F84" s="40"/>
      <c r="G84" s="40"/>
      <c r="H84" s="41"/>
      <c r="I84" s="41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F84" s="53"/>
    </row>
    <row r="85" spans="1:32" ht="30.75" customHeight="1" thickBot="1">
      <c r="A85" s="401" t="s">
        <v>37</v>
      </c>
      <c r="B85" s="396"/>
      <c r="C85" s="396" t="s">
        <v>53</v>
      </c>
      <c r="D85" s="396"/>
      <c r="E85" s="396" t="s">
        <v>54</v>
      </c>
      <c r="F85" s="396"/>
      <c r="G85" s="396"/>
      <c r="H85" s="396"/>
      <c r="I85" s="396"/>
      <c r="J85" s="396"/>
      <c r="K85" s="396" t="s">
        <v>55</v>
      </c>
      <c r="L85" s="396"/>
      <c r="M85" s="396"/>
      <c r="N85" s="396"/>
      <c r="O85" s="396"/>
      <c r="P85" s="396"/>
      <c r="Q85" s="396"/>
      <c r="R85" s="396"/>
      <c r="S85" s="396"/>
      <c r="T85" s="396" t="s">
        <v>56</v>
      </c>
      <c r="U85" s="396"/>
      <c r="V85" s="396" t="s">
        <v>57</v>
      </c>
      <c r="W85" s="396"/>
      <c r="X85" s="396"/>
      <c r="Y85" s="396" t="s">
        <v>52</v>
      </c>
      <c r="Z85" s="396"/>
      <c r="AA85" s="396"/>
      <c r="AB85" s="396"/>
      <c r="AC85" s="396"/>
      <c r="AD85" s="397"/>
      <c r="AF85" s="53"/>
    </row>
    <row r="86" spans="1:32" ht="30.75" customHeight="1">
      <c r="A86" s="398">
        <v>1</v>
      </c>
      <c r="B86" s="399"/>
      <c r="C86" s="394">
        <v>1</v>
      </c>
      <c r="D86" s="394"/>
      <c r="E86" s="394" t="s">
        <v>561</v>
      </c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 t="s">
        <v>486</v>
      </c>
      <c r="U86" s="394"/>
      <c r="V86" s="395"/>
      <c r="W86" s="395"/>
      <c r="X86" s="395"/>
      <c r="Y86" s="386" t="s">
        <v>562</v>
      </c>
      <c r="Z86" s="386"/>
      <c r="AA86" s="386"/>
      <c r="AB86" s="386"/>
      <c r="AC86" s="386"/>
      <c r="AD86" s="387"/>
      <c r="AF86" s="53"/>
    </row>
    <row r="87" spans="1:32" ht="30.75" customHeight="1">
      <c r="A87" s="392">
        <v>2</v>
      </c>
      <c r="B87" s="393"/>
      <c r="C87" s="394"/>
      <c r="D87" s="394"/>
      <c r="E87" s="394"/>
      <c r="F87" s="394"/>
      <c r="G87" s="394"/>
      <c r="H87" s="394"/>
      <c r="I87" s="394"/>
      <c r="J87" s="394"/>
      <c r="K87" s="394"/>
      <c r="L87" s="394"/>
      <c r="M87" s="394"/>
      <c r="N87" s="394"/>
      <c r="O87" s="394"/>
      <c r="P87" s="394"/>
      <c r="Q87" s="394"/>
      <c r="R87" s="394"/>
      <c r="S87" s="394"/>
      <c r="T87" s="394"/>
      <c r="U87" s="394"/>
      <c r="V87" s="395"/>
      <c r="W87" s="395"/>
      <c r="X87" s="395"/>
      <c r="Y87" s="386"/>
      <c r="Z87" s="386"/>
      <c r="AA87" s="386"/>
      <c r="AB87" s="386"/>
      <c r="AC87" s="386"/>
      <c r="AD87" s="387"/>
      <c r="AF87" s="53"/>
    </row>
    <row r="88" spans="1:32" ht="30.75" customHeight="1" thickBot="1">
      <c r="A88" s="388">
        <v>3</v>
      </c>
      <c r="B88" s="389"/>
      <c r="C88" s="389"/>
      <c r="D88" s="389"/>
      <c r="E88" s="389"/>
      <c r="F88" s="389"/>
      <c r="G88" s="389"/>
      <c r="H88" s="389"/>
      <c r="I88" s="389"/>
      <c r="J88" s="389"/>
      <c r="K88" s="389"/>
      <c r="L88" s="389"/>
      <c r="M88" s="389"/>
      <c r="N88" s="389"/>
      <c r="O88" s="389"/>
      <c r="P88" s="389"/>
      <c r="Q88" s="389"/>
      <c r="R88" s="389"/>
      <c r="S88" s="389"/>
      <c r="T88" s="389"/>
      <c r="U88" s="389"/>
      <c r="V88" s="389"/>
      <c r="W88" s="389"/>
      <c r="X88" s="389"/>
      <c r="Y88" s="390"/>
      <c r="Z88" s="390"/>
      <c r="AA88" s="390"/>
      <c r="AB88" s="390"/>
      <c r="AC88" s="390"/>
      <c r="AD88" s="391"/>
      <c r="AF88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3:H23"/>
    <mergeCell ref="A50:E50"/>
    <mergeCell ref="A51:M51"/>
    <mergeCell ref="N51:AD51"/>
    <mergeCell ref="A52:B52"/>
    <mergeCell ref="F52:M52"/>
    <mergeCell ref="P52:Q52"/>
    <mergeCell ref="R52:U52"/>
    <mergeCell ref="V52:AD52"/>
    <mergeCell ref="I4:O4"/>
    <mergeCell ref="P4:Q4"/>
    <mergeCell ref="R4:V4"/>
    <mergeCell ref="W4:AA4"/>
    <mergeCell ref="AB4:AB5"/>
    <mergeCell ref="AC4:AC5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R61:U61"/>
    <mergeCell ref="V61:AD61"/>
    <mergeCell ref="A62:B62"/>
    <mergeCell ref="F62:M62"/>
    <mergeCell ref="P62:Q62"/>
    <mergeCell ref="R62:U62"/>
    <mergeCell ref="V62:AD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63:E63"/>
    <mergeCell ref="A64:B64"/>
    <mergeCell ref="F64:J64"/>
    <mergeCell ref="K64:L64"/>
    <mergeCell ref="N64:O64"/>
    <mergeCell ref="P64:Q64"/>
    <mergeCell ref="A61:B61"/>
    <mergeCell ref="F61:M61"/>
    <mergeCell ref="P61:Q61"/>
    <mergeCell ref="R64:AA64"/>
    <mergeCell ref="AB64:AD64"/>
    <mergeCell ref="A65:B65"/>
    <mergeCell ref="F65:J65"/>
    <mergeCell ref="K65:L65"/>
    <mergeCell ref="N65:O65"/>
    <mergeCell ref="P65:Q65"/>
    <mergeCell ref="R65:AA65"/>
    <mergeCell ref="AB65:AD65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B71"/>
    <mergeCell ref="F71:J71"/>
    <mergeCell ref="K71:L71"/>
    <mergeCell ref="N71:O71"/>
    <mergeCell ref="P71:Q71"/>
    <mergeCell ref="R71:AA71"/>
    <mergeCell ref="AB71:AD71"/>
    <mergeCell ref="A70:B70"/>
    <mergeCell ref="F70:J70"/>
    <mergeCell ref="K70:L70"/>
    <mergeCell ref="N70:O70"/>
    <mergeCell ref="P70:Q70"/>
    <mergeCell ref="R70:AA70"/>
    <mergeCell ref="AB72:AD72"/>
    <mergeCell ref="A73:E73"/>
    <mergeCell ref="A74:B74"/>
    <mergeCell ref="F74:J74"/>
    <mergeCell ref="K74:S74"/>
    <mergeCell ref="T74:U74"/>
    <mergeCell ref="V74:W74"/>
    <mergeCell ref="X74:AD74"/>
    <mergeCell ref="A72:B72"/>
    <mergeCell ref="F72:J72"/>
    <mergeCell ref="K72:L72"/>
    <mergeCell ref="N72:O72"/>
    <mergeCell ref="P72:Q72"/>
    <mergeCell ref="R72:AA72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V83:W83"/>
    <mergeCell ref="X83:AD83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4:E84"/>
    <mergeCell ref="A85:B85"/>
    <mergeCell ref="C85:D85"/>
    <mergeCell ref="E85:J85"/>
    <mergeCell ref="K85:S85"/>
    <mergeCell ref="T85:U85"/>
    <mergeCell ref="A83:B83"/>
    <mergeCell ref="F83:J83"/>
    <mergeCell ref="K83:S83"/>
    <mergeCell ref="T83:U83"/>
    <mergeCell ref="V85:X85"/>
    <mergeCell ref="Y85:AD85"/>
    <mergeCell ref="A86:B86"/>
    <mergeCell ref="C86:D86"/>
    <mergeCell ref="E86:J86"/>
    <mergeCell ref="K86:S86"/>
    <mergeCell ref="T86:U86"/>
    <mergeCell ref="V86:X86"/>
    <mergeCell ref="Y86:AD86"/>
    <mergeCell ref="Y87:AD87"/>
    <mergeCell ref="A88:B88"/>
    <mergeCell ref="C88:D88"/>
    <mergeCell ref="E88:J88"/>
    <mergeCell ref="K88:S88"/>
    <mergeCell ref="T88:U88"/>
    <mergeCell ref="V88:X88"/>
    <mergeCell ref="Y88:AD88"/>
    <mergeCell ref="A87:B87"/>
    <mergeCell ref="C87:D87"/>
    <mergeCell ref="E87:J87"/>
    <mergeCell ref="K87:S87"/>
    <mergeCell ref="T87:U87"/>
    <mergeCell ref="V87:X87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9" max="16383" man="1"/>
  </rowBrea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T10" sqref="T10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952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20" t="s">
        <v>17</v>
      </c>
      <c r="L5" s="320" t="s">
        <v>18</v>
      </c>
      <c r="M5" s="320" t="s">
        <v>19</v>
      </c>
      <c r="N5" s="320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0.37461896843103232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953</v>
      </c>
      <c r="D7" s="55" t="s">
        <v>954</v>
      </c>
      <c r="E7" s="56" t="s">
        <v>955</v>
      </c>
      <c r="F7" s="12" t="s">
        <v>139</v>
      </c>
      <c r="G7" s="36">
        <v>4</v>
      </c>
      <c r="H7" s="38">
        <v>25</v>
      </c>
      <c r="I7" s="7">
        <v>2000</v>
      </c>
      <c r="J7" s="14">
        <v>12970</v>
      </c>
      <c r="K7" s="15">
        <f>L7</f>
        <v>12964</v>
      </c>
      <c r="L7" s="15">
        <f>1081*4+2160*4</f>
        <v>12964</v>
      </c>
      <c r="M7" s="16">
        <f t="shared" si="0"/>
        <v>12964</v>
      </c>
      <c r="N7" s="16">
        <v>0</v>
      </c>
      <c r="O7" s="62">
        <f t="shared" si="1"/>
        <v>0</v>
      </c>
      <c r="P7" s="42">
        <f t="shared" si="2"/>
        <v>19</v>
      </c>
      <c r="Q7" s="43">
        <f t="shared" si="3"/>
        <v>5</v>
      </c>
      <c r="R7" s="7"/>
      <c r="S7" s="6"/>
      <c r="T7" s="17"/>
      <c r="U7" s="17"/>
      <c r="V7" s="18"/>
      <c r="W7" s="19">
        <v>5</v>
      </c>
      <c r="X7" s="17"/>
      <c r="Y7" s="20"/>
      <c r="Z7" s="20"/>
      <c r="AA7" s="21"/>
      <c r="AB7" s="8">
        <f t="shared" si="4"/>
        <v>0.99953739398612185</v>
      </c>
      <c r="AC7" s="9">
        <f t="shared" si="5"/>
        <v>0.79166666666666663</v>
      </c>
      <c r="AD7" s="10">
        <f t="shared" si="6"/>
        <v>0.79130043690567975</v>
      </c>
      <c r="AE7" s="39">
        <f t="shared" si="7"/>
        <v>0.37461896843103232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>
        <v>24</v>
      </c>
      <c r="S8" s="6"/>
      <c r="T8" s="17"/>
      <c r="U8" s="17"/>
      <c r="V8" s="18"/>
      <c r="W8" s="19"/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0.37461896843103232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167</v>
      </c>
      <c r="D9" s="55" t="s">
        <v>123</v>
      </c>
      <c r="E9" s="57" t="s">
        <v>834</v>
      </c>
      <c r="F9" s="12" t="s">
        <v>835</v>
      </c>
      <c r="G9" s="12">
        <v>1</v>
      </c>
      <c r="H9" s="13">
        <v>24</v>
      </c>
      <c r="I9" s="34">
        <v>2000</v>
      </c>
      <c r="J9" s="5">
        <v>2120</v>
      </c>
      <c r="K9" s="15">
        <f>L9+947</f>
        <v>3063</v>
      </c>
      <c r="L9" s="15">
        <f>1873+243</f>
        <v>2116</v>
      </c>
      <c r="M9" s="16">
        <f t="shared" si="0"/>
        <v>2116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>
        <v>12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0.99811320754716981</v>
      </c>
      <c r="AC9" s="9">
        <f t="shared" si="5"/>
        <v>0.5</v>
      </c>
      <c r="AD9" s="10">
        <f t="shared" si="6"/>
        <v>0.49905660377358491</v>
      </c>
      <c r="AE9" s="39">
        <f t="shared" si="7"/>
        <v>0.37461896843103232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953</v>
      </c>
      <c r="D10" s="55" t="s">
        <v>956</v>
      </c>
      <c r="E10" s="57" t="s">
        <v>957</v>
      </c>
      <c r="F10" s="12" t="s">
        <v>370</v>
      </c>
      <c r="G10" s="12">
        <v>1</v>
      </c>
      <c r="H10" s="13">
        <v>25</v>
      </c>
      <c r="I10" s="34">
        <v>65000</v>
      </c>
      <c r="J10" s="5">
        <v>44200</v>
      </c>
      <c r="K10" s="15">
        <f>L10</f>
        <v>44160</v>
      </c>
      <c r="L10" s="15">
        <f>1380*32</f>
        <v>44160</v>
      </c>
      <c r="M10" s="16">
        <f t="shared" si="0"/>
        <v>44160</v>
      </c>
      <c r="N10" s="16">
        <v>0</v>
      </c>
      <c r="O10" s="62">
        <f t="shared" si="1"/>
        <v>0</v>
      </c>
      <c r="P10" s="42">
        <f t="shared" si="2"/>
        <v>10</v>
      </c>
      <c r="Q10" s="43">
        <f t="shared" si="3"/>
        <v>14</v>
      </c>
      <c r="R10" s="7">
        <v>14</v>
      </c>
      <c r="S10" s="6"/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0.99909502262443439</v>
      </c>
      <c r="AC10" s="9">
        <f t="shared" si="5"/>
        <v>0.41666666666666669</v>
      </c>
      <c r="AD10" s="10">
        <f t="shared" si="6"/>
        <v>0.41628959276018102</v>
      </c>
      <c r="AE10" s="39">
        <f t="shared" si="7"/>
        <v>0.37461896843103232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643</v>
      </c>
      <c r="D11" s="55" t="s">
        <v>121</v>
      </c>
      <c r="E11" s="57" t="s">
        <v>795</v>
      </c>
      <c r="F11" s="12" t="s">
        <v>796</v>
      </c>
      <c r="G11" s="12">
        <v>1</v>
      </c>
      <c r="H11" s="13">
        <v>25</v>
      </c>
      <c r="I11" s="34">
        <v>4000</v>
      </c>
      <c r="J11" s="14">
        <v>2220</v>
      </c>
      <c r="K11" s="15">
        <f>L11+3949+463+615+2212</f>
        <v>7239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0.37461896843103232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758</v>
      </c>
      <c r="F12" s="12" t="s">
        <v>134</v>
      </c>
      <c r="G12" s="12">
        <v>1</v>
      </c>
      <c r="H12" s="13">
        <v>25</v>
      </c>
      <c r="I12" s="34">
        <v>400</v>
      </c>
      <c r="J12" s="5">
        <v>570</v>
      </c>
      <c r="K12" s="15">
        <f>L12+570</f>
        <v>570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0.37461896843103232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958</v>
      </c>
      <c r="E13" s="57" t="s">
        <v>959</v>
      </c>
      <c r="F13" s="12">
        <v>7301</v>
      </c>
      <c r="G13" s="12">
        <v>1</v>
      </c>
      <c r="H13" s="13">
        <v>25</v>
      </c>
      <c r="I13" s="7">
        <v>6000</v>
      </c>
      <c r="J13" s="14">
        <v>4460</v>
      </c>
      <c r="K13" s="15">
        <f>L13</f>
        <v>4460</v>
      </c>
      <c r="L13" s="15">
        <f>2998+1462</f>
        <v>4460</v>
      </c>
      <c r="M13" s="16">
        <f t="shared" si="0"/>
        <v>4460</v>
      </c>
      <c r="N13" s="16">
        <v>0</v>
      </c>
      <c r="O13" s="62">
        <f t="shared" si="1"/>
        <v>0</v>
      </c>
      <c r="P13" s="42">
        <f t="shared" si="2"/>
        <v>21</v>
      </c>
      <c r="Q13" s="43">
        <f t="shared" si="3"/>
        <v>3</v>
      </c>
      <c r="R13" s="7"/>
      <c r="S13" s="6"/>
      <c r="T13" s="17">
        <v>3</v>
      </c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0.875</v>
      </c>
      <c r="AD13" s="10">
        <f t="shared" si="6"/>
        <v>0.875</v>
      </c>
      <c r="AE13" s="39">
        <f t="shared" si="7"/>
        <v>0.37461896843103232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838</v>
      </c>
      <c r="E14" s="57" t="s">
        <v>907</v>
      </c>
      <c r="F14" s="33" t="s">
        <v>139</v>
      </c>
      <c r="G14" s="36">
        <v>2</v>
      </c>
      <c r="H14" s="38">
        <v>25</v>
      </c>
      <c r="I14" s="7">
        <v>6000</v>
      </c>
      <c r="J14" s="5">
        <v>8500</v>
      </c>
      <c r="K14" s="15">
        <f>L14+4460</f>
        <v>12960</v>
      </c>
      <c r="L14" s="15">
        <f>2307*2+1943*2</f>
        <v>8500</v>
      </c>
      <c r="M14" s="16">
        <f t="shared" si="0"/>
        <v>8500</v>
      </c>
      <c r="N14" s="16">
        <v>0</v>
      </c>
      <c r="O14" s="62">
        <f t="shared" si="1"/>
        <v>0</v>
      </c>
      <c r="P14" s="42">
        <f t="shared" si="2"/>
        <v>22</v>
      </c>
      <c r="Q14" s="43">
        <f t="shared" si="3"/>
        <v>2</v>
      </c>
      <c r="R14" s="7"/>
      <c r="S14" s="6"/>
      <c r="T14" s="17"/>
      <c r="U14" s="17"/>
      <c r="V14" s="18"/>
      <c r="W14" s="19">
        <v>2</v>
      </c>
      <c r="X14" s="17"/>
      <c r="Y14" s="20"/>
      <c r="Z14" s="20"/>
      <c r="AA14" s="21"/>
      <c r="AB14" s="8">
        <f t="shared" si="4"/>
        <v>1</v>
      </c>
      <c r="AC14" s="9">
        <f t="shared" si="5"/>
        <v>0.91666666666666663</v>
      </c>
      <c r="AD14" s="10">
        <f t="shared" si="6"/>
        <v>0.91666666666666663</v>
      </c>
      <c r="AE14" s="39">
        <f t="shared" si="7"/>
        <v>0.37461896843103232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L15+4500</f>
        <v>4500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0.37461896843103232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908</v>
      </c>
      <c r="E16" s="56" t="s">
        <v>909</v>
      </c>
      <c r="F16" s="12">
        <v>7301</v>
      </c>
      <c r="G16" s="36">
        <v>2</v>
      </c>
      <c r="H16" s="38">
        <v>25</v>
      </c>
      <c r="I16" s="7">
        <v>6000</v>
      </c>
      <c r="J16" s="14">
        <v>3380</v>
      </c>
      <c r="K16" s="15">
        <f>L16+6408</f>
        <v>9786</v>
      </c>
      <c r="L16" s="15">
        <f>1689*2</f>
        <v>3378</v>
      </c>
      <c r="M16" s="16">
        <f t="shared" si="0"/>
        <v>3378</v>
      </c>
      <c r="N16" s="16">
        <v>0</v>
      </c>
      <c r="O16" s="62">
        <f t="shared" si="1"/>
        <v>0</v>
      </c>
      <c r="P16" s="42">
        <f t="shared" si="2"/>
        <v>12</v>
      </c>
      <c r="Q16" s="43">
        <f t="shared" si="3"/>
        <v>12</v>
      </c>
      <c r="R16" s="7"/>
      <c r="S16" s="6"/>
      <c r="T16" s="17"/>
      <c r="U16" s="17"/>
      <c r="V16" s="18"/>
      <c r="W16" s="19">
        <v>12</v>
      </c>
      <c r="X16" s="17"/>
      <c r="Y16" s="20"/>
      <c r="Z16" s="20"/>
      <c r="AA16" s="21"/>
      <c r="AB16" s="8">
        <f t="shared" si="4"/>
        <v>0.99940828402366866</v>
      </c>
      <c r="AC16" s="9">
        <f t="shared" si="5"/>
        <v>0.5</v>
      </c>
      <c r="AD16" s="10">
        <f t="shared" si="6"/>
        <v>0.49970414201183433</v>
      </c>
      <c r="AE16" s="39">
        <f t="shared" si="7"/>
        <v>0.37461896843103232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960</v>
      </c>
      <c r="E17" s="56" t="s">
        <v>961</v>
      </c>
      <c r="F17" s="12">
        <v>8301</v>
      </c>
      <c r="G17" s="12">
        <v>1</v>
      </c>
      <c r="H17" s="13">
        <v>25</v>
      </c>
      <c r="I17" s="34">
        <v>6000</v>
      </c>
      <c r="J17" s="5">
        <v>4630</v>
      </c>
      <c r="K17" s="15">
        <f>L17</f>
        <v>4621</v>
      </c>
      <c r="L17" s="15">
        <f>3057+1564</f>
        <v>4621</v>
      </c>
      <c r="M17" s="16">
        <f t="shared" si="0"/>
        <v>4621</v>
      </c>
      <c r="N17" s="16">
        <v>0</v>
      </c>
      <c r="O17" s="62">
        <f t="shared" si="1"/>
        <v>0</v>
      </c>
      <c r="P17" s="42">
        <f t="shared" si="2"/>
        <v>22</v>
      </c>
      <c r="Q17" s="43">
        <f t="shared" si="3"/>
        <v>2</v>
      </c>
      <c r="R17" s="7"/>
      <c r="S17" s="6"/>
      <c r="T17" s="17">
        <v>2</v>
      </c>
      <c r="U17" s="17"/>
      <c r="V17" s="18"/>
      <c r="W17" s="19"/>
      <c r="X17" s="17"/>
      <c r="Y17" s="20"/>
      <c r="Z17" s="20"/>
      <c r="AA17" s="21"/>
      <c r="AB17" s="8">
        <f t="shared" si="4"/>
        <v>0.99805615550755944</v>
      </c>
      <c r="AC17" s="9">
        <f t="shared" si="5"/>
        <v>0.91666666666666663</v>
      </c>
      <c r="AD17" s="10">
        <f t="shared" si="6"/>
        <v>0.91488480921526283</v>
      </c>
      <c r="AE17" s="39">
        <f t="shared" si="7"/>
        <v>0.37461896843103232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62</v>
      </c>
      <c r="D18" s="55" t="s">
        <v>910</v>
      </c>
      <c r="E18" s="56" t="s">
        <v>912</v>
      </c>
      <c r="F18" s="33" t="s">
        <v>913</v>
      </c>
      <c r="G18" s="36">
        <v>1</v>
      </c>
      <c r="H18" s="38">
        <v>25</v>
      </c>
      <c r="I18" s="7">
        <v>2000</v>
      </c>
      <c r="J18" s="5">
        <v>840</v>
      </c>
      <c r="K18" s="15">
        <f>L18+535</f>
        <v>1370</v>
      </c>
      <c r="L18" s="15">
        <f>713+122</f>
        <v>835</v>
      </c>
      <c r="M18" s="16">
        <f t="shared" si="0"/>
        <v>835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>
        <v>18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0.99404761904761907</v>
      </c>
      <c r="AC18" s="9">
        <f t="shared" si="5"/>
        <v>0.25</v>
      </c>
      <c r="AD18" s="10">
        <f t="shared" si="6"/>
        <v>0.24851190476190477</v>
      </c>
      <c r="AE18" s="39">
        <f t="shared" si="7"/>
        <v>0.37461896843103232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122</v>
      </c>
      <c r="D19" s="55" t="s">
        <v>908</v>
      </c>
      <c r="E19" s="57" t="s">
        <v>962</v>
      </c>
      <c r="F19" s="33" t="s">
        <v>915</v>
      </c>
      <c r="G19" s="36">
        <v>1</v>
      </c>
      <c r="H19" s="38">
        <v>25</v>
      </c>
      <c r="I19" s="34">
        <v>1600</v>
      </c>
      <c r="J19" s="5">
        <v>1980</v>
      </c>
      <c r="K19" s="15">
        <f>L19</f>
        <v>1978</v>
      </c>
      <c r="L19" s="15">
        <f>1581+397</f>
        <v>1978</v>
      </c>
      <c r="M19" s="16">
        <f t="shared" si="0"/>
        <v>1978</v>
      </c>
      <c r="N19" s="16">
        <v>0</v>
      </c>
      <c r="O19" s="62">
        <f t="shared" si="1"/>
        <v>0</v>
      </c>
      <c r="P19" s="42">
        <f t="shared" si="2"/>
        <v>11</v>
      </c>
      <c r="Q19" s="43">
        <f t="shared" si="3"/>
        <v>13</v>
      </c>
      <c r="R19" s="7"/>
      <c r="S19" s="6"/>
      <c r="T19" s="17"/>
      <c r="U19" s="17"/>
      <c r="V19" s="18"/>
      <c r="W19" s="19">
        <v>13</v>
      </c>
      <c r="X19" s="17"/>
      <c r="Y19" s="20"/>
      <c r="Z19" s="20"/>
      <c r="AA19" s="21"/>
      <c r="AB19" s="8">
        <f t="shared" si="4"/>
        <v>0.99898989898989898</v>
      </c>
      <c r="AC19" s="9">
        <f t="shared" si="5"/>
        <v>0.45833333333333331</v>
      </c>
      <c r="AD19" s="10">
        <f t="shared" si="6"/>
        <v>0.45787037037037037</v>
      </c>
      <c r="AE19" s="39">
        <f t="shared" si="7"/>
        <v>0.37461896843103232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0.37461896843103232</v>
      </c>
      <c r="AF20" s="94">
        <f t="shared" si="8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9">SUM(I6:I20)</f>
        <v>394000</v>
      </c>
      <c r="J21" s="22">
        <f t="shared" si="9"/>
        <v>128370</v>
      </c>
      <c r="K21" s="23">
        <f t="shared" si="9"/>
        <v>621627</v>
      </c>
      <c r="L21" s="24">
        <f t="shared" si="9"/>
        <v>83012</v>
      </c>
      <c r="M21" s="23">
        <f t="shared" si="9"/>
        <v>83012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135</v>
      </c>
      <c r="Q21" s="46">
        <f t="shared" si="10"/>
        <v>225</v>
      </c>
      <c r="R21" s="26">
        <f t="shared" si="10"/>
        <v>62</v>
      </c>
      <c r="S21" s="27">
        <f t="shared" si="10"/>
        <v>30</v>
      </c>
      <c r="T21" s="27">
        <f t="shared" si="10"/>
        <v>5</v>
      </c>
      <c r="U21" s="27">
        <f t="shared" si="10"/>
        <v>0</v>
      </c>
      <c r="V21" s="28">
        <f t="shared" si="10"/>
        <v>0</v>
      </c>
      <c r="W21" s="29">
        <f t="shared" si="10"/>
        <v>128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0.59914983878176487</v>
      </c>
      <c r="AC21" s="4">
        <f>SUM(AC6:AC20)/15</f>
        <v>0.37499999999999994</v>
      </c>
      <c r="AD21" s="4">
        <f>SUM(AD6:AD20)/15</f>
        <v>0.37461896843103232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963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972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321" t="s">
        <v>47</v>
      </c>
      <c r="D50" s="321" t="s">
        <v>48</v>
      </c>
      <c r="E50" s="321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321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53" t="s">
        <v>929</v>
      </c>
      <c r="B51" s="454"/>
      <c r="C51" s="322" t="s">
        <v>131</v>
      </c>
      <c r="D51" s="323" t="s">
        <v>964</v>
      </c>
      <c r="E51" s="322" t="s">
        <v>959</v>
      </c>
      <c r="F51" s="432" t="s">
        <v>920</v>
      </c>
      <c r="G51" s="432"/>
      <c r="H51" s="432"/>
      <c r="I51" s="432"/>
      <c r="J51" s="432"/>
      <c r="K51" s="432"/>
      <c r="L51" s="432"/>
      <c r="M51" s="446"/>
      <c r="N51" s="324" t="s">
        <v>129</v>
      </c>
      <c r="O51" s="74" t="s">
        <v>812</v>
      </c>
      <c r="P51" s="451" t="s">
        <v>936</v>
      </c>
      <c r="Q51" s="452"/>
      <c r="R51" s="445" t="s">
        <v>937</v>
      </c>
      <c r="S51" s="445"/>
      <c r="T51" s="445"/>
      <c r="U51" s="445"/>
      <c r="V51" s="432" t="s">
        <v>918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53" t="s">
        <v>929</v>
      </c>
      <c r="B52" s="454"/>
      <c r="C52" s="322" t="s">
        <v>965</v>
      </c>
      <c r="D52" s="323" t="s">
        <v>966</v>
      </c>
      <c r="E52" s="322" t="s">
        <v>961</v>
      </c>
      <c r="F52" s="432" t="s">
        <v>920</v>
      </c>
      <c r="G52" s="432"/>
      <c r="H52" s="432"/>
      <c r="I52" s="432"/>
      <c r="J52" s="432"/>
      <c r="K52" s="432"/>
      <c r="L52" s="432"/>
      <c r="M52" s="446"/>
      <c r="N52" s="324" t="s">
        <v>129</v>
      </c>
      <c r="O52" s="74" t="s">
        <v>172</v>
      </c>
      <c r="P52" s="451" t="s">
        <v>973</v>
      </c>
      <c r="Q52" s="452"/>
      <c r="R52" s="445" t="s">
        <v>974</v>
      </c>
      <c r="S52" s="445"/>
      <c r="T52" s="445"/>
      <c r="U52" s="445"/>
      <c r="V52" s="432" t="s">
        <v>329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129</v>
      </c>
      <c r="B53" s="454"/>
      <c r="C53" s="322" t="s">
        <v>172</v>
      </c>
      <c r="D53" s="323" t="s">
        <v>123</v>
      </c>
      <c r="E53" s="323" t="s">
        <v>834</v>
      </c>
      <c r="F53" s="432" t="s">
        <v>967</v>
      </c>
      <c r="G53" s="432"/>
      <c r="H53" s="432"/>
      <c r="I53" s="432"/>
      <c r="J53" s="432"/>
      <c r="K53" s="432"/>
      <c r="L53" s="432"/>
      <c r="M53" s="446"/>
      <c r="N53" s="324" t="s">
        <v>943</v>
      </c>
      <c r="O53" s="74" t="s">
        <v>944</v>
      </c>
      <c r="P53" s="451" t="s">
        <v>945</v>
      </c>
      <c r="Q53" s="452"/>
      <c r="R53" s="445" t="s">
        <v>911</v>
      </c>
      <c r="S53" s="445"/>
      <c r="T53" s="445"/>
      <c r="U53" s="445"/>
      <c r="V53" s="432" t="s">
        <v>195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919</v>
      </c>
      <c r="B54" s="454"/>
      <c r="C54" s="322" t="s">
        <v>501</v>
      </c>
      <c r="D54" s="323" t="s">
        <v>922</v>
      </c>
      <c r="E54" s="322" t="s">
        <v>912</v>
      </c>
      <c r="F54" s="432" t="s">
        <v>968</v>
      </c>
      <c r="G54" s="432"/>
      <c r="H54" s="432"/>
      <c r="I54" s="432"/>
      <c r="J54" s="432"/>
      <c r="K54" s="432"/>
      <c r="L54" s="432"/>
      <c r="M54" s="446"/>
      <c r="N54" s="324" t="s">
        <v>975</v>
      </c>
      <c r="O54" s="74" t="s">
        <v>389</v>
      </c>
      <c r="P54" s="451" t="s">
        <v>958</v>
      </c>
      <c r="Q54" s="452"/>
      <c r="R54" s="445" t="s">
        <v>976</v>
      </c>
      <c r="S54" s="445"/>
      <c r="T54" s="445"/>
      <c r="U54" s="445"/>
      <c r="V54" s="432" t="s">
        <v>329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929</v>
      </c>
      <c r="B55" s="454"/>
      <c r="C55" s="322" t="s">
        <v>969</v>
      </c>
      <c r="D55" s="323" t="s">
        <v>908</v>
      </c>
      <c r="E55" s="322" t="s">
        <v>962</v>
      </c>
      <c r="F55" s="432" t="s">
        <v>928</v>
      </c>
      <c r="G55" s="432"/>
      <c r="H55" s="432"/>
      <c r="I55" s="432"/>
      <c r="J55" s="432"/>
      <c r="K55" s="432"/>
      <c r="L55" s="432"/>
      <c r="M55" s="446"/>
      <c r="N55" s="324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 t="s">
        <v>129</v>
      </c>
      <c r="B56" s="445"/>
      <c r="C56" s="323" t="s">
        <v>225</v>
      </c>
      <c r="D56" s="323" t="s">
        <v>970</v>
      </c>
      <c r="E56" s="322" t="s">
        <v>957</v>
      </c>
      <c r="F56" s="432" t="s">
        <v>971</v>
      </c>
      <c r="G56" s="432"/>
      <c r="H56" s="432"/>
      <c r="I56" s="432"/>
      <c r="J56" s="432"/>
      <c r="K56" s="432"/>
      <c r="L56" s="432"/>
      <c r="M56" s="446"/>
      <c r="N56" s="324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323"/>
      <c r="D57" s="323"/>
      <c r="E57" s="322"/>
      <c r="F57" s="432"/>
      <c r="G57" s="432"/>
      <c r="H57" s="432"/>
      <c r="I57" s="432"/>
      <c r="J57" s="432"/>
      <c r="K57" s="432"/>
      <c r="L57" s="432"/>
      <c r="M57" s="446"/>
      <c r="N57" s="324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322"/>
      <c r="D58" s="323"/>
      <c r="E58" s="322"/>
      <c r="F58" s="432"/>
      <c r="G58" s="432"/>
      <c r="H58" s="432"/>
      <c r="I58" s="432"/>
      <c r="J58" s="432"/>
      <c r="K58" s="432"/>
      <c r="L58" s="432"/>
      <c r="M58" s="446"/>
      <c r="N58" s="324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323"/>
      <c r="D59" s="323"/>
      <c r="E59" s="323"/>
      <c r="F59" s="432"/>
      <c r="G59" s="432"/>
      <c r="H59" s="432"/>
      <c r="I59" s="432"/>
      <c r="J59" s="432"/>
      <c r="K59" s="432"/>
      <c r="L59" s="432"/>
      <c r="M59" s="446"/>
      <c r="N59" s="324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326"/>
      <c r="D60" s="326"/>
      <c r="E60" s="326"/>
      <c r="F60" s="449"/>
      <c r="G60" s="449"/>
      <c r="H60" s="449"/>
      <c r="I60" s="449"/>
      <c r="J60" s="449"/>
      <c r="K60" s="449"/>
      <c r="L60" s="449"/>
      <c r="M60" s="450"/>
      <c r="N60" s="325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977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327" t="s">
        <v>2</v>
      </c>
      <c r="D62" s="327" t="s">
        <v>38</v>
      </c>
      <c r="E62" s="327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327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6.25" customHeight="1">
      <c r="A63" s="429">
        <v>1</v>
      </c>
      <c r="B63" s="430"/>
      <c r="C63" s="329"/>
      <c r="D63" s="331"/>
      <c r="E63" s="328"/>
      <c r="F63" s="421"/>
      <c r="G63" s="421"/>
      <c r="H63" s="421"/>
      <c r="I63" s="421"/>
      <c r="J63" s="421"/>
      <c r="K63" s="421"/>
      <c r="L63" s="421"/>
      <c r="M63" s="54"/>
      <c r="N63" s="421"/>
      <c r="O63" s="421"/>
      <c r="P63" s="431"/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6.25" customHeight="1">
      <c r="A64" s="429">
        <v>2</v>
      </c>
      <c r="B64" s="430"/>
      <c r="C64" s="329"/>
      <c r="D64" s="331"/>
      <c r="E64" s="328"/>
      <c r="F64" s="496"/>
      <c r="G64" s="421"/>
      <c r="H64" s="421"/>
      <c r="I64" s="421"/>
      <c r="J64" s="421"/>
      <c r="K64" s="441"/>
      <c r="L64" s="441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6.25" customHeight="1">
      <c r="A65" s="429">
        <v>3</v>
      </c>
      <c r="B65" s="430"/>
      <c r="C65" s="329"/>
      <c r="D65" s="331"/>
      <c r="E65" s="328"/>
      <c r="F65" s="496"/>
      <c r="G65" s="421"/>
      <c r="H65" s="421"/>
      <c r="I65" s="421"/>
      <c r="J65" s="421"/>
      <c r="K65" s="441"/>
      <c r="L65" s="441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6.25" customHeight="1">
      <c r="A66" s="429">
        <v>4</v>
      </c>
      <c r="B66" s="430"/>
      <c r="C66" s="329"/>
      <c r="D66" s="331"/>
      <c r="E66" s="328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6.25" customHeight="1">
      <c r="A67" s="429">
        <v>5</v>
      </c>
      <c r="B67" s="430"/>
      <c r="C67" s="329"/>
      <c r="D67" s="331"/>
      <c r="E67" s="328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39" customHeight="1">
      <c r="A68" s="429">
        <v>6</v>
      </c>
      <c r="B68" s="430"/>
      <c r="C68" s="329"/>
      <c r="D68" s="331"/>
      <c r="E68" s="328"/>
      <c r="F68" s="496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39" customHeight="1">
      <c r="A69" s="429">
        <v>7</v>
      </c>
      <c r="B69" s="430"/>
      <c r="C69" s="329"/>
      <c r="D69" s="331"/>
      <c r="E69" s="328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39" customHeight="1">
      <c r="A70" s="429">
        <v>8</v>
      </c>
      <c r="B70" s="430"/>
      <c r="C70" s="329"/>
      <c r="D70" s="331"/>
      <c r="E70" s="328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978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330" t="s">
        <v>2</v>
      </c>
      <c r="D72" s="330" t="s">
        <v>38</v>
      </c>
      <c r="E72" s="330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332" t="s">
        <v>62</v>
      </c>
      <c r="D73" s="332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331" t="s">
        <v>129</v>
      </c>
      <c r="D74" s="331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1">A74+1</f>
        <v>3</v>
      </c>
      <c r="B75" s="393"/>
      <c r="C75" s="331" t="s">
        <v>62</v>
      </c>
      <c r="D75" s="331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1"/>
        <v>4</v>
      </c>
      <c r="B76" s="393"/>
      <c r="C76" s="331" t="s">
        <v>62</v>
      </c>
      <c r="D76" s="331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1"/>
        <v>5</v>
      </c>
      <c r="B77" s="393"/>
      <c r="C77" s="331" t="s">
        <v>62</v>
      </c>
      <c r="D77" s="331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1"/>
        <v>6</v>
      </c>
      <c r="B78" s="393"/>
      <c r="C78" s="331" t="s">
        <v>129</v>
      </c>
      <c r="D78" s="331"/>
      <c r="E78" s="35" t="s">
        <v>123</v>
      </c>
      <c r="F78" s="393" t="s">
        <v>253</v>
      </c>
      <c r="G78" s="393"/>
      <c r="H78" s="393"/>
      <c r="I78" s="393"/>
      <c r="J78" s="393"/>
      <c r="K78" s="402" t="s">
        <v>979</v>
      </c>
      <c r="L78" s="403"/>
      <c r="M78" s="403"/>
      <c r="N78" s="403"/>
      <c r="O78" s="403"/>
      <c r="P78" s="403"/>
      <c r="Q78" s="403"/>
      <c r="R78" s="403"/>
      <c r="S78" s="404"/>
      <c r="T78" s="405">
        <v>42819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1"/>
        <v>7</v>
      </c>
      <c r="B79" s="393"/>
      <c r="C79" s="331"/>
      <c r="D79" s="331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1"/>
        <v>8</v>
      </c>
      <c r="B80" s="393"/>
      <c r="C80" s="331"/>
      <c r="D80" s="331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1"/>
        <v>9</v>
      </c>
      <c r="B81" s="393"/>
      <c r="C81" s="331"/>
      <c r="D81" s="331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980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K67" sqref="K67:L67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981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45" t="s">
        <v>17</v>
      </c>
      <c r="L5" s="345" t="s">
        <v>18</v>
      </c>
      <c r="M5" s="345" t="s">
        <v>19</v>
      </c>
      <c r="N5" s="345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 t="shared" ref="AE6:AE20" si="7">$AD$21</f>
        <v>0.368961467070338</v>
      </c>
      <c r="AF6" s="94">
        <f t="shared" ref="AF6:AF20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156</v>
      </c>
      <c r="E7" s="56" t="s">
        <v>982</v>
      </c>
      <c r="F7" s="12">
        <v>7301</v>
      </c>
      <c r="G7" s="36">
        <v>1</v>
      </c>
      <c r="H7" s="38">
        <v>25</v>
      </c>
      <c r="I7" s="7">
        <v>3000</v>
      </c>
      <c r="J7" s="14">
        <v>2510</v>
      </c>
      <c r="K7" s="15">
        <f>L7</f>
        <v>2503</v>
      </c>
      <c r="L7" s="15">
        <f>2155+348</f>
        <v>2503</v>
      </c>
      <c r="M7" s="16">
        <f t="shared" si="0"/>
        <v>2503</v>
      </c>
      <c r="N7" s="16">
        <v>0</v>
      </c>
      <c r="O7" s="62">
        <f t="shared" si="1"/>
        <v>0</v>
      </c>
      <c r="P7" s="42">
        <f t="shared" si="2"/>
        <v>18</v>
      </c>
      <c r="Q7" s="43">
        <f t="shared" si="3"/>
        <v>6</v>
      </c>
      <c r="R7" s="7"/>
      <c r="S7" s="6">
        <v>6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0.99721115537848604</v>
      </c>
      <c r="AC7" s="9">
        <f t="shared" si="5"/>
        <v>0.75</v>
      </c>
      <c r="AD7" s="10">
        <f t="shared" si="6"/>
        <v>0.7479083665338645</v>
      </c>
      <c r="AE7" s="39">
        <f t="shared" si="7"/>
        <v>0.368961467070338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0.368961467070338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167</v>
      </c>
      <c r="D9" s="55" t="s">
        <v>983</v>
      </c>
      <c r="E9" s="57" t="s">
        <v>984</v>
      </c>
      <c r="F9" s="12" t="s">
        <v>985</v>
      </c>
      <c r="G9" s="12">
        <v>1</v>
      </c>
      <c r="H9" s="13">
        <v>24</v>
      </c>
      <c r="I9" s="34">
        <v>17000</v>
      </c>
      <c r="J9" s="5">
        <v>2860</v>
      </c>
      <c r="K9" s="15">
        <f>L9</f>
        <v>2857</v>
      </c>
      <c r="L9" s="15">
        <f>915+1942</f>
        <v>2857</v>
      </c>
      <c r="M9" s="16">
        <f t="shared" si="0"/>
        <v>2857</v>
      </c>
      <c r="N9" s="16">
        <v>0</v>
      </c>
      <c r="O9" s="62">
        <f t="shared" si="1"/>
        <v>0</v>
      </c>
      <c r="P9" s="42">
        <f t="shared" si="2"/>
        <v>19</v>
      </c>
      <c r="Q9" s="43">
        <f t="shared" si="3"/>
        <v>5</v>
      </c>
      <c r="R9" s="7"/>
      <c r="S9" s="6">
        <v>5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0.99895104895104891</v>
      </c>
      <c r="AC9" s="9">
        <f t="shared" si="5"/>
        <v>0.79166666666666663</v>
      </c>
      <c r="AD9" s="10">
        <f t="shared" si="6"/>
        <v>0.790836247086247</v>
      </c>
      <c r="AE9" s="39">
        <f t="shared" si="7"/>
        <v>0.368961467070338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953</v>
      </c>
      <c r="D10" s="55" t="s">
        <v>956</v>
      </c>
      <c r="E10" s="57" t="s">
        <v>957</v>
      </c>
      <c r="F10" s="12" t="s">
        <v>370</v>
      </c>
      <c r="G10" s="12">
        <v>1</v>
      </c>
      <c r="H10" s="13">
        <v>25</v>
      </c>
      <c r="I10" s="34">
        <v>65000</v>
      </c>
      <c r="J10" s="5">
        <v>128130</v>
      </c>
      <c r="K10" s="15">
        <f>L10+44160</f>
        <v>172288</v>
      </c>
      <c r="L10" s="15">
        <f>1560*32+2444*32</f>
        <v>128128</v>
      </c>
      <c r="M10" s="16">
        <f t="shared" si="0"/>
        <v>128128</v>
      </c>
      <c r="N10" s="16">
        <v>0</v>
      </c>
      <c r="O10" s="62">
        <f t="shared" si="1"/>
        <v>0</v>
      </c>
      <c r="P10" s="42">
        <f t="shared" si="2"/>
        <v>22</v>
      </c>
      <c r="Q10" s="43">
        <f t="shared" si="3"/>
        <v>2</v>
      </c>
      <c r="R10" s="7"/>
      <c r="S10" s="6"/>
      <c r="T10" s="17"/>
      <c r="U10" s="17"/>
      <c r="V10" s="18">
        <v>2</v>
      </c>
      <c r="W10" s="19"/>
      <c r="X10" s="17"/>
      <c r="Y10" s="20"/>
      <c r="Z10" s="20"/>
      <c r="AA10" s="21"/>
      <c r="AB10" s="8">
        <f t="shared" si="4"/>
        <v>0.99998439085303992</v>
      </c>
      <c r="AC10" s="9">
        <f t="shared" si="5"/>
        <v>0.91666666666666663</v>
      </c>
      <c r="AD10" s="10">
        <f t="shared" si="6"/>
        <v>0.91665235828195324</v>
      </c>
      <c r="AE10" s="39">
        <f t="shared" si="7"/>
        <v>0.368961467070338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986</v>
      </c>
      <c r="E11" s="57" t="s">
        <v>987</v>
      </c>
      <c r="F11" s="12" t="s">
        <v>988</v>
      </c>
      <c r="G11" s="12">
        <v>1</v>
      </c>
      <c r="H11" s="13">
        <v>25</v>
      </c>
      <c r="I11" s="34">
        <v>1600</v>
      </c>
      <c r="J11" s="14">
        <v>2240</v>
      </c>
      <c r="K11" s="15">
        <f>L11</f>
        <v>2237</v>
      </c>
      <c r="L11" s="15">
        <f>1578+659</f>
        <v>2237</v>
      </c>
      <c r="M11" s="16">
        <f t="shared" si="0"/>
        <v>2237</v>
      </c>
      <c r="N11" s="16">
        <v>0</v>
      </c>
      <c r="O11" s="62">
        <f t="shared" si="1"/>
        <v>0</v>
      </c>
      <c r="P11" s="42">
        <f t="shared" si="2"/>
        <v>14</v>
      </c>
      <c r="Q11" s="43">
        <f t="shared" si="3"/>
        <v>10</v>
      </c>
      <c r="R11" s="7"/>
      <c r="S11" s="6"/>
      <c r="T11" s="17"/>
      <c r="U11" s="17"/>
      <c r="V11" s="18"/>
      <c r="W11" s="19">
        <v>10</v>
      </c>
      <c r="X11" s="17"/>
      <c r="Y11" s="20"/>
      <c r="Z11" s="20"/>
      <c r="AA11" s="21"/>
      <c r="AB11" s="8">
        <f t="shared" si="4"/>
        <v>0.99866071428571423</v>
      </c>
      <c r="AC11" s="9">
        <f t="shared" si="5"/>
        <v>0.58333333333333337</v>
      </c>
      <c r="AD11" s="10">
        <f t="shared" si="6"/>
        <v>0.5825520833333333</v>
      </c>
      <c r="AE11" s="39">
        <f t="shared" si="7"/>
        <v>0.368961467070338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758</v>
      </c>
      <c r="F12" s="12" t="s">
        <v>134</v>
      </c>
      <c r="G12" s="12">
        <v>1</v>
      </c>
      <c r="H12" s="13">
        <v>25</v>
      </c>
      <c r="I12" s="34">
        <v>400</v>
      </c>
      <c r="J12" s="5">
        <v>570</v>
      </c>
      <c r="K12" s="15">
        <f>L12+570</f>
        <v>570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0.368961467070338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122</v>
      </c>
      <c r="D13" s="55" t="s">
        <v>156</v>
      </c>
      <c r="E13" s="57" t="s">
        <v>959</v>
      </c>
      <c r="F13" s="12">
        <v>7301</v>
      </c>
      <c r="G13" s="12">
        <v>1</v>
      </c>
      <c r="H13" s="13">
        <v>25</v>
      </c>
      <c r="I13" s="7">
        <v>6000</v>
      </c>
      <c r="J13" s="14">
        <v>4270</v>
      </c>
      <c r="K13" s="15">
        <f>L13+4460</f>
        <v>8729</v>
      </c>
      <c r="L13" s="15">
        <f>2503+1766</f>
        <v>4269</v>
      </c>
      <c r="M13" s="16">
        <f t="shared" si="0"/>
        <v>4269</v>
      </c>
      <c r="N13" s="16">
        <v>0</v>
      </c>
      <c r="O13" s="62">
        <f t="shared" si="1"/>
        <v>0</v>
      </c>
      <c r="P13" s="42">
        <f t="shared" si="2"/>
        <v>24</v>
      </c>
      <c r="Q13" s="43">
        <f t="shared" si="3"/>
        <v>0</v>
      </c>
      <c r="R13" s="7"/>
      <c r="S13" s="6"/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0.99976580796252923</v>
      </c>
      <c r="AC13" s="9">
        <f t="shared" si="5"/>
        <v>1</v>
      </c>
      <c r="AD13" s="10">
        <f t="shared" si="6"/>
        <v>0.99976580796252923</v>
      </c>
      <c r="AE13" s="39">
        <f t="shared" si="7"/>
        <v>0.368961467070338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989</v>
      </c>
      <c r="D14" s="55" t="s">
        <v>221</v>
      </c>
      <c r="E14" s="57" t="s">
        <v>990</v>
      </c>
      <c r="F14" s="33" t="s">
        <v>139</v>
      </c>
      <c r="G14" s="36">
        <v>1</v>
      </c>
      <c r="H14" s="38">
        <v>25</v>
      </c>
      <c r="I14" s="7">
        <v>11000</v>
      </c>
      <c r="J14" s="5">
        <v>5000</v>
      </c>
      <c r="K14" s="15">
        <f>L14</f>
        <v>4993</v>
      </c>
      <c r="L14" s="15">
        <f>2857+2136</f>
        <v>4993</v>
      </c>
      <c r="M14" s="16">
        <f t="shared" si="0"/>
        <v>4993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0.99860000000000004</v>
      </c>
      <c r="AC14" s="9">
        <f t="shared" si="5"/>
        <v>1</v>
      </c>
      <c r="AD14" s="10">
        <f t="shared" si="6"/>
        <v>0.99860000000000004</v>
      </c>
      <c r="AE14" s="39">
        <f t="shared" si="7"/>
        <v>0.368961467070338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L15+4500</f>
        <v>4500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0.368961467070338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122</v>
      </c>
      <c r="D16" s="55" t="s">
        <v>761</v>
      </c>
      <c r="E16" s="56" t="s">
        <v>909</v>
      </c>
      <c r="F16" s="12">
        <v>7301</v>
      </c>
      <c r="G16" s="36">
        <v>2</v>
      </c>
      <c r="H16" s="38">
        <v>25</v>
      </c>
      <c r="I16" s="7">
        <v>6000</v>
      </c>
      <c r="J16" s="14">
        <v>3380</v>
      </c>
      <c r="K16" s="15">
        <f>L16+6408+3378</f>
        <v>9786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12</v>
      </c>
      <c r="R16" s="7"/>
      <c r="S16" s="6"/>
      <c r="T16" s="17"/>
      <c r="U16" s="17"/>
      <c r="V16" s="18"/>
      <c r="W16" s="19">
        <v>12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 t="shared" si="7"/>
        <v>0.368961467070338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960</v>
      </c>
      <c r="E17" s="56" t="s">
        <v>961</v>
      </c>
      <c r="F17" s="12">
        <v>8301</v>
      </c>
      <c r="G17" s="12">
        <v>1</v>
      </c>
      <c r="H17" s="13">
        <v>25</v>
      </c>
      <c r="I17" s="34">
        <v>6000</v>
      </c>
      <c r="J17" s="5">
        <v>1750</v>
      </c>
      <c r="K17" s="15">
        <f>L17+4621</f>
        <v>6368</v>
      </c>
      <c r="L17" s="15">
        <v>1747</v>
      </c>
      <c r="M17" s="16">
        <f t="shared" si="0"/>
        <v>1747</v>
      </c>
      <c r="N17" s="16">
        <v>0</v>
      </c>
      <c r="O17" s="62">
        <f t="shared" si="1"/>
        <v>0</v>
      </c>
      <c r="P17" s="42">
        <f t="shared" si="2"/>
        <v>9</v>
      </c>
      <c r="Q17" s="43">
        <f t="shared" si="3"/>
        <v>15</v>
      </c>
      <c r="R17" s="7"/>
      <c r="S17" s="6"/>
      <c r="T17" s="17"/>
      <c r="U17" s="17"/>
      <c r="V17" s="18"/>
      <c r="W17" s="19">
        <v>15</v>
      </c>
      <c r="X17" s="17"/>
      <c r="Y17" s="20"/>
      <c r="Z17" s="20"/>
      <c r="AA17" s="21"/>
      <c r="AB17" s="8">
        <f t="shared" si="4"/>
        <v>0.99828571428571433</v>
      </c>
      <c r="AC17" s="9">
        <f t="shared" si="5"/>
        <v>0.375</v>
      </c>
      <c r="AD17" s="10">
        <f t="shared" si="6"/>
        <v>0.37435714285714289</v>
      </c>
      <c r="AE17" s="39">
        <f t="shared" si="7"/>
        <v>0.368961467070338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62</v>
      </c>
      <c r="D18" s="55" t="s">
        <v>910</v>
      </c>
      <c r="E18" s="56" t="s">
        <v>912</v>
      </c>
      <c r="F18" s="33" t="s">
        <v>151</v>
      </c>
      <c r="G18" s="36">
        <v>1</v>
      </c>
      <c r="H18" s="38">
        <v>25</v>
      </c>
      <c r="I18" s="7">
        <v>2000</v>
      </c>
      <c r="J18" s="5">
        <v>300</v>
      </c>
      <c r="K18" s="15">
        <f>L18+535+835</f>
        <v>1667</v>
      </c>
      <c r="L18" s="15">
        <f>297</f>
        <v>297</v>
      </c>
      <c r="M18" s="16">
        <f t="shared" si="0"/>
        <v>297</v>
      </c>
      <c r="N18" s="16">
        <v>0</v>
      </c>
      <c r="O18" s="62">
        <f t="shared" si="1"/>
        <v>0</v>
      </c>
      <c r="P18" s="42">
        <f t="shared" si="2"/>
        <v>3</v>
      </c>
      <c r="Q18" s="43">
        <f t="shared" si="3"/>
        <v>21</v>
      </c>
      <c r="R18" s="7"/>
      <c r="S18" s="6">
        <v>21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</v>
      </c>
      <c r="AC18" s="9">
        <f t="shared" si="5"/>
        <v>0.125</v>
      </c>
      <c r="AD18" s="10">
        <f t="shared" si="6"/>
        <v>0.12375</v>
      </c>
      <c r="AE18" s="39">
        <f t="shared" si="7"/>
        <v>0.368961467070338</v>
      </c>
      <c r="AF18" s="94">
        <f t="shared" si="8"/>
        <v>13</v>
      </c>
    </row>
    <row r="19" spans="1:32" ht="27" customHeight="1">
      <c r="A19" s="110">
        <v>14</v>
      </c>
      <c r="B19" s="11" t="s">
        <v>59</v>
      </c>
      <c r="C19" s="37" t="s">
        <v>122</v>
      </c>
      <c r="D19" s="55" t="s">
        <v>761</v>
      </c>
      <c r="E19" s="57" t="s">
        <v>962</v>
      </c>
      <c r="F19" s="33" t="s">
        <v>769</v>
      </c>
      <c r="G19" s="36">
        <v>1</v>
      </c>
      <c r="H19" s="38">
        <v>25</v>
      </c>
      <c r="I19" s="34">
        <v>1600</v>
      </c>
      <c r="J19" s="5">
        <v>1980</v>
      </c>
      <c r="K19" s="15">
        <f>L19+1978</f>
        <v>1978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13</v>
      </c>
      <c r="R19" s="7"/>
      <c r="S19" s="6"/>
      <c r="T19" s="17"/>
      <c r="U19" s="17"/>
      <c r="V19" s="18"/>
      <c r="W19" s="19">
        <v>13</v>
      </c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 t="shared" si="7"/>
        <v>0.368961467070338</v>
      </c>
      <c r="AF19" s="94">
        <f t="shared" si="8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143</v>
      </c>
      <c r="E20" s="56"/>
      <c r="F20" s="12" t="s">
        <v>120</v>
      </c>
      <c r="G20" s="12">
        <v>4</v>
      </c>
      <c r="H20" s="38">
        <v>20</v>
      </c>
      <c r="I20" s="7">
        <v>200000</v>
      </c>
      <c r="J20" s="14">
        <v>35770</v>
      </c>
      <c r="K20" s="15">
        <f>L20+40636+52572+50384+54156+47100+55408+54312+54884+35764</f>
        <v>445216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/>
      <c r="T20" s="17"/>
      <c r="U20" s="17"/>
      <c r="V20" s="18"/>
      <c r="W20" s="19">
        <v>24</v>
      </c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 t="shared" si="7"/>
        <v>0.368961467070338</v>
      </c>
      <c r="AF20" s="94">
        <f t="shared" si="8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 t="shared" ref="I21:N21" si="9">SUM(I6:I20)</f>
        <v>412600</v>
      </c>
      <c r="J21" s="22">
        <f t="shared" si="9"/>
        <v>195490</v>
      </c>
      <c r="K21" s="23">
        <f t="shared" si="9"/>
        <v>732432</v>
      </c>
      <c r="L21" s="24">
        <f t="shared" si="9"/>
        <v>147031</v>
      </c>
      <c r="M21" s="23">
        <f t="shared" si="9"/>
        <v>147031</v>
      </c>
      <c r="N21" s="24">
        <f t="shared" si="9"/>
        <v>0</v>
      </c>
      <c r="O21" s="44">
        <f t="shared" si="1"/>
        <v>0</v>
      </c>
      <c r="P21" s="45">
        <f t="shared" ref="P21:AA21" si="10">SUM(P6:P20)</f>
        <v>133</v>
      </c>
      <c r="Q21" s="46">
        <f t="shared" si="10"/>
        <v>204</v>
      </c>
      <c r="R21" s="26">
        <f t="shared" si="10"/>
        <v>24</v>
      </c>
      <c r="S21" s="27">
        <f t="shared" si="10"/>
        <v>32</v>
      </c>
      <c r="T21" s="27">
        <f t="shared" si="10"/>
        <v>0</v>
      </c>
      <c r="U21" s="27">
        <f t="shared" si="10"/>
        <v>0</v>
      </c>
      <c r="V21" s="28">
        <f t="shared" si="10"/>
        <v>2</v>
      </c>
      <c r="W21" s="29">
        <f t="shared" si="10"/>
        <v>146</v>
      </c>
      <c r="X21" s="30">
        <f t="shared" si="10"/>
        <v>0</v>
      </c>
      <c r="Y21" s="30">
        <f t="shared" si="10"/>
        <v>0</v>
      </c>
      <c r="Z21" s="30">
        <f t="shared" si="10"/>
        <v>0</v>
      </c>
      <c r="AA21" s="30">
        <f t="shared" si="10"/>
        <v>0</v>
      </c>
      <c r="AB21" s="31">
        <f>SUM(AB6:AB20)/15</f>
        <v>0.53209725544776876</v>
      </c>
      <c r="AC21" s="4">
        <f>SUM(AC6:AC20)/15</f>
        <v>0.36944444444444441</v>
      </c>
      <c r="AD21" s="4">
        <f>SUM(AD6:AD20)/15</f>
        <v>0.368961467070338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991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1000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344" t="s">
        <v>47</v>
      </c>
      <c r="D50" s="344" t="s">
        <v>48</v>
      </c>
      <c r="E50" s="344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344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53" t="s">
        <v>167</v>
      </c>
      <c r="B51" s="454"/>
      <c r="C51" s="343" t="s">
        <v>237</v>
      </c>
      <c r="D51" s="340" t="s">
        <v>992</v>
      </c>
      <c r="E51" s="343" t="s">
        <v>984</v>
      </c>
      <c r="F51" s="432" t="s">
        <v>993</v>
      </c>
      <c r="G51" s="432"/>
      <c r="H51" s="432"/>
      <c r="I51" s="432"/>
      <c r="J51" s="432"/>
      <c r="K51" s="432"/>
      <c r="L51" s="432"/>
      <c r="M51" s="446"/>
      <c r="N51" s="339" t="s">
        <v>129</v>
      </c>
      <c r="O51" s="74" t="s">
        <v>172</v>
      </c>
      <c r="P51" s="451" t="s">
        <v>973</v>
      </c>
      <c r="Q51" s="452"/>
      <c r="R51" s="445" t="s">
        <v>974</v>
      </c>
      <c r="S51" s="445"/>
      <c r="T51" s="445"/>
      <c r="U51" s="445"/>
      <c r="V51" s="432" t="s">
        <v>994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44" t="s">
        <v>129</v>
      </c>
      <c r="B52" s="445"/>
      <c r="C52" s="340" t="s">
        <v>206</v>
      </c>
      <c r="D52" s="340" t="s">
        <v>970</v>
      </c>
      <c r="E52" s="343" t="s">
        <v>957</v>
      </c>
      <c r="F52" s="432" t="s">
        <v>994</v>
      </c>
      <c r="G52" s="432"/>
      <c r="H52" s="432"/>
      <c r="I52" s="432"/>
      <c r="J52" s="432"/>
      <c r="K52" s="432"/>
      <c r="L52" s="432"/>
      <c r="M52" s="446"/>
      <c r="N52" s="339" t="s">
        <v>129</v>
      </c>
      <c r="O52" s="74" t="s">
        <v>206</v>
      </c>
      <c r="P52" s="451" t="s">
        <v>1001</v>
      </c>
      <c r="Q52" s="452"/>
      <c r="R52" s="445" t="s">
        <v>1002</v>
      </c>
      <c r="S52" s="445"/>
      <c r="T52" s="445"/>
      <c r="U52" s="445"/>
      <c r="V52" s="432" t="s">
        <v>329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919</v>
      </c>
      <c r="B53" s="454"/>
      <c r="C53" s="343" t="s">
        <v>380</v>
      </c>
      <c r="D53" s="340" t="s">
        <v>922</v>
      </c>
      <c r="E53" s="343" t="s">
        <v>912</v>
      </c>
      <c r="F53" s="432" t="s">
        <v>968</v>
      </c>
      <c r="G53" s="432"/>
      <c r="H53" s="432"/>
      <c r="I53" s="432"/>
      <c r="J53" s="432"/>
      <c r="K53" s="432"/>
      <c r="L53" s="432"/>
      <c r="M53" s="446"/>
      <c r="N53" s="339" t="s">
        <v>1003</v>
      </c>
      <c r="O53" s="74" t="s">
        <v>268</v>
      </c>
      <c r="P53" s="451" t="s">
        <v>183</v>
      </c>
      <c r="Q53" s="452"/>
      <c r="R53" s="445" t="s">
        <v>1004</v>
      </c>
      <c r="S53" s="445"/>
      <c r="T53" s="445"/>
      <c r="U53" s="445"/>
      <c r="V53" s="432" t="s">
        <v>997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995</v>
      </c>
      <c r="B54" s="454"/>
      <c r="C54" s="343" t="s">
        <v>193</v>
      </c>
      <c r="D54" s="340" t="s">
        <v>996</v>
      </c>
      <c r="E54" s="343" t="s">
        <v>987</v>
      </c>
      <c r="F54" s="432" t="s">
        <v>997</v>
      </c>
      <c r="G54" s="432"/>
      <c r="H54" s="432"/>
      <c r="I54" s="432"/>
      <c r="J54" s="432"/>
      <c r="K54" s="432"/>
      <c r="L54" s="432"/>
      <c r="M54" s="446"/>
      <c r="N54" s="339" t="s">
        <v>167</v>
      </c>
      <c r="O54" s="74" t="s">
        <v>199</v>
      </c>
      <c r="P54" s="451" t="s">
        <v>1005</v>
      </c>
      <c r="Q54" s="452"/>
      <c r="R54" s="445" t="s">
        <v>184</v>
      </c>
      <c r="S54" s="445"/>
      <c r="T54" s="445"/>
      <c r="U54" s="445"/>
      <c r="V54" s="432" t="s">
        <v>202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122</v>
      </c>
      <c r="B55" s="454"/>
      <c r="C55" s="343" t="s">
        <v>389</v>
      </c>
      <c r="D55" s="340" t="s">
        <v>998</v>
      </c>
      <c r="E55" s="343" t="s">
        <v>982</v>
      </c>
      <c r="F55" s="432" t="s">
        <v>999</v>
      </c>
      <c r="G55" s="432"/>
      <c r="H55" s="432"/>
      <c r="I55" s="432"/>
      <c r="J55" s="432"/>
      <c r="K55" s="432"/>
      <c r="L55" s="432"/>
      <c r="M55" s="446"/>
      <c r="N55" s="339" t="s">
        <v>167</v>
      </c>
      <c r="O55" s="74" t="s">
        <v>1006</v>
      </c>
      <c r="P55" s="451" t="s">
        <v>1007</v>
      </c>
      <c r="Q55" s="452"/>
      <c r="R55" s="445" t="s">
        <v>1008</v>
      </c>
      <c r="S55" s="445"/>
      <c r="T55" s="445"/>
      <c r="U55" s="445"/>
      <c r="V55" s="432" t="s">
        <v>202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/>
      <c r="B56" s="445"/>
      <c r="C56" s="340"/>
      <c r="D56" s="340"/>
      <c r="E56" s="343"/>
      <c r="F56" s="432"/>
      <c r="G56" s="432"/>
      <c r="H56" s="432"/>
      <c r="I56" s="432"/>
      <c r="J56" s="432"/>
      <c r="K56" s="432"/>
      <c r="L56" s="432"/>
      <c r="M56" s="446"/>
      <c r="N56" s="339" t="s">
        <v>167</v>
      </c>
      <c r="O56" s="74" t="s">
        <v>1009</v>
      </c>
      <c r="P56" s="445" t="s">
        <v>1010</v>
      </c>
      <c r="Q56" s="445"/>
      <c r="R56" s="445" t="s">
        <v>1011</v>
      </c>
      <c r="S56" s="445"/>
      <c r="T56" s="445"/>
      <c r="U56" s="445"/>
      <c r="V56" s="432" t="s">
        <v>202</v>
      </c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/>
      <c r="B57" s="445"/>
      <c r="C57" s="340"/>
      <c r="D57" s="340"/>
      <c r="E57" s="343"/>
      <c r="F57" s="432"/>
      <c r="G57" s="432"/>
      <c r="H57" s="432"/>
      <c r="I57" s="432"/>
      <c r="J57" s="432"/>
      <c r="K57" s="432"/>
      <c r="L57" s="432"/>
      <c r="M57" s="446"/>
      <c r="N57" s="339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343"/>
      <c r="D58" s="340"/>
      <c r="E58" s="343"/>
      <c r="F58" s="432"/>
      <c r="G58" s="432"/>
      <c r="H58" s="432"/>
      <c r="I58" s="432"/>
      <c r="J58" s="432"/>
      <c r="K58" s="432"/>
      <c r="L58" s="432"/>
      <c r="M58" s="446"/>
      <c r="N58" s="339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340"/>
      <c r="D59" s="340"/>
      <c r="E59" s="340"/>
      <c r="F59" s="432"/>
      <c r="G59" s="432"/>
      <c r="H59" s="432"/>
      <c r="I59" s="432"/>
      <c r="J59" s="432"/>
      <c r="K59" s="432"/>
      <c r="L59" s="432"/>
      <c r="M59" s="446"/>
      <c r="N59" s="339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342"/>
      <c r="D60" s="342"/>
      <c r="E60" s="342"/>
      <c r="F60" s="449"/>
      <c r="G60" s="449"/>
      <c r="H60" s="449"/>
      <c r="I60" s="449"/>
      <c r="J60" s="449"/>
      <c r="K60" s="449"/>
      <c r="L60" s="449"/>
      <c r="M60" s="450"/>
      <c r="N60" s="341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1012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337" t="s">
        <v>2</v>
      </c>
      <c r="D62" s="337" t="s">
        <v>38</v>
      </c>
      <c r="E62" s="337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337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5.5" customHeight="1">
      <c r="A63" s="429">
        <v>1</v>
      </c>
      <c r="B63" s="430"/>
      <c r="C63" s="338" t="s">
        <v>584</v>
      </c>
      <c r="D63" s="333"/>
      <c r="E63" s="335" t="s">
        <v>983</v>
      </c>
      <c r="F63" s="421" t="s">
        <v>1013</v>
      </c>
      <c r="G63" s="421"/>
      <c r="H63" s="421"/>
      <c r="I63" s="421"/>
      <c r="J63" s="421"/>
      <c r="K63" s="421" t="s">
        <v>1014</v>
      </c>
      <c r="L63" s="421"/>
      <c r="M63" s="54" t="s">
        <v>1015</v>
      </c>
      <c r="N63" s="421">
        <v>6</v>
      </c>
      <c r="O63" s="421"/>
      <c r="P63" s="431">
        <v>100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5.5" customHeight="1">
      <c r="A64" s="429">
        <v>2</v>
      </c>
      <c r="B64" s="430"/>
      <c r="C64" s="338" t="s">
        <v>1016</v>
      </c>
      <c r="D64" s="333"/>
      <c r="E64" s="335" t="s">
        <v>996</v>
      </c>
      <c r="F64" s="496" t="s">
        <v>1017</v>
      </c>
      <c r="G64" s="421"/>
      <c r="H64" s="421"/>
      <c r="I64" s="421"/>
      <c r="J64" s="421"/>
      <c r="K64" s="441" t="s">
        <v>1018</v>
      </c>
      <c r="L64" s="441"/>
      <c r="M64" s="54" t="s">
        <v>1019</v>
      </c>
      <c r="N64" s="421">
        <v>6</v>
      </c>
      <c r="O64" s="421"/>
      <c r="P64" s="431">
        <v>20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5.5" customHeight="1">
      <c r="A65" s="429">
        <v>3</v>
      </c>
      <c r="B65" s="430"/>
      <c r="C65" s="338" t="s">
        <v>167</v>
      </c>
      <c r="D65" s="333"/>
      <c r="E65" s="335" t="s">
        <v>1007</v>
      </c>
      <c r="F65" s="496" t="s">
        <v>1022</v>
      </c>
      <c r="G65" s="421"/>
      <c r="H65" s="421"/>
      <c r="I65" s="421"/>
      <c r="J65" s="421"/>
      <c r="K65" s="441" t="s">
        <v>1023</v>
      </c>
      <c r="L65" s="441"/>
      <c r="M65" s="54" t="s">
        <v>1024</v>
      </c>
      <c r="N65" s="421">
        <v>3</v>
      </c>
      <c r="O65" s="421"/>
      <c r="P65" s="431">
        <v>20</v>
      </c>
      <c r="Q65" s="431"/>
      <c r="R65" s="432" t="s">
        <v>1025</v>
      </c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5.5" customHeight="1">
      <c r="A66" s="429">
        <v>4</v>
      </c>
      <c r="B66" s="430"/>
      <c r="C66" s="338"/>
      <c r="D66" s="333"/>
      <c r="E66" s="335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5.5" customHeight="1">
      <c r="A67" s="429">
        <v>5</v>
      </c>
      <c r="B67" s="430"/>
      <c r="C67" s="338"/>
      <c r="D67" s="333"/>
      <c r="E67" s="335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5.5" customHeight="1">
      <c r="A68" s="429">
        <v>6</v>
      </c>
      <c r="B68" s="430"/>
      <c r="C68" s="338"/>
      <c r="D68" s="333"/>
      <c r="E68" s="335"/>
      <c r="F68" s="496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5.5" customHeight="1">
      <c r="A69" s="429">
        <v>7</v>
      </c>
      <c r="B69" s="430"/>
      <c r="C69" s="338"/>
      <c r="D69" s="333"/>
      <c r="E69" s="335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5.5" customHeight="1">
      <c r="A70" s="429">
        <v>8</v>
      </c>
      <c r="B70" s="430"/>
      <c r="C70" s="338"/>
      <c r="D70" s="333"/>
      <c r="E70" s="335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1020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336" t="s">
        <v>2</v>
      </c>
      <c r="D72" s="336" t="s">
        <v>38</v>
      </c>
      <c r="E72" s="336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334" t="s">
        <v>62</v>
      </c>
      <c r="D73" s="334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333" t="s">
        <v>129</v>
      </c>
      <c r="D74" s="333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11">A74+1</f>
        <v>3</v>
      </c>
      <c r="B75" s="393"/>
      <c r="C75" s="333" t="s">
        <v>62</v>
      </c>
      <c r="D75" s="333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11"/>
        <v>4</v>
      </c>
      <c r="B76" s="393"/>
      <c r="C76" s="333" t="s">
        <v>62</v>
      </c>
      <c r="D76" s="333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1"/>
        <v>5</v>
      </c>
      <c r="B77" s="393"/>
      <c r="C77" s="333" t="s">
        <v>62</v>
      </c>
      <c r="D77" s="333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1"/>
        <v>6</v>
      </c>
      <c r="B78" s="393"/>
      <c r="C78" s="333"/>
      <c r="D78" s="333"/>
      <c r="E78" s="35"/>
      <c r="F78" s="393"/>
      <c r="G78" s="393"/>
      <c r="H78" s="393"/>
      <c r="I78" s="393"/>
      <c r="J78" s="393"/>
      <c r="K78" s="402"/>
      <c r="L78" s="403"/>
      <c r="M78" s="403"/>
      <c r="N78" s="403"/>
      <c r="O78" s="403"/>
      <c r="P78" s="403"/>
      <c r="Q78" s="403"/>
      <c r="R78" s="403"/>
      <c r="S78" s="404"/>
      <c r="T78" s="405"/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1"/>
        <v>7</v>
      </c>
      <c r="B79" s="393"/>
      <c r="C79" s="333"/>
      <c r="D79" s="333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1"/>
        <v>8</v>
      </c>
      <c r="B80" s="393"/>
      <c r="C80" s="333"/>
      <c r="D80" s="333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1"/>
        <v>9</v>
      </c>
      <c r="B81" s="393"/>
      <c r="C81" s="333"/>
      <c r="D81" s="333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1021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U16" sqref="U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1026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46" t="s">
        <v>17</v>
      </c>
      <c r="L5" s="346" t="s">
        <v>18</v>
      </c>
      <c r="M5" s="346" t="s">
        <v>19</v>
      </c>
      <c r="N5" s="346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>
        <v>0</v>
      </c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0.51310905002268037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6" t="s">
        <v>982</v>
      </c>
      <c r="F7" s="12">
        <v>7301</v>
      </c>
      <c r="G7" s="36">
        <v>1</v>
      </c>
      <c r="H7" s="38">
        <v>25</v>
      </c>
      <c r="I7" s="7">
        <v>3000</v>
      </c>
      <c r="J7" s="14">
        <v>3700</v>
      </c>
      <c r="K7" s="15">
        <f>L7+2503</f>
        <v>6198</v>
      </c>
      <c r="L7" s="15">
        <f>2211+518+966</f>
        <v>3695</v>
      </c>
      <c r="M7" s="16">
        <f t="shared" si="0"/>
        <v>3695</v>
      </c>
      <c r="N7" s="16">
        <v>0</v>
      </c>
      <c r="O7" s="62">
        <f t="shared" si="1"/>
        <v>0</v>
      </c>
      <c r="P7" s="42">
        <f t="shared" si="2"/>
        <v>22</v>
      </c>
      <c r="Q7" s="43">
        <f t="shared" si="3"/>
        <v>2</v>
      </c>
      <c r="R7" s="7"/>
      <c r="S7" s="6">
        <v>2</v>
      </c>
      <c r="T7" s="17"/>
      <c r="U7" s="17"/>
      <c r="V7" s="18"/>
      <c r="W7" s="19"/>
      <c r="X7" s="17"/>
      <c r="Y7" s="20"/>
      <c r="Z7" s="20"/>
      <c r="AA7" s="21"/>
      <c r="AB7" s="8">
        <f t="shared" si="4"/>
        <v>0.99864864864864866</v>
      </c>
      <c r="AC7" s="9">
        <f t="shared" si="5"/>
        <v>0.91666666666666663</v>
      </c>
      <c r="AD7" s="10">
        <f t="shared" si="6"/>
        <v>0.91542792792792793</v>
      </c>
      <c r="AE7" s="39">
        <f t="shared" si="7"/>
        <v>0.51310905002268037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0.51310905002268037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983</v>
      </c>
      <c r="E9" s="57" t="s">
        <v>984</v>
      </c>
      <c r="F9" s="12" t="s">
        <v>794</v>
      </c>
      <c r="G9" s="12">
        <v>1</v>
      </c>
      <c r="H9" s="13">
        <v>24</v>
      </c>
      <c r="I9" s="34">
        <v>17000</v>
      </c>
      <c r="J9" s="5">
        <v>3330</v>
      </c>
      <c r="K9" s="15">
        <f>L9+2857</f>
        <v>6182</v>
      </c>
      <c r="L9" s="15">
        <f>2698+627</f>
        <v>3325</v>
      </c>
      <c r="M9" s="16">
        <f t="shared" si="0"/>
        <v>3325</v>
      </c>
      <c r="N9" s="16">
        <v>0</v>
      </c>
      <c r="O9" s="62">
        <f t="shared" si="1"/>
        <v>0</v>
      </c>
      <c r="P9" s="42">
        <f t="shared" si="2"/>
        <v>20</v>
      </c>
      <c r="Q9" s="43">
        <f t="shared" si="3"/>
        <v>4</v>
      </c>
      <c r="R9" s="7"/>
      <c r="S9" s="6">
        <v>4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0.99849849849849848</v>
      </c>
      <c r="AC9" s="9">
        <f t="shared" si="5"/>
        <v>0.83333333333333337</v>
      </c>
      <c r="AD9" s="10">
        <f t="shared" si="6"/>
        <v>0.83208208208208212</v>
      </c>
      <c r="AE9" s="39">
        <f t="shared" si="7"/>
        <v>0.51310905002268037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953</v>
      </c>
      <c r="D10" s="55" t="s">
        <v>1027</v>
      </c>
      <c r="E10" s="57" t="s">
        <v>1028</v>
      </c>
      <c r="F10" s="12" t="s">
        <v>1029</v>
      </c>
      <c r="G10" s="12">
        <v>1</v>
      </c>
      <c r="H10" s="13">
        <v>25</v>
      </c>
      <c r="I10" s="34">
        <v>3000</v>
      </c>
      <c r="J10" s="5">
        <v>3700</v>
      </c>
      <c r="K10" s="15">
        <f>L10</f>
        <v>3698</v>
      </c>
      <c r="L10" s="15">
        <f>3090+608</f>
        <v>3698</v>
      </c>
      <c r="M10" s="16">
        <f t="shared" si="0"/>
        <v>3698</v>
      </c>
      <c r="N10" s="16">
        <v>0</v>
      </c>
      <c r="O10" s="62">
        <f t="shared" si="1"/>
        <v>0</v>
      </c>
      <c r="P10" s="42">
        <f t="shared" si="2"/>
        <v>21</v>
      </c>
      <c r="Q10" s="43">
        <f t="shared" si="3"/>
        <v>3</v>
      </c>
      <c r="R10" s="7"/>
      <c r="S10" s="6"/>
      <c r="T10" s="17">
        <v>3</v>
      </c>
      <c r="U10" s="17"/>
      <c r="V10" s="18"/>
      <c r="W10" s="19"/>
      <c r="X10" s="17"/>
      <c r="Y10" s="20"/>
      <c r="Z10" s="20"/>
      <c r="AA10" s="21"/>
      <c r="AB10" s="8">
        <f t="shared" si="4"/>
        <v>0.99945945945945946</v>
      </c>
      <c r="AC10" s="9">
        <f t="shared" si="5"/>
        <v>0.875</v>
      </c>
      <c r="AD10" s="10">
        <f t="shared" si="6"/>
        <v>0.874527027027027</v>
      </c>
      <c r="AE10" s="39">
        <f t="shared" si="7"/>
        <v>0.51310905002268037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162</v>
      </c>
      <c r="E11" s="57" t="s">
        <v>987</v>
      </c>
      <c r="F11" s="12" t="s">
        <v>988</v>
      </c>
      <c r="G11" s="12">
        <v>1</v>
      </c>
      <c r="H11" s="13">
        <v>25</v>
      </c>
      <c r="I11" s="34">
        <v>1600</v>
      </c>
      <c r="J11" s="14">
        <v>2240</v>
      </c>
      <c r="K11" s="15">
        <f>L11+2237</f>
        <v>2237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0.51310905002268037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758</v>
      </c>
      <c r="F12" s="12" t="s">
        <v>134</v>
      </c>
      <c r="G12" s="12">
        <v>1</v>
      </c>
      <c r="H12" s="13">
        <v>25</v>
      </c>
      <c r="I12" s="34">
        <v>400</v>
      </c>
      <c r="J12" s="5">
        <v>570</v>
      </c>
      <c r="K12" s="15">
        <f>L12+570</f>
        <v>570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/>
      <c r="T12" s="17"/>
      <c r="U12" s="17"/>
      <c r="V12" s="18"/>
      <c r="W12" s="19">
        <v>24</v>
      </c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0.51310905002268037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1030</v>
      </c>
      <c r="D13" s="55" t="s">
        <v>1031</v>
      </c>
      <c r="E13" s="57" t="s">
        <v>1032</v>
      </c>
      <c r="F13" s="12">
        <v>7301</v>
      </c>
      <c r="G13" s="12" t="s">
        <v>1033</v>
      </c>
      <c r="H13" s="13">
        <v>25</v>
      </c>
      <c r="I13" s="7">
        <v>1000</v>
      </c>
      <c r="J13" s="14">
        <v>1430</v>
      </c>
      <c r="K13" s="15">
        <f>L13</f>
        <v>1424</v>
      </c>
      <c r="L13" s="15">
        <f>794+630</f>
        <v>1424</v>
      </c>
      <c r="M13" s="16">
        <f t="shared" si="0"/>
        <v>1424</v>
      </c>
      <c r="N13" s="16">
        <v>0</v>
      </c>
      <c r="O13" s="62">
        <f t="shared" si="1"/>
        <v>0</v>
      </c>
      <c r="P13" s="42">
        <f t="shared" si="2"/>
        <v>10</v>
      </c>
      <c r="Q13" s="43">
        <f t="shared" si="3"/>
        <v>14</v>
      </c>
      <c r="R13" s="7"/>
      <c r="S13" s="6"/>
      <c r="T13" s="17"/>
      <c r="U13" s="17"/>
      <c r="V13" s="18"/>
      <c r="W13" s="19">
        <v>14</v>
      </c>
      <c r="X13" s="17"/>
      <c r="Y13" s="20"/>
      <c r="Z13" s="20"/>
      <c r="AA13" s="21"/>
      <c r="AB13" s="8">
        <f t="shared" si="4"/>
        <v>0.99580419580419577</v>
      </c>
      <c r="AC13" s="9">
        <f t="shared" si="5"/>
        <v>0.41666666666666669</v>
      </c>
      <c r="AD13" s="10">
        <f t="shared" si="6"/>
        <v>0.41491841491841491</v>
      </c>
      <c r="AE13" s="39">
        <f t="shared" si="7"/>
        <v>0.51310905002268037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989</v>
      </c>
      <c r="D14" s="55" t="s">
        <v>136</v>
      </c>
      <c r="E14" s="57" t="s">
        <v>990</v>
      </c>
      <c r="F14" s="33" t="s">
        <v>139</v>
      </c>
      <c r="G14" s="36">
        <v>1</v>
      </c>
      <c r="H14" s="38">
        <v>25</v>
      </c>
      <c r="I14" s="7">
        <v>11000</v>
      </c>
      <c r="J14" s="5">
        <v>5200</v>
      </c>
      <c r="K14" s="15">
        <f>L14+4993</f>
        <v>10189</v>
      </c>
      <c r="L14" s="15">
        <f>2637+2559</f>
        <v>5196</v>
      </c>
      <c r="M14" s="16">
        <f t="shared" si="0"/>
        <v>5196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0.99923076923076926</v>
      </c>
      <c r="AC14" s="9">
        <f t="shared" si="5"/>
        <v>1</v>
      </c>
      <c r="AD14" s="10">
        <f t="shared" si="6"/>
        <v>0.99923076923076926</v>
      </c>
      <c r="AE14" s="39">
        <f t="shared" si="7"/>
        <v>0.51310905002268037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L15+4500</f>
        <v>4500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0.51310905002268037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1034</v>
      </c>
      <c r="D16" s="55" t="s">
        <v>136</v>
      </c>
      <c r="E16" s="56" t="s">
        <v>1035</v>
      </c>
      <c r="F16" s="12" t="s">
        <v>1036</v>
      </c>
      <c r="G16" s="36">
        <v>1</v>
      </c>
      <c r="H16" s="38">
        <v>25</v>
      </c>
      <c r="I16" s="7">
        <v>3000</v>
      </c>
      <c r="J16" s="14">
        <v>3270</v>
      </c>
      <c r="K16" s="15">
        <f>L16</f>
        <v>3264</v>
      </c>
      <c r="L16" s="15">
        <f>1017+2247</f>
        <v>3264</v>
      </c>
      <c r="M16" s="16">
        <f t="shared" si="0"/>
        <v>3264</v>
      </c>
      <c r="N16" s="16">
        <v>0</v>
      </c>
      <c r="O16" s="62">
        <f t="shared" si="1"/>
        <v>0</v>
      </c>
      <c r="P16" s="42">
        <f t="shared" si="2"/>
        <v>19</v>
      </c>
      <c r="Q16" s="43">
        <f t="shared" si="3"/>
        <v>5</v>
      </c>
      <c r="R16" s="7"/>
      <c r="S16" s="6">
        <v>5</v>
      </c>
      <c r="T16" s="17"/>
      <c r="U16" s="17"/>
      <c r="V16" s="18"/>
      <c r="W16" s="19"/>
      <c r="X16" s="17"/>
      <c r="Y16" s="20"/>
      <c r="Z16" s="20"/>
      <c r="AA16" s="21"/>
      <c r="AB16" s="8">
        <f t="shared" si="4"/>
        <v>0.99816513761467895</v>
      </c>
      <c r="AC16" s="9">
        <f t="shared" si="5"/>
        <v>0.79166666666666663</v>
      </c>
      <c r="AD16" s="10">
        <f t="shared" si="6"/>
        <v>0.79021406727828747</v>
      </c>
      <c r="AE16" s="39">
        <f t="shared" si="7"/>
        <v>0.51310905002268037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1034</v>
      </c>
      <c r="D17" s="55" t="s">
        <v>1037</v>
      </c>
      <c r="E17" s="56" t="s">
        <v>1038</v>
      </c>
      <c r="F17" s="12" t="s">
        <v>1039</v>
      </c>
      <c r="G17" s="12">
        <v>1</v>
      </c>
      <c r="H17" s="13">
        <v>25</v>
      </c>
      <c r="I17" s="34">
        <v>3000</v>
      </c>
      <c r="J17" s="5">
        <v>4780</v>
      </c>
      <c r="K17" s="15">
        <f>L17</f>
        <v>4776</v>
      </c>
      <c r="L17" s="15">
        <f>2101+2675</f>
        <v>4776</v>
      </c>
      <c r="M17" s="16">
        <f t="shared" si="0"/>
        <v>4776</v>
      </c>
      <c r="N17" s="16">
        <v>0</v>
      </c>
      <c r="O17" s="62">
        <f t="shared" si="1"/>
        <v>0</v>
      </c>
      <c r="P17" s="42">
        <f t="shared" si="2"/>
        <v>24</v>
      </c>
      <c r="Q17" s="43">
        <f t="shared" si="3"/>
        <v>0</v>
      </c>
      <c r="R17" s="7"/>
      <c r="S17" s="6"/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0.99916317991631798</v>
      </c>
      <c r="AC17" s="9">
        <f t="shared" si="5"/>
        <v>1</v>
      </c>
      <c r="AD17" s="10">
        <f t="shared" si="6"/>
        <v>0.99916317991631798</v>
      </c>
      <c r="AE17" s="39">
        <f t="shared" si="7"/>
        <v>0.51310905002268037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62</v>
      </c>
      <c r="D18" s="55" t="s">
        <v>910</v>
      </c>
      <c r="E18" s="56" t="s">
        <v>912</v>
      </c>
      <c r="F18" s="33" t="s">
        <v>140</v>
      </c>
      <c r="G18" s="36">
        <v>1</v>
      </c>
      <c r="H18" s="38">
        <v>25</v>
      </c>
      <c r="I18" s="7">
        <v>2000</v>
      </c>
      <c r="J18" s="5">
        <v>930</v>
      </c>
      <c r="K18" s="15">
        <f>L18+535+835+297</f>
        <v>2589</v>
      </c>
      <c r="L18" s="15">
        <v>922</v>
      </c>
      <c r="M18" s="16">
        <f t="shared" si="0"/>
        <v>922</v>
      </c>
      <c r="N18" s="16">
        <v>0</v>
      </c>
      <c r="O18" s="62">
        <f t="shared" si="1"/>
        <v>0</v>
      </c>
      <c r="P18" s="42">
        <f t="shared" si="2"/>
        <v>6</v>
      </c>
      <c r="Q18" s="43">
        <f t="shared" si="3"/>
        <v>18</v>
      </c>
      <c r="R18" s="7"/>
      <c r="S18" s="6"/>
      <c r="T18" s="17"/>
      <c r="U18" s="17"/>
      <c r="V18" s="18"/>
      <c r="W18" s="19">
        <v>18</v>
      </c>
      <c r="X18" s="17"/>
      <c r="Y18" s="20"/>
      <c r="Z18" s="20"/>
      <c r="AA18" s="21"/>
      <c r="AB18" s="8">
        <f t="shared" si="4"/>
        <v>0.99139784946236564</v>
      </c>
      <c r="AC18" s="9">
        <f t="shared" si="5"/>
        <v>0.25</v>
      </c>
      <c r="AD18" s="10">
        <f t="shared" si="6"/>
        <v>0.24784946236559141</v>
      </c>
      <c r="AE18" s="39">
        <f t="shared" si="7"/>
        <v>0.51310905002268037</v>
      </c>
      <c r="AF18" s="94">
        <f t="shared" si="8"/>
        <v>13</v>
      </c>
    </row>
    <row r="19" spans="1:32" ht="27" customHeight="1">
      <c r="A19" s="110">
        <v>13</v>
      </c>
      <c r="B19" s="11" t="s">
        <v>59</v>
      </c>
      <c r="C19" s="37" t="s">
        <v>1034</v>
      </c>
      <c r="D19" s="55" t="s">
        <v>1040</v>
      </c>
      <c r="E19" s="56" t="s">
        <v>1041</v>
      </c>
      <c r="F19" s="33" t="s">
        <v>127</v>
      </c>
      <c r="G19" s="36">
        <v>1</v>
      </c>
      <c r="H19" s="38">
        <v>25</v>
      </c>
      <c r="I19" s="7">
        <v>3000</v>
      </c>
      <c r="J19" s="5">
        <v>2790</v>
      </c>
      <c r="K19" s="15">
        <f>L19</f>
        <v>2783</v>
      </c>
      <c r="L19" s="15">
        <f>2783</f>
        <v>2783</v>
      </c>
      <c r="M19" s="16">
        <f t="shared" ref="M19" si="9">L19-N19</f>
        <v>2783</v>
      </c>
      <c r="N19" s="16">
        <v>0</v>
      </c>
      <c r="O19" s="62">
        <f t="shared" ref="O19" si="10">IF(L19=0,"0",N19/L19)</f>
        <v>0</v>
      </c>
      <c r="P19" s="42">
        <f t="shared" ref="P19" si="11">IF(L19=0,"0",(24-Q19))</f>
        <v>17</v>
      </c>
      <c r="Q19" s="43">
        <f t="shared" ref="Q19" si="12">SUM(R19:AA19)</f>
        <v>7</v>
      </c>
      <c r="R19" s="7"/>
      <c r="S19" s="6"/>
      <c r="T19" s="17">
        <v>7</v>
      </c>
      <c r="U19" s="17"/>
      <c r="V19" s="18"/>
      <c r="W19" s="19"/>
      <c r="X19" s="17"/>
      <c r="Y19" s="20"/>
      <c r="Z19" s="20"/>
      <c r="AA19" s="21"/>
      <c r="AB19" s="8">
        <f t="shared" ref="AB19" si="13">IF(J19=0,"0",(L19/J19))</f>
        <v>0.99749103942652328</v>
      </c>
      <c r="AC19" s="9">
        <f t="shared" ref="AC19" si="14">IF(P19=0,"0",(P19/24))</f>
        <v>0.70833333333333337</v>
      </c>
      <c r="AD19" s="10">
        <f t="shared" ref="AD19" si="15">AC19*AB19*(1-O19)</f>
        <v>0.70655615292712071</v>
      </c>
      <c r="AE19" s="39">
        <f t="shared" si="7"/>
        <v>0.51310905002268037</v>
      </c>
      <c r="AF19" s="94">
        <f t="shared" ref="AF19" si="16">A19</f>
        <v>13</v>
      </c>
    </row>
    <row r="20" spans="1:32" ht="27" customHeight="1">
      <c r="A20" s="110">
        <v>14</v>
      </c>
      <c r="B20" s="11" t="s">
        <v>1042</v>
      </c>
      <c r="C20" s="37" t="s">
        <v>1034</v>
      </c>
      <c r="D20" s="55" t="s">
        <v>240</v>
      </c>
      <c r="E20" s="57" t="s">
        <v>1043</v>
      </c>
      <c r="F20" s="33" t="s">
        <v>1044</v>
      </c>
      <c r="G20" s="36">
        <v>1</v>
      </c>
      <c r="H20" s="38">
        <v>25</v>
      </c>
      <c r="I20" s="34">
        <v>15000</v>
      </c>
      <c r="J20" s="5">
        <v>3980</v>
      </c>
      <c r="K20" s="15">
        <f>L20</f>
        <v>3980</v>
      </c>
      <c r="L20" s="15">
        <f>1263+2717</f>
        <v>3980</v>
      </c>
      <c r="M20" s="16">
        <f t="shared" si="0"/>
        <v>3980</v>
      </c>
      <c r="N20" s="16">
        <v>0</v>
      </c>
      <c r="O20" s="62">
        <f t="shared" si="1"/>
        <v>0</v>
      </c>
      <c r="P20" s="42">
        <f t="shared" si="2"/>
        <v>22</v>
      </c>
      <c r="Q20" s="43">
        <f t="shared" si="3"/>
        <v>2</v>
      </c>
      <c r="R20" s="7"/>
      <c r="S20" s="6"/>
      <c r="T20" s="17">
        <v>2</v>
      </c>
      <c r="U20" s="17"/>
      <c r="V20" s="18"/>
      <c r="W20" s="19"/>
      <c r="X20" s="17"/>
      <c r="Y20" s="20"/>
      <c r="Z20" s="20"/>
      <c r="AA20" s="21"/>
      <c r="AB20" s="8">
        <f t="shared" si="4"/>
        <v>1</v>
      </c>
      <c r="AC20" s="9">
        <f t="shared" si="5"/>
        <v>0.91666666666666663</v>
      </c>
      <c r="AD20" s="10">
        <f t="shared" si="6"/>
        <v>0.91666666666666663</v>
      </c>
      <c r="AE20" s="39">
        <f t="shared" si="7"/>
        <v>0.51310905002268037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143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35770</v>
      </c>
      <c r="K21" s="15">
        <f>L21+40636+52572+50384+54156+47100+55408+54312+54884+35764</f>
        <v>445216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0.51310905002268037</v>
      </c>
      <c r="AF21" s="94">
        <f t="shared" si="8"/>
        <v>15</v>
      </c>
    </row>
    <row r="22" spans="1:32" ht="31.5" customHeight="1" thickBot="1">
      <c r="A22" s="457" t="s">
        <v>34</v>
      </c>
      <c r="B22" s="458"/>
      <c r="C22" s="458"/>
      <c r="D22" s="458"/>
      <c r="E22" s="458"/>
      <c r="F22" s="458"/>
      <c r="G22" s="458"/>
      <c r="H22" s="459"/>
      <c r="I22" s="25">
        <f t="shared" ref="I22:N22" si="17">SUM(I6:I21)</f>
        <v>356000</v>
      </c>
      <c r="J22" s="22">
        <f t="shared" si="17"/>
        <v>78420</v>
      </c>
      <c r="K22" s="23">
        <f t="shared" si="17"/>
        <v>566346</v>
      </c>
      <c r="L22" s="24">
        <f t="shared" si="17"/>
        <v>33063</v>
      </c>
      <c r="M22" s="23">
        <f t="shared" si="17"/>
        <v>33063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185</v>
      </c>
      <c r="Q22" s="46">
        <f t="shared" si="18"/>
        <v>199</v>
      </c>
      <c r="R22" s="26">
        <f t="shared" si="18"/>
        <v>24</v>
      </c>
      <c r="S22" s="27">
        <f t="shared" si="18"/>
        <v>11</v>
      </c>
      <c r="T22" s="27">
        <f t="shared" si="18"/>
        <v>12</v>
      </c>
      <c r="U22" s="27">
        <f t="shared" si="18"/>
        <v>0</v>
      </c>
      <c r="V22" s="28">
        <f t="shared" si="18"/>
        <v>0</v>
      </c>
      <c r="W22" s="29">
        <f t="shared" si="18"/>
        <v>152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0.66519058520409713</v>
      </c>
      <c r="AC22" s="4">
        <f>SUM(AC6:AC21)/15</f>
        <v>0.51388888888888884</v>
      </c>
      <c r="AD22" s="4">
        <f>SUM(AD6:AD21)/15</f>
        <v>0.51310905002268037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60" t="s">
        <v>46</v>
      </c>
      <c r="B49" s="460"/>
      <c r="C49" s="460"/>
      <c r="D49" s="460"/>
      <c r="E49" s="460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61" t="s">
        <v>1062</v>
      </c>
      <c r="B50" s="462"/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3"/>
      <c r="N50" s="464" t="s">
        <v>1063</v>
      </c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67" t="s">
        <v>2</v>
      </c>
      <c r="B51" s="468"/>
      <c r="C51" s="347" t="s">
        <v>47</v>
      </c>
      <c r="D51" s="347" t="s">
        <v>48</v>
      </c>
      <c r="E51" s="347" t="s">
        <v>113</v>
      </c>
      <c r="F51" s="468" t="s">
        <v>112</v>
      </c>
      <c r="G51" s="468"/>
      <c r="H51" s="468"/>
      <c r="I51" s="468"/>
      <c r="J51" s="468"/>
      <c r="K51" s="468"/>
      <c r="L51" s="468"/>
      <c r="M51" s="469"/>
      <c r="N51" s="73" t="s">
        <v>117</v>
      </c>
      <c r="O51" s="347" t="s">
        <v>47</v>
      </c>
      <c r="P51" s="470" t="s">
        <v>48</v>
      </c>
      <c r="Q51" s="471"/>
      <c r="R51" s="470" t="s">
        <v>39</v>
      </c>
      <c r="S51" s="472"/>
      <c r="T51" s="472"/>
      <c r="U51" s="471"/>
      <c r="V51" s="470" t="s">
        <v>49</v>
      </c>
      <c r="W51" s="472"/>
      <c r="X51" s="472"/>
      <c r="Y51" s="472"/>
      <c r="Z51" s="472"/>
      <c r="AA51" s="472"/>
      <c r="AB51" s="472"/>
      <c r="AC51" s="472"/>
      <c r="AD51" s="473"/>
    </row>
    <row r="52" spans="1:32" ht="27" customHeight="1">
      <c r="A52" s="453" t="s">
        <v>129</v>
      </c>
      <c r="B52" s="454"/>
      <c r="C52" s="348" t="s">
        <v>172</v>
      </c>
      <c r="D52" s="349" t="s">
        <v>992</v>
      </c>
      <c r="E52" s="348" t="s">
        <v>984</v>
      </c>
      <c r="F52" s="432" t="s">
        <v>1045</v>
      </c>
      <c r="G52" s="432"/>
      <c r="H52" s="432"/>
      <c r="I52" s="432"/>
      <c r="J52" s="432"/>
      <c r="K52" s="432"/>
      <c r="L52" s="432"/>
      <c r="M52" s="446"/>
      <c r="N52" s="350" t="s">
        <v>129</v>
      </c>
      <c r="O52" s="74" t="s">
        <v>131</v>
      </c>
      <c r="P52" s="451" t="s">
        <v>58</v>
      </c>
      <c r="Q52" s="452"/>
      <c r="R52" s="445" t="s">
        <v>184</v>
      </c>
      <c r="S52" s="445"/>
      <c r="T52" s="445"/>
      <c r="U52" s="445"/>
      <c r="V52" s="432" t="s">
        <v>1045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44" t="s">
        <v>129</v>
      </c>
      <c r="B53" s="445"/>
      <c r="C53" s="349" t="s">
        <v>206</v>
      </c>
      <c r="D53" s="349" t="s">
        <v>1027</v>
      </c>
      <c r="E53" s="348" t="s">
        <v>1028</v>
      </c>
      <c r="F53" s="432" t="s">
        <v>1046</v>
      </c>
      <c r="G53" s="432"/>
      <c r="H53" s="432"/>
      <c r="I53" s="432"/>
      <c r="J53" s="432"/>
      <c r="K53" s="432"/>
      <c r="L53" s="432"/>
      <c r="M53" s="446"/>
      <c r="N53" s="350" t="s">
        <v>1064</v>
      </c>
      <c r="O53" s="74" t="s">
        <v>199</v>
      </c>
      <c r="P53" s="451" t="s">
        <v>144</v>
      </c>
      <c r="Q53" s="452"/>
      <c r="R53" s="445" t="s">
        <v>1065</v>
      </c>
      <c r="S53" s="445"/>
      <c r="T53" s="445"/>
      <c r="U53" s="445"/>
      <c r="V53" s="432" t="s">
        <v>166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62</v>
      </c>
      <c r="B54" s="454"/>
      <c r="C54" s="348" t="s">
        <v>232</v>
      </c>
      <c r="D54" s="349" t="s">
        <v>922</v>
      </c>
      <c r="E54" s="348" t="s">
        <v>912</v>
      </c>
      <c r="F54" s="432" t="s">
        <v>1045</v>
      </c>
      <c r="G54" s="432"/>
      <c r="H54" s="432"/>
      <c r="I54" s="432"/>
      <c r="J54" s="432"/>
      <c r="K54" s="432"/>
      <c r="L54" s="432"/>
      <c r="M54" s="446"/>
      <c r="N54" s="350" t="s">
        <v>122</v>
      </c>
      <c r="O54" s="74" t="s">
        <v>1066</v>
      </c>
      <c r="P54" s="451" t="s">
        <v>1067</v>
      </c>
      <c r="Q54" s="452"/>
      <c r="R54" s="445" t="s">
        <v>1068</v>
      </c>
      <c r="S54" s="445"/>
      <c r="T54" s="445"/>
      <c r="U54" s="445"/>
      <c r="V54" s="432" t="s">
        <v>166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129</v>
      </c>
      <c r="B55" s="454"/>
      <c r="C55" s="348" t="s">
        <v>199</v>
      </c>
      <c r="D55" s="349" t="s">
        <v>58</v>
      </c>
      <c r="E55" s="348" t="s">
        <v>1047</v>
      </c>
      <c r="F55" s="432" t="s">
        <v>1048</v>
      </c>
      <c r="G55" s="432"/>
      <c r="H55" s="432"/>
      <c r="I55" s="432"/>
      <c r="J55" s="432"/>
      <c r="K55" s="432"/>
      <c r="L55" s="432"/>
      <c r="M55" s="446"/>
      <c r="N55" s="350"/>
      <c r="O55" s="74"/>
      <c r="P55" s="451"/>
      <c r="Q55" s="452"/>
      <c r="R55" s="445"/>
      <c r="S55" s="445"/>
      <c r="T55" s="445"/>
      <c r="U55" s="445"/>
      <c r="V55" s="432"/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1049</v>
      </c>
      <c r="B56" s="454"/>
      <c r="C56" s="348" t="s">
        <v>131</v>
      </c>
      <c r="D56" s="349" t="s">
        <v>1050</v>
      </c>
      <c r="E56" s="348" t="s">
        <v>1051</v>
      </c>
      <c r="F56" s="432" t="s">
        <v>166</v>
      </c>
      <c r="G56" s="432"/>
      <c r="H56" s="432"/>
      <c r="I56" s="432"/>
      <c r="J56" s="432"/>
      <c r="K56" s="432"/>
      <c r="L56" s="432"/>
      <c r="M56" s="446"/>
      <c r="N56" s="350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129</v>
      </c>
      <c r="B57" s="445"/>
      <c r="C57" s="349" t="s">
        <v>1052</v>
      </c>
      <c r="D57" s="349" t="s">
        <v>1053</v>
      </c>
      <c r="E57" s="348" t="s">
        <v>1054</v>
      </c>
      <c r="F57" s="432" t="s">
        <v>166</v>
      </c>
      <c r="G57" s="432"/>
      <c r="H57" s="432"/>
      <c r="I57" s="432"/>
      <c r="J57" s="432"/>
      <c r="K57" s="432"/>
      <c r="L57" s="432"/>
      <c r="M57" s="446"/>
      <c r="N57" s="350"/>
      <c r="O57" s="74"/>
      <c r="P57" s="445"/>
      <c r="Q57" s="445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 t="s">
        <v>129</v>
      </c>
      <c r="B58" s="445"/>
      <c r="C58" s="349" t="s">
        <v>609</v>
      </c>
      <c r="D58" s="349" t="s">
        <v>1055</v>
      </c>
      <c r="E58" s="348" t="s">
        <v>1056</v>
      </c>
      <c r="F58" s="432" t="s">
        <v>166</v>
      </c>
      <c r="G58" s="432"/>
      <c r="H58" s="432"/>
      <c r="I58" s="432"/>
      <c r="J58" s="432"/>
      <c r="K58" s="432"/>
      <c r="L58" s="432"/>
      <c r="M58" s="446"/>
      <c r="N58" s="350"/>
      <c r="O58" s="74"/>
      <c r="P58" s="451"/>
      <c r="Q58" s="452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53" t="s">
        <v>129</v>
      </c>
      <c r="B59" s="454"/>
      <c r="C59" s="348" t="s">
        <v>1057</v>
      </c>
      <c r="D59" s="349" t="s">
        <v>1040</v>
      </c>
      <c r="E59" s="348" t="s">
        <v>1058</v>
      </c>
      <c r="F59" s="432" t="s">
        <v>166</v>
      </c>
      <c r="G59" s="432"/>
      <c r="H59" s="432"/>
      <c r="I59" s="432"/>
      <c r="J59" s="432"/>
      <c r="K59" s="432"/>
      <c r="L59" s="432"/>
      <c r="M59" s="446"/>
      <c r="N59" s="350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44" t="s">
        <v>129</v>
      </c>
      <c r="B60" s="445"/>
      <c r="C60" s="349" t="s">
        <v>1059</v>
      </c>
      <c r="D60" s="349" t="s">
        <v>1060</v>
      </c>
      <c r="E60" s="349" t="s">
        <v>1043</v>
      </c>
      <c r="F60" s="432" t="s">
        <v>1061</v>
      </c>
      <c r="G60" s="432"/>
      <c r="H60" s="432"/>
      <c r="I60" s="432"/>
      <c r="J60" s="432"/>
      <c r="K60" s="432"/>
      <c r="L60" s="432"/>
      <c r="M60" s="446"/>
      <c r="N60" s="350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  <c r="AF60" s="94">
        <f>8*3000</f>
        <v>24000</v>
      </c>
    </row>
    <row r="61" spans="1:32" ht="27" customHeight="1" thickBot="1">
      <c r="A61" s="447"/>
      <c r="B61" s="448"/>
      <c r="C61" s="352"/>
      <c r="D61" s="352"/>
      <c r="E61" s="352"/>
      <c r="F61" s="449"/>
      <c r="G61" s="449"/>
      <c r="H61" s="449"/>
      <c r="I61" s="449"/>
      <c r="J61" s="449"/>
      <c r="K61" s="449"/>
      <c r="L61" s="449"/>
      <c r="M61" s="450"/>
      <c r="N61" s="351"/>
      <c r="O61" s="121"/>
      <c r="P61" s="448"/>
      <c r="Q61" s="448"/>
      <c r="R61" s="448"/>
      <c r="S61" s="448"/>
      <c r="T61" s="448"/>
      <c r="U61" s="448"/>
      <c r="V61" s="449"/>
      <c r="W61" s="449"/>
      <c r="X61" s="449"/>
      <c r="Y61" s="449"/>
      <c r="Z61" s="449"/>
      <c r="AA61" s="449"/>
      <c r="AB61" s="449"/>
      <c r="AC61" s="449"/>
      <c r="AD61" s="450"/>
      <c r="AF61" s="94">
        <f>16*3000</f>
        <v>48000</v>
      </c>
    </row>
    <row r="62" spans="1:32" ht="27.75" thickBot="1">
      <c r="A62" s="442" t="s">
        <v>1069</v>
      </c>
      <c r="B62" s="442"/>
      <c r="C62" s="442"/>
      <c r="D62" s="442"/>
      <c r="E62" s="44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3" t="s">
        <v>118</v>
      </c>
      <c r="B63" s="439"/>
      <c r="C63" s="353" t="s">
        <v>2</v>
      </c>
      <c r="D63" s="353" t="s">
        <v>38</v>
      </c>
      <c r="E63" s="353" t="s">
        <v>3</v>
      </c>
      <c r="F63" s="439" t="s">
        <v>115</v>
      </c>
      <c r="G63" s="439"/>
      <c r="H63" s="439"/>
      <c r="I63" s="439"/>
      <c r="J63" s="439"/>
      <c r="K63" s="439" t="s">
        <v>40</v>
      </c>
      <c r="L63" s="439"/>
      <c r="M63" s="353" t="s">
        <v>41</v>
      </c>
      <c r="N63" s="439" t="s">
        <v>42</v>
      </c>
      <c r="O63" s="439"/>
      <c r="P63" s="436" t="s">
        <v>43</v>
      </c>
      <c r="Q63" s="438"/>
      <c r="R63" s="436" t="s">
        <v>44</v>
      </c>
      <c r="S63" s="437"/>
      <c r="T63" s="437"/>
      <c r="U63" s="437"/>
      <c r="V63" s="437"/>
      <c r="W63" s="437"/>
      <c r="X63" s="437"/>
      <c r="Y63" s="437"/>
      <c r="Z63" s="437"/>
      <c r="AA63" s="438"/>
      <c r="AB63" s="439" t="s">
        <v>45</v>
      </c>
      <c r="AC63" s="439"/>
      <c r="AD63" s="440"/>
      <c r="AF63" s="94">
        <f>SUM(AF60:AF62)</f>
        <v>96000</v>
      </c>
    </row>
    <row r="64" spans="1:32" ht="25.5" customHeight="1">
      <c r="A64" s="429">
        <v>1</v>
      </c>
      <c r="B64" s="430"/>
      <c r="C64" s="355"/>
      <c r="D64" s="357"/>
      <c r="E64" s="354"/>
      <c r="F64" s="421"/>
      <c r="G64" s="421"/>
      <c r="H64" s="421"/>
      <c r="I64" s="421"/>
      <c r="J64" s="421"/>
      <c r="K64" s="421"/>
      <c r="L64" s="421"/>
      <c r="M64" s="54"/>
      <c r="N64" s="421"/>
      <c r="O64" s="421"/>
      <c r="P64" s="431"/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5.5" customHeight="1">
      <c r="A65" s="429">
        <v>2</v>
      </c>
      <c r="B65" s="430"/>
      <c r="C65" s="355"/>
      <c r="D65" s="357"/>
      <c r="E65" s="354"/>
      <c r="F65" s="496"/>
      <c r="G65" s="421"/>
      <c r="H65" s="421"/>
      <c r="I65" s="421"/>
      <c r="J65" s="421"/>
      <c r="K65" s="441"/>
      <c r="L65" s="441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5.5" customHeight="1">
      <c r="A66" s="429">
        <v>3</v>
      </c>
      <c r="B66" s="430"/>
      <c r="C66" s="355"/>
      <c r="D66" s="357"/>
      <c r="E66" s="354"/>
      <c r="F66" s="496"/>
      <c r="G66" s="421"/>
      <c r="H66" s="421"/>
      <c r="I66" s="421"/>
      <c r="J66" s="421"/>
      <c r="K66" s="441"/>
      <c r="L66" s="44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5.5" customHeight="1">
      <c r="A67" s="429">
        <v>4</v>
      </c>
      <c r="B67" s="430"/>
      <c r="C67" s="355"/>
      <c r="D67" s="357"/>
      <c r="E67" s="354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5.5" customHeight="1">
      <c r="A68" s="429">
        <v>5</v>
      </c>
      <c r="B68" s="430"/>
      <c r="C68" s="355"/>
      <c r="D68" s="357"/>
      <c r="E68" s="354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5.5" customHeight="1">
      <c r="A69" s="429">
        <v>6</v>
      </c>
      <c r="B69" s="430"/>
      <c r="C69" s="355"/>
      <c r="D69" s="357"/>
      <c r="E69" s="354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5.5" customHeight="1">
      <c r="A70" s="429">
        <v>7</v>
      </c>
      <c r="B70" s="430"/>
      <c r="C70" s="355"/>
      <c r="D70" s="357"/>
      <c r="E70" s="354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5.5" customHeight="1">
      <c r="A71" s="429">
        <v>8</v>
      </c>
      <c r="B71" s="430"/>
      <c r="C71" s="355"/>
      <c r="D71" s="357"/>
      <c r="E71" s="354"/>
      <c r="F71" s="496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26.25" customHeight="1" thickBot="1">
      <c r="A72" s="400" t="s">
        <v>1070</v>
      </c>
      <c r="B72" s="400"/>
      <c r="C72" s="400"/>
      <c r="D72" s="400"/>
      <c r="E72" s="40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3" t="s">
        <v>118</v>
      </c>
      <c r="B73" s="424"/>
      <c r="C73" s="356" t="s">
        <v>2</v>
      </c>
      <c r="D73" s="356" t="s">
        <v>38</v>
      </c>
      <c r="E73" s="356" t="s">
        <v>3</v>
      </c>
      <c r="F73" s="424" t="s">
        <v>39</v>
      </c>
      <c r="G73" s="424"/>
      <c r="H73" s="424"/>
      <c r="I73" s="424"/>
      <c r="J73" s="424"/>
      <c r="K73" s="425" t="s">
        <v>60</v>
      </c>
      <c r="L73" s="426"/>
      <c r="M73" s="426"/>
      <c r="N73" s="426"/>
      <c r="O73" s="426"/>
      <c r="P73" s="426"/>
      <c r="Q73" s="426"/>
      <c r="R73" s="426"/>
      <c r="S73" s="427"/>
      <c r="T73" s="424" t="s">
        <v>50</v>
      </c>
      <c r="U73" s="424"/>
      <c r="V73" s="425" t="s">
        <v>51</v>
      </c>
      <c r="W73" s="427"/>
      <c r="X73" s="426" t="s">
        <v>52</v>
      </c>
      <c r="Y73" s="426"/>
      <c r="Z73" s="426"/>
      <c r="AA73" s="426"/>
      <c r="AB73" s="426"/>
      <c r="AC73" s="426"/>
      <c r="AD73" s="428"/>
      <c r="AF73" s="53"/>
    </row>
    <row r="74" spans="1:32" ht="33.75" customHeight="1">
      <c r="A74" s="408">
        <v>1</v>
      </c>
      <c r="B74" s="409"/>
      <c r="C74" s="358" t="s">
        <v>62</v>
      </c>
      <c r="D74" s="358"/>
      <c r="E74" s="71" t="s">
        <v>58</v>
      </c>
      <c r="F74" s="410" t="s">
        <v>63</v>
      </c>
      <c r="G74" s="411"/>
      <c r="H74" s="411"/>
      <c r="I74" s="411"/>
      <c r="J74" s="412"/>
      <c r="K74" s="413" t="s">
        <v>61</v>
      </c>
      <c r="L74" s="414"/>
      <c r="M74" s="414"/>
      <c r="N74" s="414"/>
      <c r="O74" s="414"/>
      <c r="P74" s="414"/>
      <c r="Q74" s="414"/>
      <c r="R74" s="414"/>
      <c r="S74" s="415"/>
      <c r="T74" s="416">
        <v>41791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92">
        <f>A74+1</f>
        <v>2</v>
      </c>
      <c r="B75" s="393"/>
      <c r="C75" s="357" t="s">
        <v>129</v>
      </c>
      <c r="D75" s="357"/>
      <c r="E75" s="35" t="s">
        <v>121</v>
      </c>
      <c r="F75" s="393" t="s">
        <v>138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42779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ref="A76:A82" si="19">A75+1</f>
        <v>3</v>
      </c>
      <c r="B76" s="393"/>
      <c r="C76" s="357" t="s">
        <v>62</v>
      </c>
      <c r="D76" s="357"/>
      <c r="E76" s="35" t="s">
        <v>121</v>
      </c>
      <c r="F76" s="393" t="s">
        <v>125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9"/>
        <v>4</v>
      </c>
      <c r="B77" s="393"/>
      <c r="C77" s="357" t="s">
        <v>62</v>
      </c>
      <c r="D77" s="357"/>
      <c r="E77" s="35" t="s">
        <v>121</v>
      </c>
      <c r="F77" s="393" t="s">
        <v>124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9"/>
        <v>5</v>
      </c>
      <c r="B78" s="393"/>
      <c r="C78" s="357" t="s">
        <v>62</v>
      </c>
      <c r="D78" s="357"/>
      <c r="E78" s="35" t="s">
        <v>58</v>
      </c>
      <c r="F78" s="393" t="s">
        <v>126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9"/>
        <v>6</v>
      </c>
      <c r="B79" s="393"/>
      <c r="C79" s="357"/>
      <c r="D79" s="357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9"/>
        <v>7</v>
      </c>
      <c r="B80" s="393"/>
      <c r="C80" s="357"/>
      <c r="D80" s="357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9"/>
        <v>8</v>
      </c>
      <c r="B81" s="393"/>
      <c r="C81" s="357"/>
      <c r="D81" s="357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19"/>
        <v>9</v>
      </c>
      <c r="B82" s="393"/>
      <c r="C82" s="357"/>
      <c r="D82" s="357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6" thickBot="1">
      <c r="A83" s="400" t="s">
        <v>1071</v>
      </c>
      <c r="B83" s="400"/>
      <c r="C83" s="400"/>
      <c r="D83" s="400"/>
      <c r="E83" s="40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1" t="s">
        <v>37</v>
      </c>
      <c r="B84" s="396"/>
      <c r="C84" s="396" t="s">
        <v>53</v>
      </c>
      <c r="D84" s="396"/>
      <c r="E84" s="396" t="s">
        <v>54</v>
      </c>
      <c r="F84" s="396"/>
      <c r="G84" s="396"/>
      <c r="H84" s="396"/>
      <c r="I84" s="396"/>
      <c r="J84" s="396"/>
      <c r="K84" s="396" t="s">
        <v>55</v>
      </c>
      <c r="L84" s="396"/>
      <c r="M84" s="396"/>
      <c r="N84" s="396"/>
      <c r="O84" s="396"/>
      <c r="P84" s="396"/>
      <c r="Q84" s="396"/>
      <c r="R84" s="396"/>
      <c r="S84" s="396"/>
      <c r="T84" s="396" t="s">
        <v>56</v>
      </c>
      <c r="U84" s="396"/>
      <c r="V84" s="396" t="s">
        <v>57</v>
      </c>
      <c r="W84" s="396"/>
      <c r="X84" s="396"/>
      <c r="Y84" s="396" t="s">
        <v>52</v>
      </c>
      <c r="Z84" s="396"/>
      <c r="AA84" s="396"/>
      <c r="AB84" s="396"/>
      <c r="AC84" s="396"/>
      <c r="AD84" s="397"/>
      <c r="AF84" s="53"/>
    </row>
    <row r="85" spans="1:32" ht="30.75" customHeight="1">
      <c r="A85" s="398">
        <v>1</v>
      </c>
      <c r="B85" s="399"/>
      <c r="C85" s="394">
        <v>1</v>
      </c>
      <c r="D85" s="394"/>
      <c r="E85" s="394" t="s">
        <v>561</v>
      </c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 t="s">
        <v>486</v>
      </c>
      <c r="U85" s="394"/>
      <c r="V85" s="395"/>
      <c r="W85" s="395"/>
      <c r="X85" s="395"/>
      <c r="Y85" s="386" t="s">
        <v>562</v>
      </c>
      <c r="Z85" s="386"/>
      <c r="AA85" s="386"/>
      <c r="AB85" s="386"/>
      <c r="AC85" s="386"/>
      <c r="AD85" s="387"/>
      <c r="AF85" s="53"/>
    </row>
    <row r="86" spans="1:32" ht="30.75" customHeight="1">
      <c r="A86" s="392">
        <v>2</v>
      </c>
      <c r="B86" s="393"/>
      <c r="C86" s="394" t="s">
        <v>1072</v>
      </c>
      <c r="D86" s="394"/>
      <c r="E86" s="394"/>
      <c r="F86" s="394"/>
      <c r="G86" s="394"/>
      <c r="H86" s="394"/>
      <c r="I86" s="394"/>
      <c r="J86" s="394"/>
      <c r="K86" s="394" t="s">
        <v>1073</v>
      </c>
      <c r="L86" s="394"/>
      <c r="M86" s="394"/>
      <c r="N86" s="394"/>
      <c r="O86" s="394"/>
      <c r="P86" s="394"/>
      <c r="Q86" s="394"/>
      <c r="R86" s="394"/>
      <c r="S86" s="394"/>
      <c r="T86" s="394" t="s">
        <v>1072</v>
      </c>
      <c r="U86" s="394"/>
      <c r="V86" s="395" t="s">
        <v>1074</v>
      </c>
      <c r="W86" s="395"/>
      <c r="X86" s="395"/>
      <c r="Y86" s="386"/>
      <c r="Z86" s="386"/>
      <c r="AA86" s="386"/>
      <c r="AB86" s="386"/>
      <c r="AC86" s="386"/>
      <c r="AD86" s="387"/>
      <c r="AF86" s="53"/>
    </row>
    <row r="87" spans="1:32" ht="30.75" customHeight="1" thickBot="1">
      <c r="A87" s="388">
        <v>3</v>
      </c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89"/>
      <c r="S87" s="389"/>
      <c r="T87" s="389"/>
      <c r="U87" s="389"/>
      <c r="V87" s="389"/>
      <c r="W87" s="389"/>
      <c r="X87" s="389"/>
      <c r="Y87" s="390"/>
      <c r="Z87" s="390"/>
      <c r="AA87" s="390"/>
      <c r="AB87" s="390"/>
      <c r="AC87" s="390"/>
      <c r="AD87" s="39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zoomScale="72" zoomScaleNormal="72" zoomScaleSheetLayoutView="70" workbookViewId="0">
      <selection activeCell="K78" sqref="K78:S78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1075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71" t="s">
        <v>17</v>
      </c>
      <c r="L5" s="371" t="s">
        <v>18</v>
      </c>
      <c r="M5" s="371" t="s">
        <v>19</v>
      </c>
      <c r="N5" s="371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 t="shared" ref="AE6:AE21" si="7">$AD$22</f>
        <v>0.39945360495591647</v>
      </c>
      <c r="AF6" s="94">
        <f t="shared" ref="AF6:AF21" si="8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6" t="s">
        <v>982</v>
      </c>
      <c r="F7" s="12">
        <v>7301</v>
      </c>
      <c r="G7" s="36">
        <v>1</v>
      </c>
      <c r="H7" s="38">
        <v>25</v>
      </c>
      <c r="I7" s="7">
        <v>3000</v>
      </c>
      <c r="J7" s="14">
        <v>2080</v>
      </c>
      <c r="K7" s="15">
        <f>L7+2503+3695</f>
        <v>8269</v>
      </c>
      <c r="L7" s="15">
        <v>2071</v>
      </c>
      <c r="M7" s="16">
        <f t="shared" si="0"/>
        <v>2071</v>
      </c>
      <c r="N7" s="16">
        <v>0</v>
      </c>
      <c r="O7" s="62">
        <f t="shared" si="1"/>
        <v>0</v>
      </c>
      <c r="P7" s="42">
        <f t="shared" si="2"/>
        <v>11</v>
      </c>
      <c r="Q7" s="43">
        <f t="shared" si="3"/>
        <v>13</v>
      </c>
      <c r="R7" s="7"/>
      <c r="S7" s="6"/>
      <c r="T7" s="17"/>
      <c r="U7" s="17"/>
      <c r="V7" s="18"/>
      <c r="W7" s="19">
        <v>13</v>
      </c>
      <c r="X7" s="17"/>
      <c r="Y7" s="20"/>
      <c r="Z7" s="20"/>
      <c r="AA7" s="21"/>
      <c r="AB7" s="8">
        <f t="shared" si="4"/>
        <v>0.99567307692307694</v>
      </c>
      <c r="AC7" s="9">
        <f t="shared" si="5"/>
        <v>0.45833333333333331</v>
      </c>
      <c r="AD7" s="10">
        <f t="shared" si="6"/>
        <v>0.45635016025641023</v>
      </c>
      <c r="AE7" s="39">
        <f t="shared" si="7"/>
        <v>0.39945360495591647</v>
      </c>
      <c r="AF7" s="94">
        <f>A7</f>
        <v>2</v>
      </c>
    </row>
    <row r="8" spans="1:32" ht="27" customHeight="1">
      <c r="A8" s="109">
        <v>3</v>
      </c>
      <c r="B8" s="11" t="s">
        <v>59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40000</v>
      </c>
      <c r="J8" s="14">
        <v>630</v>
      </c>
      <c r="K8" s="15">
        <f>L8+4409+3630+4007+4889+4777+4548+4820+1965+4267+1063+3219+5273+625</f>
        <v>47492</v>
      </c>
      <c r="L8" s="15"/>
      <c r="M8" s="16">
        <f t="shared" si="0"/>
        <v>0</v>
      </c>
      <c r="N8" s="16">
        <v>0</v>
      </c>
      <c r="O8" s="62" t="str">
        <f t="shared" si="1"/>
        <v>0</v>
      </c>
      <c r="P8" s="42" t="str">
        <f t="shared" si="2"/>
        <v>0</v>
      </c>
      <c r="Q8" s="43">
        <f t="shared" si="3"/>
        <v>24</v>
      </c>
      <c r="R8" s="7"/>
      <c r="S8" s="6"/>
      <c r="T8" s="17"/>
      <c r="U8" s="17"/>
      <c r="V8" s="18"/>
      <c r="W8" s="19">
        <v>24</v>
      </c>
      <c r="X8" s="17"/>
      <c r="Y8" s="20"/>
      <c r="Z8" s="20"/>
      <c r="AA8" s="21"/>
      <c r="AB8" s="8">
        <f t="shared" si="4"/>
        <v>0</v>
      </c>
      <c r="AC8" s="9">
        <f t="shared" si="5"/>
        <v>0</v>
      </c>
      <c r="AD8" s="10">
        <f t="shared" si="6"/>
        <v>0</v>
      </c>
      <c r="AE8" s="39">
        <f t="shared" si="7"/>
        <v>0.39945360495591647</v>
      </c>
      <c r="AF8" s="94">
        <f t="shared" si="8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983</v>
      </c>
      <c r="E9" s="57" t="s">
        <v>984</v>
      </c>
      <c r="F9" s="12" t="s">
        <v>794</v>
      </c>
      <c r="G9" s="12">
        <v>1</v>
      </c>
      <c r="H9" s="13">
        <v>24</v>
      </c>
      <c r="I9" s="34">
        <v>17000</v>
      </c>
      <c r="J9" s="5">
        <v>4390</v>
      </c>
      <c r="K9" s="15">
        <f>L9+2857+3325</f>
        <v>10569</v>
      </c>
      <c r="L9" s="15">
        <f>2096+2291</f>
        <v>4387</v>
      </c>
      <c r="M9" s="16">
        <f t="shared" si="0"/>
        <v>4387</v>
      </c>
      <c r="N9" s="16">
        <v>0</v>
      </c>
      <c r="O9" s="62">
        <f t="shared" si="1"/>
        <v>0</v>
      </c>
      <c r="P9" s="42">
        <f t="shared" si="2"/>
        <v>22</v>
      </c>
      <c r="Q9" s="43">
        <f t="shared" si="3"/>
        <v>2</v>
      </c>
      <c r="R9" s="7"/>
      <c r="S9" s="6">
        <v>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0.99931662870159454</v>
      </c>
      <c r="AC9" s="9">
        <f t="shared" si="5"/>
        <v>0.91666666666666663</v>
      </c>
      <c r="AD9" s="10">
        <f t="shared" si="6"/>
        <v>0.91604024297646158</v>
      </c>
      <c r="AE9" s="39">
        <f t="shared" si="7"/>
        <v>0.39945360495591647</v>
      </c>
      <c r="AF9" s="94">
        <f t="shared" si="8"/>
        <v>4</v>
      </c>
    </row>
    <row r="10" spans="1:32" ht="27" customHeight="1">
      <c r="A10" s="110">
        <v>5</v>
      </c>
      <c r="B10" s="11" t="s">
        <v>59</v>
      </c>
      <c r="C10" s="37" t="s">
        <v>953</v>
      </c>
      <c r="D10" s="55" t="s">
        <v>1027</v>
      </c>
      <c r="E10" s="57" t="s">
        <v>1028</v>
      </c>
      <c r="F10" s="12" t="s">
        <v>1029</v>
      </c>
      <c r="G10" s="12">
        <v>1</v>
      </c>
      <c r="H10" s="13">
        <v>25</v>
      </c>
      <c r="I10" s="34">
        <v>3000</v>
      </c>
      <c r="J10" s="5">
        <v>1490</v>
      </c>
      <c r="K10" s="15">
        <f>L10+3698</f>
        <v>5182</v>
      </c>
      <c r="L10" s="15">
        <v>1484</v>
      </c>
      <c r="M10" s="16">
        <f t="shared" si="0"/>
        <v>1484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/>
      <c r="T10" s="17"/>
      <c r="U10" s="17"/>
      <c r="V10" s="18"/>
      <c r="W10" s="19">
        <v>16</v>
      </c>
      <c r="X10" s="17"/>
      <c r="Y10" s="20"/>
      <c r="Z10" s="20"/>
      <c r="AA10" s="21"/>
      <c r="AB10" s="8">
        <f t="shared" si="4"/>
        <v>0.99597315436241607</v>
      </c>
      <c r="AC10" s="9">
        <f t="shared" si="5"/>
        <v>0.33333333333333331</v>
      </c>
      <c r="AD10" s="10">
        <f t="shared" si="6"/>
        <v>0.33199105145413865</v>
      </c>
      <c r="AE10" s="39">
        <f t="shared" si="7"/>
        <v>0.39945360495591647</v>
      </c>
      <c r="AF10" s="94">
        <f t="shared" si="8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162</v>
      </c>
      <c r="E11" s="57" t="s">
        <v>987</v>
      </c>
      <c r="F11" s="12" t="s">
        <v>988</v>
      </c>
      <c r="G11" s="12">
        <v>1</v>
      </c>
      <c r="H11" s="13">
        <v>25</v>
      </c>
      <c r="I11" s="34">
        <v>1600</v>
      </c>
      <c r="J11" s="14">
        <v>2240</v>
      </c>
      <c r="K11" s="15">
        <f>L11+2237</f>
        <v>2237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 t="shared" si="7"/>
        <v>0.39945360495591647</v>
      </c>
      <c r="AF11" s="94">
        <f t="shared" si="8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1076</v>
      </c>
      <c r="F12" s="12" t="s">
        <v>134</v>
      </c>
      <c r="G12" s="12">
        <v>1</v>
      </c>
      <c r="H12" s="13">
        <v>25</v>
      </c>
      <c r="I12" s="34">
        <v>2000</v>
      </c>
      <c r="J12" s="5">
        <v>570</v>
      </c>
      <c r="K12" s="15">
        <f>L12</f>
        <v>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 t="shared" si="7"/>
        <v>0.39945360495591647</v>
      </c>
      <c r="AF12" s="94">
        <f t="shared" si="8"/>
        <v>7</v>
      </c>
    </row>
    <row r="13" spans="1:32" ht="27" customHeight="1">
      <c r="A13" s="110">
        <v>8</v>
      </c>
      <c r="B13" s="11" t="s">
        <v>59</v>
      </c>
      <c r="C13" s="11" t="s">
        <v>1077</v>
      </c>
      <c r="D13" s="55" t="s">
        <v>207</v>
      </c>
      <c r="E13" s="57" t="s">
        <v>1078</v>
      </c>
      <c r="F13" s="12" t="s">
        <v>1079</v>
      </c>
      <c r="G13" s="12">
        <v>1</v>
      </c>
      <c r="H13" s="13">
        <v>25</v>
      </c>
      <c r="I13" s="7">
        <v>3000</v>
      </c>
      <c r="J13" s="14">
        <v>3630</v>
      </c>
      <c r="K13" s="15">
        <f>L13</f>
        <v>3627</v>
      </c>
      <c r="L13" s="15">
        <f>961+2666</f>
        <v>3627</v>
      </c>
      <c r="M13" s="16">
        <f t="shared" si="0"/>
        <v>3627</v>
      </c>
      <c r="N13" s="16">
        <v>0</v>
      </c>
      <c r="O13" s="62">
        <f t="shared" si="1"/>
        <v>0</v>
      </c>
      <c r="P13" s="42">
        <f t="shared" si="2"/>
        <v>19</v>
      </c>
      <c r="Q13" s="43">
        <f t="shared" si="3"/>
        <v>5</v>
      </c>
      <c r="R13" s="7"/>
      <c r="S13" s="6">
        <v>5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0.99917355371900829</v>
      </c>
      <c r="AC13" s="9">
        <f t="shared" si="5"/>
        <v>0.79166666666666663</v>
      </c>
      <c r="AD13" s="10">
        <f t="shared" si="6"/>
        <v>0.79101239669421486</v>
      </c>
      <c r="AE13" s="39">
        <f t="shared" si="7"/>
        <v>0.39945360495591647</v>
      </c>
      <c r="AF13" s="94">
        <f t="shared" si="8"/>
        <v>8</v>
      </c>
    </row>
    <row r="14" spans="1:32" ht="27" customHeight="1">
      <c r="A14" s="109">
        <v>9</v>
      </c>
      <c r="B14" s="11" t="s">
        <v>59</v>
      </c>
      <c r="C14" s="37" t="s">
        <v>989</v>
      </c>
      <c r="D14" s="55" t="s">
        <v>136</v>
      </c>
      <c r="E14" s="57" t="s">
        <v>990</v>
      </c>
      <c r="F14" s="33" t="s">
        <v>139</v>
      </c>
      <c r="G14" s="36">
        <v>1</v>
      </c>
      <c r="H14" s="38">
        <v>25</v>
      </c>
      <c r="I14" s="7">
        <v>11000</v>
      </c>
      <c r="J14" s="5">
        <v>5030</v>
      </c>
      <c r="K14" s="15">
        <f>L14+4993+5196</f>
        <v>15215</v>
      </c>
      <c r="L14" s="15">
        <f>2632+2394</f>
        <v>5026</v>
      </c>
      <c r="M14" s="16">
        <f t="shared" si="0"/>
        <v>5026</v>
      </c>
      <c r="N14" s="16">
        <v>0</v>
      </c>
      <c r="O14" s="62">
        <f t="shared" si="1"/>
        <v>0</v>
      </c>
      <c r="P14" s="42">
        <f t="shared" si="2"/>
        <v>24</v>
      </c>
      <c r="Q14" s="43">
        <f t="shared" si="3"/>
        <v>0</v>
      </c>
      <c r="R14" s="7"/>
      <c r="S14" s="6"/>
      <c r="T14" s="17"/>
      <c r="U14" s="17"/>
      <c r="V14" s="18"/>
      <c r="W14" s="19"/>
      <c r="X14" s="17"/>
      <c r="Y14" s="20"/>
      <c r="Z14" s="20"/>
      <c r="AA14" s="21"/>
      <c r="AB14" s="8">
        <f t="shared" si="4"/>
        <v>0.99920477137176933</v>
      </c>
      <c r="AC14" s="9">
        <f t="shared" si="5"/>
        <v>1</v>
      </c>
      <c r="AD14" s="10">
        <f t="shared" si="6"/>
        <v>0.99920477137176933</v>
      </c>
      <c r="AE14" s="39">
        <f t="shared" si="7"/>
        <v>0.39945360495591647</v>
      </c>
      <c r="AF14" s="94">
        <f t="shared" si="8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4500</v>
      </c>
      <c r="K15" s="15">
        <f>L15+4500</f>
        <v>4500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 t="shared" si="7"/>
        <v>0.39945360495591647</v>
      </c>
      <c r="AF15" s="94">
        <f t="shared" si="8"/>
        <v>10</v>
      </c>
    </row>
    <row r="16" spans="1:32" ht="27" customHeight="1">
      <c r="A16" s="109">
        <v>11</v>
      </c>
      <c r="B16" s="11" t="s">
        <v>59</v>
      </c>
      <c r="C16" s="11" t="s">
        <v>182</v>
      </c>
      <c r="D16" s="55" t="s">
        <v>136</v>
      </c>
      <c r="E16" s="56" t="s">
        <v>218</v>
      </c>
      <c r="F16" s="12" t="s">
        <v>127</v>
      </c>
      <c r="G16" s="36">
        <v>1</v>
      </c>
      <c r="H16" s="38">
        <v>25</v>
      </c>
      <c r="I16" s="7">
        <v>3000</v>
      </c>
      <c r="J16" s="14">
        <v>490</v>
      </c>
      <c r="K16" s="15">
        <f>L16+3264</f>
        <v>3753</v>
      </c>
      <c r="L16" s="15">
        <v>489</v>
      </c>
      <c r="M16" s="16">
        <f t="shared" si="0"/>
        <v>489</v>
      </c>
      <c r="N16" s="16">
        <v>0</v>
      </c>
      <c r="O16" s="62">
        <f t="shared" si="1"/>
        <v>0</v>
      </c>
      <c r="P16" s="42">
        <f t="shared" si="2"/>
        <v>3</v>
      </c>
      <c r="Q16" s="43">
        <f t="shared" si="3"/>
        <v>21</v>
      </c>
      <c r="R16" s="7"/>
      <c r="S16" s="6"/>
      <c r="T16" s="17"/>
      <c r="U16" s="17"/>
      <c r="V16" s="18"/>
      <c r="W16" s="19">
        <v>21</v>
      </c>
      <c r="X16" s="17"/>
      <c r="Y16" s="20"/>
      <c r="Z16" s="20"/>
      <c r="AA16" s="21"/>
      <c r="AB16" s="8">
        <f t="shared" si="4"/>
        <v>0.99795918367346936</v>
      </c>
      <c r="AC16" s="9">
        <f t="shared" si="5"/>
        <v>0.125</v>
      </c>
      <c r="AD16" s="10">
        <f t="shared" si="6"/>
        <v>0.12474489795918367</v>
      </c>
      <c r="AE16" s="39">
        <f t="shared" si="7"/>
        <v>0.39945360495591647</v>
      </c>
      <c r="AF16" s="94">
        <f t="shared" si="8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1080</v>
      </c>
      <c r="E17" s="56" t="s">
        <v>1081</v>
      </c>
      <c r="F17" s="12">
        <v>8301</v>
      </c>
      <c r="G17" s="12">
        <v>1</v>
      </c>
      <c r="H17" s="13">
        <v>25</v>
      </c>
      <c r="I17" s="34">
        <v>15000</v>
      </c>
      <c r="J17" s="5">
        <v>2930</v>
      </c>
      <c r="K17" s="15">
        <f>L17</f>
        <v>2929</v>
      </c>
      <c r="L17" s="15">
        <f>1498+1431</f>
        <v>2929</v>
      </c>
      <c r="M17" s="16">
        <f t="shared" si="0"/>
        <v>2929</v>
      </c>
      <c r="N17" s="16">
        <v>0</v>
      </c>
      <c r="O17" s="62">
        <f t="shared" si="1"/>
        <v>0</v>
      </c>
      <c r="P17" s="42">
        <f t="shared" si="2"/>
        <v>16</v>
      </c>
      <c r="Q17" s="43">
        <f t="shared" si="3"/>
        <v>8</v>
      </c>
      <c r="R17" s="7"/>
      <c r="S17" s="6">
        <v>8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0.99965870307167237</v>
      </c>
      <c r="AC17" s="9">
        <f t="shared" si="5"/>
        <v>0.66666666666666663</v>
      </c>
      <c r="AD17" s="10">
        <f t="shared" si="6"/>
        <v>0.66643913538111488</v>
      </c>
      <c r="AE17" s="39">
        <f t="shared" si="7"/>
        <v>0.39945360495591647</v>
      </c>
      <c r="AF17" s="94">
        <f t="shared" si="8"/>
        <v>12</v>
      </c>
    </row>
    <row r="18" spans="1:32" ht="27" customHeight="1">
      <c r="A18" s="110">
        <v>13</v>
      </c>
      <c r="B18" s="11" t="s">
        <v>59</v>
      </c>
      <c r="C18" s="37" t="s">
        <v>182</v>
      </c>
      <c r="D18" s="55" t="s">
        <v>1082</v>
      </c>
      <c r="E18" s="56" t="s">
        <v>1083</v>
      </c>
      <c r="F18" s="33" t="s">
        <v>127</v>
      </c>
      <c r="G18" s="36">
        <v>1</v>
      </c>
      <c r="H18" s="38">
        <v>25</v>
      </c>
      <c r="I18" s="7">
        <v>3000</v>
      </c>
      <c r="J18" s="5">
        <v>3370</v>
      </c>
      <c r="K18" s="15">
        <f>L18</f>
        <v>3365</v>
      </c>
      <c r="L18" s="15">
        <f>527+2838</f>
        <v>3365</v>
      </c>
      <c r="M18" s="16">
        <f t="shared" ref="M18" si="9">L18-N18</f>
        <v>3365</v>
      </c>
      <c r="N18" s="16">
        <v>0</v>
      </c>
      <c r="O18" s="62">
        <f t="shared" ref="O18" si="10">IF(L18=0,"0",N18/L18)</f>
        <v>0</v>
      </c>
      <c r="P18" s="42">
        <f t="shared" ref="P18" si="11">IF(L18=0,"0",(24-Q18))</f>
        <v>15</v>
      </c>
      <c r="Q18" s="43">
        <f t="shared" ref="Q18" si="12">SUM(R18:AA18)</f>
        <v>9</v>
      </c>
      <c r="R18" s="7"/>
      <c r="S18" s="6"/>
      <c r="T18" s="17">
        <v>9</v>
      </c>
      <c r="U18" s="17"/>
      <c r="V18" s="18"/>
      <c r="W18" s="19"/>
      <c r="X18" s="17"/>
      <c r="Y18" s="20"/>
      <c r="Z18" s="20"/>
      <c r="AA18" s="21"/>
      <c r="AB18" s="8">
        <f t="shared" ref="AB18" si="13">IF(J18=0,"0",(L18/J18))</f>
        <v>0.99851632047477745</v>
      </c>
      <c r="AC18" s="9">
        <f t="shared" ref="AC18" si="14">IF(P18=0,"0",(P18/24))</f>
        <v>0.625</v>
      </c>
      <c r="AD18" s="10">
        <f t="shared" ref="AD18" si="15">AC18*AB18*(1-O18)</f>
        <v>0.62407270029673589</v>
      </c>
      <c r="AE18" s="39">
        <f t="shared" si="7"/>
        <v>0.39945360495591647</v>
      </c>
      <c r="AF18" s="94">
        <f t="shared" ref="AF18" si="16">A18</f>
        <v>13</v>
      </c>
    </row>
    <row r="19" spans="1:32" ht="27" customHeight="1">
      <c r="A19" s="110">
        <v>13</v>
      </c>
      <c r="B19" s="11" t="s">
        <v>59</v>
      </c>
      <c r="C19" s="37" t="s">
        <v>182</v>
      </c>
      <c r="D19" s="55" t="s">
        <v>133</v>
      </c>
      <c r="E19" s="56" t="s">
        <v>1041</v>
      </c>
      <c r="F19" s="33" t="s">
        <v>127</v>
      </c>
      <c r="G19" s="36">
        <v>1</v>
      </c>
      <c r="H19" s="38">
        <v>25</v>
      </c>
      <c r="I19" s="7">
        <v>3000</v>
      </c>
      <c r="J19" s="5">
        <v>1810</v>
      </c>
      <c r="K19" s="15">
        <f>L19+2783</f>
        <v>4593</v>
      </c>
      <c r="L19" s="15">
        <v>1810</v>
      </c>
      <c r="M19" s="16">
        <f t="shared" si="0"/>
        <v>1810</v>
      </c>
      <c r="N19" s="16">
        <v>0</v>
      </c>
      <c r="O19" s="62">
        <f t="shared" si="1"/>
        <v>0</v>
      </c>
      <c r="P19" s="42">
        <f t="shared" si="2"/>
        <v>8</v>
      </c>
      <c r="Q19" s="43">
        <f t="shared" si="3"/>
        <v>16</v>
      </c>
      <c r="R19" s="7"/>
      <c r="S19" s="6"/>
      <c r="T19" s="17"/>
      <c r="U19" s="17"/>
      <c r="V19" s="18"/>
      <c r="W19" s="19">
        <v>16</v>
      </c>
      <c r="X19" s="17"/>
      <c r="Y19" s="20"/>
      <c r="Z19" s="20"/>
      <c r="AA19" s="21"/>
      <c r="AB19" s="8">
        <f t="shared" si="4"/>
        <v>1</v>
      </c>
      <c r="AC19" s="9">
        <f t="shared" si="5"/>
        <v>0.33333333333333331</v>
      </c>
      <c r="AD19" s="10">
        <f t="shared" si="6"/>
        <v>0.33333333333333331</v>
      </c>
      <c r="AE19" s="39">
        <f t="shared" si="7"/>
        <v>0.39945360495591647</v>
      </c>
      <c r="AF19" s="94">
        <f t="shared" si="8"/>
        <v>13</v>
      </c>
    </row>
    <row r="20" spans="1:32" ht="27" customHeight="1">
      <c r="A20" s="110">
        <v>14</v>
      </c>
      <c r="B20" s="11" t="s">
        <v>1042</v>
      </c>
      <c r="C20" s="37" t="s">
        <v>182</v>
      </c>
      <c r="D20" s="55" t="s">
        <v>175</v>
      </c>
      <c r="E20" s="57" t="s">
        <v>1043</v>
      </c>
      <c r="F20" s="33" t="s">
        <v>1044</v>
      </c>
      <c r="G20" s="36">
        <v>1</v>
      </c>
      <c r="H20" s="38">
        <v>25</v>
      </c>
      <c r="I20" s="34">
        <v>15000</v>
      </c>
      <c r="J20" s="5">
        <v>3250</v>
      </c>
      <c r="K20" s="15">
        <f>L20+3980</f>
        <v>7224</v>
      </c>
      <c r="L20" s="15">
        <f>1134+2110</f>
        <v>3244</v>
      </c>
      <c r="M20" s="16">
        <f t="shared" si="0"/>
        <v>3244</v>
      </c>
      <c r="N20" s="16">
        <v>0</v>
      </c>
      <c r="O20" s="62">
        <f t="shared" si="1"/>
        <v>0</v>
      </c>
      <c r="P20" s="42">
        <f t="shared" si="2"/>
        <v>18</v>
      </c>
      <c r="Q20" s="43">
        <f t="shared" si="3"/>
        <v>6</v>
      </c>
      <c r="R20" s="7"/>
      <c r="S20" s="6">
        <v>6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0.99815384615384617</v>
      </c>
      <c r="AC20" s="9">
        <f t="shared" si="5"/>
        <v>0.75</v>
      </c>
      <c r="AD20" s="10">
        <f t="shared" si="6"/>
        <v>0.74861538461538468</v>
      </c>
      <c r="AE20" s="39">
        <f t="shared" si="7"/>
        <v>0.39945360495591647</v>
      </c>
      <c r="AF20" s="94">
        <f t="shared" si="8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143</v>
      </c>
      <c r="E21" s="56"/>
      <c r="F21" s="12" t="s">
        <v>120</v>
      </c>
      <c r="G21" s="12">
        <v>4</v>
      </c>
      <c r="H21" s="38">
        <v>20</v>
      </c>
      <c r="I21" s="7">
        <v>200000</v>
      </c>
      <c r="J21" s="14">
        <v>35770</v>
      </c>
      <c r="K21" s="15">
        <f>L21+40636+52572+50384+54156+47100+55408+54312+54884+35764</f>
        <v>445216</v>
      </c>
      <c r="L21" s="15"/>
      <c r="M21" s="16">
        <f t="shared" si="0"/>
        <v>0</v>
      </c>
      <c r="N21" s="16">
        <v>0</v>
      </c>
      <c r="O21" s="62" t="str">
        <f t="shared" si="1"/>
        <v>0</v>
      </c>
      <c r="P21" s="42" t="str">
        <f t="shared" si="2"/>
        <v>0</v>
      </c>
      <c r="Q21" s="43">
        <f t="shared" si="3"/>
        <v>24</v>
      </c>
      <c r="R21" s="7"/>
      <c r="S21" s="6"/>
      <c r="T21" s="17"/>
      <c r="U21" s="17"/>
      <c r="V21" s="18"/>
      <c r="W21" s="19">
        <v>24</v>
      </c>
      <c r="X21" s="17"/>
      <c r="Y21" s="20"/>
      <c r="Z21" s="20"/>
      <c r="AA21" s="21"/>
      <c r="AB21" s="8">
        <f t="shared" si="4"/>
        <v>0</v>
      </c>
      <c r="AC21" s="9">
        <f t="shared" si="5"/>
        <v>0</v>
      </c>
      <c r="AD21" s="10">
        <f t="shared" si="6"/>
        <v>0</v>
      </c>
      <c r="AE21" s="39">
        <f t="shared" si="7"/>
        <v>0.39945360495591647</v>
      </c>
      <c r="AF21" s="94">
        <f t="shared" si="8"/>
        <v>15</v>
      </c>
    </row>
    <row r="22" spans="1:32" ht="31.5" customHeight="1" thickBot="1">
      <c r="A22" s="457" t="s">
        <v>34</v>
      </c>
      <c r="B22" s="458"/>
      <c r="C22" s="458"/>
      <c r="D22" s="458"/>
      <c r="E22" s="458"/>
      <c r="F22" s="458"/>
      <c r="G22" s="458"/>
      <c r="H22" s="459"/>
      <c r="I22" s="25">
        <f t="shared" ref="I22:N22" si="17">SUM(I6:I21)</f>
        <v>372600</v>
      </c>
      <c r="J22" s="22">
        <f t="shared" si="17"/>
        <v>73780</v>
      </c>
      <c r="K22" s="23">
        <f t="shared" si="17"/>
        <v>585419</v>
      </c>
      <c r="L22" s="24">
        <f t="shared" si="17"/>
        <v>28432</v>
      </c>
      <c r="M22" s="23">
        <f t="shared" si="17"/>
        <v>28432</v>
      </c>
      <c r="N22" s="24">
        <f t="shared" si="17"/>
        <v>0</v>
      </c>
      <c r="O22" s="44">
        <f t="shared" si="1"/>
        <v>0</v>
      </c>
      <c r="P22" s="45">
        <f t="shared" ref="P22:AA22" si="18">SUM(P6:P21)</f>
        <v>144</v>
      </c>
      <c r="Q22" s="46">
        <f t="shared" si="18"/>
        <v>240</v>
      </c>
      <c r="R22" s="26">
        <f t="shared" si="18"/>
        <v>24</v>
      </c>
      <c r="S22" s="27">
        <f t="shared" si="18"/>
        <v>45</v>
      </c>
      <c r="T22" s="27">
        <f t="shared" si="18"/>
        <v>9</v>
      </c>
      <c r="U22" s="27">
        <f t="shared" si="18"/>
        <v>0</v>
      </c>
      <c r="V22" s="28">
        <f t="shared" si="18"/>
        <v>0</v>
      </c>
      <c r="W22" s="29">
        <f t="shared" si="18"/>
        <v>162</v>
      </c>
      <c r="X22" s="30">
        <f t="shared" si="18"/>
        <v>0</v>
      </c>
      <c r="Y22" s="30">
        <f t="shared" si="18"/>
        <v>0</v>
      </c>
      <c r="Z22" s="30">
        <f t="shared" si="18"/>
        <v>0</v>
      </c>
      <c r="AA22" s="30">
        <f t="shared" si="18"/>
        <v>0</v>
      </c>
      <c r="AB22" s="31">
        <f>SUM(AB6:AB21)/15</f>
        <v>0.66557528256344201</v>
      </c>
      <c r="AC22" s="4">
        <f>SUM(AC6:AC21)/15</f>
        <v>0.4</v>
      </c>
      <c r="AD22" s="4">
        <f>SUM(AD6:AD21)/15</f>
        <v>0.39945360495591647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60" t="s">
        <v>46</v>
      </c>
      <c r="B49" s="460"/>
      <c r="C49" s="460"/>
      <c r="D49" s="460"/>
      <c r="E49" s="460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61" t="s">
        <v>1084</v>
      </c>
      <c r="B50" s="462"/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3"/>
      <c r="N50" s="464" t="s">
        <v>1096</v>
      </c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67" t="s">
        <v>2</v>
      </c>
      <c r="B51" s="468"/>
      <c r="C51" s="370" t="s">
        <v>47</v>
      </c>
      <c r="D51" s="370" t="s">
        <v>48</v>
      </c>
      <c r="E51" s="370" t="s">
        <v>113</v>
      </c>
      <c r="F51" s="468" t="s">
        <v>112</v>
      </c>
      <c r="G51" s="468"/>
      <c r="H51" s="468"/>
      <c r="I51" s="468"/>
      <c r="J51" s="468"/>
      <c r="K51" s="468"/>
      <c r="L51" s="468"/>
      <c r="M51" s="469"/>
      <c r="N51" s="73" t="s">
        <v>117</v>
      </c>
      <c r="O51" s="370" t="s">
        <v>47</v>
      </c>
      <c r="P51" s="470" t="s">
        <v>48</v>
      </c>
      <c r="Q51" s="471"/>
      <c r="R51" s="470" t="s">
        <v>39</v>
      </c>
      <c r="S51" s="472"/>
      <c r="T51" s="472"/>
      <c r="U51" s="471"/>
      <c r="V51" s="470" t="s">
        <v>49</v>
      </c>
      <c r="W51" s="472"/>
      <c r="X51" s="472"/>
      <c r="Y51" s="472"/>
      <c r="Z51" s="472"/>
      <c r="AA51" s="472"/>
      <c r="AB51" s="472"/>
      <c r="AC51" s="472"/>
      <c r="AD51" s="473"/>
    </row>
    <row r="52" spans="1:32" ht="27" customHeight="1">
      <c r="A52" s="453" t="s">
        <v>129</v>
      </c>
      <c r="B52" s="454"/>
      <c r="C52" s="369" t="s">
        <v>172</v>
      </c>
      <c r="D52" s="366" t="s">
        <v>992</v>
      </c>
      <c r="E52" s="369" t="s">
        <v>984</v>
      </c>
      <c r="F52" s="432" t="s">
        <v>1085</v>
      </c>
      <c r="G52" s="432"/>
      <c r="H52" s="432"/>
      <c r="I52" s="432"/>
      <c r="J52" s="432"/>
      <c r="K52" s="432"/>
      <c r="L52" s="432"/>
      <c r="M52" s="446"/>
      <c r="N52" s="365" t="s">
        <v>122</v>
      </c>
      <c r="O52" s="74" t="s">
        <v>199</v>
      </c>
      <c r="P52" s="451" t="s">
        <v>144</v>
      </c>
      <c r="Q52" s="452"/>
      <c r="R52" s="445" t="s">
        <v>1065</v>
      </c>
      <c r="S52" s="445"/>
      <c r="T52" s="445"/>
      <c r="U52" s="445"/>
      <c r="V52" s="432" t="s">
        <v>1086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129</v>
      </c>
      <c r="B53" s="454"/>
      <c r="C53" s="369" t="s">
        <v>268</v>
      </c>
      <c r="D53" s="366" t="s">
        <v>58</v>
      </c>
      <c r="E53" s="369" t="s">
        <v>1047</v>
      </c>
      <c r="F53" s="432" t="s">
        <v>1086</v>
      </c>
      <c r="G53" s="432"/>
      <c r="H53" s="432"/>
      <c r="I53" s="432"/>
      <c r="J53" s="432"/>
      <c r="K53" s="432"/>
      <c r="L53" s="432"/>
      <c r="M53" s="446"/>
      <c r="N53" s="365" t="s">
        <v>122</v>
      </c>
      <c r="O53" s="74" t="s">
        <v>653</v>
      </c>
      <c r="P53" s="451" t="s">
        <v>1067</v>
      </c>
      <c r="Q53" s="452"/>
      <c r="R53" s="445" t="s">
        <v>1068</v>
      </c>
      <c r="S53" s="445"/>
      <c r="T53" s="445"/>
      <c r="U53" s="445"/>
      <c r="V53" s="432" t="s">
        <v>1086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1087</v>
      </c>
      <c r="B54" s="454"/>
      <c r="C54" s="369" t="s">
        <v>653</v>
      </c>
      <c r="D54" s="366" t="s">
        <v>1088</v>
      </c>
      <c r="E54" s="369" t="s">
        <v>1081</v>
      </c>
      <c r="F54" s="432" t="s">
        <v>1089</v>
      </c>
      <c r="G54" s="432"/>
      <c r="H54" s="432"/>
      <c r="I54" s="432"/>
      <c r="J54" s="432"/>
      <c r="K54" s="432"/>
      <c r="L54" s="432"/>
      <c r="M54" s="446"/>
      <c r="N54" s="365" t="s">
        <v>1098</v>
      </c>
      <c r="O54" s="74" t="s">
        <v>1099</v>
      </c>
      <c r="P54" s="451"/>
      <c r="Q54" s="452"/>
      <c r="R54" s="445" t="s">
        <v>1097</v>
      </c>
      <c r="S54" s="445"/>
      <c r="T54" s="445"/>
      <c r="U54" s="445"/>
      <c r="V54" s="432" t="s">
        <v>1095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44" t="s">
        <v>129</v>
      </c>
      <c r="B55" s="445"/>
      <c r="C55" s="366" t="s">
        <v>271</v>
      </c>
      <c r="D55" s="366" t="s">
        <v>183</v>
      </c>
      <c r="E55" s="366" t="s">
        <v>1043</v>
      </c>
      <c r="F55" s="432" t="s">
        <v>1090</v>
      </c>
      <c r="G55" s="432"/>
      <c r="H55" s="432"/>
      <c r="I55" s="432"/>
      <c r="J55" s="432"/>
      <c r="K55" s="432"/>
      <c r="L55" s="432"/>
      <c r="M55" s="446"/>
      <c r="N55" s="365" t="s">
        <v>1087</v>
      </c>
      <c r="O55" s="74" t="s">
        <v>1100</v>
      </c>
      <c r="P55" s="451" t="s">
        <v>207</v>
      </c>
      <c r="Q55" s="452"/>
      <c r="R55" s="445" t="s">
        <v>1101</v>
      </c>
      <c r="S55" s="445"/>
      <c r="T55" s="445"/>
      <c r="U55" s="445"/>
      <c r="V55" s="432" t="s">
        <v>329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1087</v>
      </c>
      <c r="B56" s="454"/>
      <c r="C56" s="369" t="s">
        <v>199</v>
      </c>
      <c r="D56" s="366" t="s">
        <v>156</v>
      </c>
      <c r="E56" s="369" t="s">
        <v>1091</v>
      </c>
      <c r="F56" s="432" t="s">
        <v>1092</v>
      </c>
      <c r="G56" s="432"/>
      <c r="H56" s="432"/>
      <c r="I56" s="432"/>
      <c r="J56" s="432"/>
      <c r="K56" s="432"/>
      <c r="L56" s="432"/>
      <c r="M56" s="446"/>
      <c r="N56" s="365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182</v>
      </c>
      <c r="B57" s="445"/>
      <c r="C57" s="366" t="s">
        <v>1093</v>
      </c>
      <c r="D57" s="366" t="s">
        <v>1094</v>
      </c>
      <c r="E57" s="369" t="s">
        <v>155</v>
      </c>
      <c r="F57" s="432" t="s">
        <v>1095</v>
      </c>
      <c r="G57" s="432"/>
      <c r="H57" s="432"/>
      <c r="I57" s="432"/>
      <c r="J57" s="432"/>
      <c r="K57" s="432"/>
      <c r="L57" s="432"/>
      <c r="M57" s="446"/>
      <c r="N57" s="365"/>
      <c r="O57" s="74"/>
      <c r="P57" s="445"/>
      <c r="Q57" s="445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/>
      <c r="B58" s="445"/>
      <c r="C58" s="366"/>
      <c r="D58" s="366"/>
      <c r="E58" s="369"/>
      <c r="F58" s="432"/>
      <c r="G58" s="432"/>
      <c r="H58" s="432"/>
      <c r="I58" s="432"/>
      <c r="J58" s="432"/>
      <c r="K58" s="432"/>
      <c r="L58" s="432"/>
      <c r="M58" s="446"/>
      <c r="N58" s="365"/>
      <c r="O58" s="74"/>
      <c r="P58" s="451"/>
      <c r="Q58" s="452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53"/>
      <c r="B59" s="454"/>
      <c r="C59" s="369"/>
      <c r="D59" s="366"/>
      <c r="E59" s="369"/>
      <c r="F59" s="432"/>
      <c r="G59" s="432"/>
      <c r="H59" s="432"/>
      <c r="I59" s="432"/>
      <c r="J59" s="432"/>
      <c r="K59" s="432"/>
      <c r="L59" s="432"/>
      <c r="M59" s="446"/>
      <c r="N59" s="365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44"/>
      <c r="B60" s="445"/>
      <c r="C60" s="366"/>
      <c r="D60" s="366"/>
      <c r="E60" s="366"/>
      <c r="F60" s="432"/>
      <c r="G60" s="432"/>
      <c r="H60" s="432"/>
      <c r="I60" s="432"/>
      <c r="J60" s="432"/>
      <c r="K60" s="432"/>
      <c r="L60" s="432"/>
      <c r="M60" s="446"/>
      <c r="N60" s="365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  <c r="AF60" s="94">
        <f>8*3000</f>
        <v>24000</v>
      </c>
    </row>
    <row r="61" spans="1:32" ht="27" customHeight="1" thickBot="1">
      <c r="A61" s="447"/>
      <c r="B61" s="448"/>
      <c r="C61" s="368"/>
      <c r="D61" s="368"/>
      <c r="E61" s="368"/>
      <c r="F61" s="449"/>
      <c r="G61" s="449"/>
      <c r="H61" s="449"/>
      <c r="I61" s="449"/>
      <c r="J61" s="449"/>
      <c r="K61" s="449"/>
      <c r="L61" s="449"/>
      <c r="M61" s="450"/>
      <c r="N61" s="367"/>
      <c r="O61" s="121"/>
      <c r="P61" s="448"/>
      <c r="Q61" s="448"/>
      <c r="R61" s="448"/>
      <c r="S61" s="448"/>
      <c r="T61" s="448"/>
      <c r="U61" s="448"/>
      <c r="V61" s="449"/>
      <c r="W61" s="449"/>
      <c r="X61" s="449"/>
      <c r="Y61" s="449"/>
      <c r="Z61" s="449"/>
      <c r="AA61" s="449"/>
      <c r="AB61" s="449"/>
      <c r="AC61" s="449"/>
      <c r="AD61" s="450"/>
      <c r="AF61" s="94">
        <f>16*3000</f>
        <v>48000</v>
      </c>
    </row>
    <row r="62" spans="1:32" ht="27.75" thickBot="1">
      <c r="A62" s="442" t="s">
        <v>1102</v>
      </c>
      <c r="B62" s="442"/>
      <c r="C62" s="442"/>
      <c r="D62" s="442"/>
      <c r="E62" s="44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3" t="s">
        <v>118</v>
      </c>
      <c r="B63" s="439"/>
      <c r="C63" s="363" t="s">
        <v>2</v>
      </c>
      <c r="D63" s="363" t="s">
        <v>38</v>
      </c>
      <c r="E63" s="363" t="s">
        <v>3</v>
      </c>
      <c r="F63" s="439" t="s">
        <v>115</v>
      </c>
      <c r="G63" s="439"/>
      <c r="H63" s="439"/>
      <c r="I63" s="439"/>
      <c r="J63" s="439"/>
      <c r="K63" s="439" t="s">
        <v>40</v>
      </c>
      <c r="L63" s="439"/>
      <c r="M63" s="363" t="s">
        <v>41</v>
      </c>
      <c r="N63" s="439" t="s">
        <v>42</v>
      </c>
      <c r="O63" s="439"/>
      <c r="P63" s="436" t="s">
        <v>43</v>
      </c>
      <c r="Q63" s="438"/>
      <c r="R63" s="436" t="s">
        <v>44</v>
      </c>
      <c r="S63" s="437"/>
      <c r="T63" s="437"/>
      <c r="U63" s="437"/>
      <c r="V63" s="437"/>
      <c r="W63" s="437"/>
      <c r="X63" s="437"/>
      <c r="Y63" s="437"/>
      <c r="Z63" s="437"/>
      <c r="AA63" s="438"/>
      <c r="AB63" s="439" t="s">
        <v>45</v>
      </c>
      <c r="AC63" s="439"/>
      <c r="AD63" s="440"/>
      <c r="AF63" s="94">
        <f>SUM(AF60:AF62)</f>
        <v>96000</v>
      </c>
    </row>
    <row r="64" spans="1:32" ht="25.5" customHeight="1">
      <c r="A64" s="429">
        <v>1</v>
      </c>
      <c r="B64" s="430"/>
      <c r="C64" s="364" t="s">
        <v>1103</v>
      </c>
      <c r="D64" s="359"/>
      <c r="E64" s="361" t="s">
        <v>207</v>
      </c>
      <c r="F64" s="421" t="s">
        <v>1104</v>
      </c>
      <c r="G64" s="421"/>
      <c r="H64" s="421"/>
      <c r="I64" s="421"/>
      <c r="J64" s="421"/>
      <c r="K64" s="421" t="s">
        <v>1105</v>
      </c>
      <c r="L64" s="421"/>
      <c r="M64" s="54" t="s">
        <v>1106</v>
      </c>
      <c r="N64" s="421">
        <v>8</v>
      </c>
      <c r="O64" s="421"/>
      <c r="P64" s="431">
        <v>30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5.5" customHeight="1">
      <c r="A65" s="429">
        <v>2</v>
      </c>
      <c r="B65" s="430"/>
      <c r="C65" s="364" t="s">
        <v>493</v>
      </c>
      <c r="D65" s="359"/>
      <c r="E65" s="361" t="s">
        <v>1107</v>
      </c>
      <c r="F65" s="496" t="s">
        <v>1108</v>
      </c>
      <c r="G65" s="421"/>
      <c r="H65" s="421"/>
      <c r="I65" s="421"/>
      <c r="J65" s="421"/>
      <c r="K65" s="421" t="s">
        <v>1105</v>
      </c>
      <c r="L65" s="421"/>
      <c r="M65" s="54" t="s">
        <v>1106</v>
      </c>
      <c r="N65" s="421">
        <v>8</v>
      </c>
      <c r="O65" s="421"/>
      <c r="P65" s="431">
        <v>30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5.5" customHeight="1">
      <c r="A66" s="429">
        <v>3</v>
      </c>
      <c r="B66" s="430"/>
      <c r="C66" s="364" t="s">
        <v>1109</v>
      </c>
      <c r="D66" s="359"/>
      <c r="E66" s="361"/>
      <c r="F66" s="496" t="s">
        <v>1110</v>
      </c>
      <c r="G66" s="421"/>
      <c r="H66" s="421"/>
      <c r="I66" s="421"/>
      <c r="J66" s="421"/>
      <c r="K66" s="441" t="s">
        <v>1111</v>
      </c>
      <c r="L66" s="441"/>
      <c r="M66" s="54" t="s">
        <v>1112</v>
      </c>
      <c r="N66" s="421">
        <v>10</v>
      </c>
      <c r="O66" s="421"/>
      <c r="P66" s="431">
        <v>80</v>
      </c>
      <c r="Q66" s="431"/>
      <c r="R66" s="432" t="s">
        <v>1113</v>
      </c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5.5" customHeight="1">
      <c r="A67" s="429">
        <v>4</v>
      </c>
      <c r="B67" s="430"/>
      <c r="C67" s="364" t="s">
        <v>182</v>
      </c>
      <c r="D67" s="359"/>
      <c r="E67" s="361" t="s">
        <v>1114</v>
      </c>
      <c r="F67" s="421" t="s">
        <v>1115</v>
      </c>
      <c r="G67" s="421"/>
      <c r="H67" s="421"/>
      <c r="I67" s="421"/>
      <c r="J67" s="421"/>
      <c r="K67" s="421" t="s">
        <v>1116</v>
      </c>
      <c r="L67" s="421"/>
      <c r="M67" s="54" t="s">
        <v>1117</v>
      </c>
      <c r="N67" s="421">
        <v>3</v>
      </c>
      <c r="O67" s="421"/>
      <c r="P67" s="431">
        <v>200</v>
      </c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5.5" customHeight="1">
      <c r="A68" s="429">
        <v>5</v>
      </c>
      <c r="B68" s="430"/>
      <c r="C68" s="364"/>
      <c r="D68" s="359"/>
      <c r="E68" s="361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5.5" customHeight="1">
      <c r="A69" s="429">
        <v>6</v>
      </c>
      <c r="B69" s="430"/>
      <c r="C69" s="364"/>
      <c r="D69" s="359"/>
      <c r="E69" s="361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5.5" customHeight="1">
      <c r="A70" s="429">
        <v>7</v>
      </c>
      <c r="B70" s="430"/>
      <c r="C70" s="364"/>
      <c r="D70" s="359"/>
      <c r="E70" s="361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5.5" customHeight="1">
      <c r="A71" s="429">
        <v>8</v>
      </c>
      <c r="B71" s="430"/>
      <c r="C71" s="364"/>
      <c r="D71" s="359"/>
      <c r="E71" s="361"/>
      <c r="F71" s="496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26.25" customHeight="1" thickBot="1">
      <c r="A72" s="400" t="s">
        <v>1118</v>
      </c>
      <c r="B72" s="400"/>
      <c r="C72" s="400"/>
      <c r="D72" s="400"/>
      <c r="E72" s="40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3" t="s">
        <v>118</v>
      </c>
      <c r="B73" s="424"/>
      <c r="C73" s="362" t="s">
        <v>2</v>
      </c>
      <c r="D73" s="362" t="s">
        <v>38</v>
      </c>
      <c r="E73" s="362" t="s">
        <v>3</v>
      </c>
      <c r="F73" s="424" t="s">
        <v>39</v>
      </c>
      <c r="G73" s="424"/>
      <c r="H73" s="424"/>
      <c r="I73" s="424"/>
      <c r="J73" s="424"/>
      <c r="K73" s="425" t="s">
        <v>60</v>
      </c>
      <c r="L73" s="426"/>
      <c r="M73" s="426"/>
      <c r="N73" s="426"/>
      <c r="O73" s="426"/>
      <c r="P73" s="426"/>
      <c r="Q73" s="426"/>
      <c r="R73" s="426"/>
      <c r="S73" s="427"/>
      <c r="T73" s="424" t="s">
        <v>50</v>
      </c>
      <c r="U73" s="424"/>
      <c r="V73" s="425" t="s">
        <v>51</v>
      </c>
      <c r="W73" s="427"/>
      <c r="X73" s="426" t="s">
        <v>52</v>
      </c>
      <c r="Y73" s="426"/>
      <c r="Z73" s="426"/>
      <c r="AA73" s="426"/>
      <c r="AB73" s="426"/>
      <c r="AC73" s="426"/>
      <c r="AD73" s="428"/>
      <c r="AF73" s="53"/>
    </row>
    <row r="74" spans="1:32" ht="33.75" customHeight="1">
      <c r="A74" s="408">
        <v>1</v>
      </c>
      <c r="B74" s="409"/>
      <c r="C74" s="360" t="s">
        <v>62</v>
      </c>
      <c r="D74" s="360"/>
      <c r="E74" s="71" t="s">
        <v>58</v>
      </c>
      <c r="F74" s="410" t="s">
        <v>63</v>
      </c>
      <c r="G74" s="411"/>
      <c r="H74" s="411"/>
      <c r="I74" s="411"/>
      <c r="J74" s="412"/>
      <c r="K74" s="413" t="s">
        <v>61</v>
      </c>
      <c r="L74" s="414"/>
      <c r="M74" s="414"/>
      <c r="N74" s="414"/>
      <c r="O74" s="414"/>
      <c r="P74" s="414"/>
      <c r="Q74" s="414"/>
      <c r="R74" s="414"/>
      <c r="S74" s="415"/>
      <c r="T74" s="416">
        <v>41791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92">
        <f>A74+1</f>
        <v>2</v>
      </c>
      <c r="B75" s="393"/>
      <c r="C75" s="359" t="s">
        <v>129</v>
      </c>
      <c r="D75" s="359"/>
      <c r="E75" s="35" t="s">
        <v>121</v>
      </c>
      <c r="F75" s="393" t="s">
        <v>138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42779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ref="A76:A82" si="19">A75+1</f>
        <v>3</v>
      </c>
      <c r="B76" s="393"/>
      <c r="C76" s="359" t="s">
        <v>62</v>
      </c>
      <c r="D76" s="359"/>
      <c r="E76" s="35" t="s">
        <v>121</v>
      </c>
      <c r="F76" s="393" t="s">
        <v>125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19"/>
        <v>4</v>
      </c>
      <c r="B77" s="393"/>
      <c r="C77" s="359" t="s">
        <v>62</v>
      </c>
      <c r="D77" s="359"/>
      <c r="E77" s="35" t="s">
        <v>121</v>
      </c>
      <c r="F77" s="393" t="s">
        <v>124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19"/>
        <v>5</v>
      </c>
      <c r="B78" s="393"/>
      <c r="C78" s="359" t="s">
        <v>62</v>
      </c>
      <c r="D78" s="359"/>
      <c r="E78" s="35" t="s">
        <v>58</v>
      </c>
      <c r="F78" s="393" t="s">
        <v>126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19"/>
        <v>6</v>
      </c>
      <c r="B79" s="393"/>
      <c r="C79" s="359"/>
      <c r="D79" s="359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19"/>
        <v>7</v>
      </c>
      <c r="B80" s="393"/>
      <c r="C80" s="359"/>
      <c r="D80" s="359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19"/>
        <v>8</v>
      </c>
      <c r="B81" s="393"/>
      <c r="C81" s="359"/>
      <c r="D81" s="359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19"/>
        <v>9</v>
      </c>
      <c r="B82" s="393"/>
      <c r="C82" s="359"/>
      <c r="D82" s="359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6" thickBot="1">
      <c r="A83" s="400" t="s">
        <v>1119</v>
      </c>
      <c r="B83" s="400"/>
      <c r="C83" s="400"/>
      <c r="D83" s="400"/>
      <c r="E83" s="40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1" t="s">
        <v>37</v>
      </c>
      <c r="B84" s="396"/>
      <c r="C84" s="396" t="s">
        <v>53</v>
      </c>
      <c r="D84" s="396"/>
      <c r="E84" s="396" t="s">
        <v>54</v>
      </c>
      <c r="F84" s="396"/>
      <c r="G84" s="396"/>
      <c r="H84" s="396"/>
      <c r="I84" s="396"/>
      <c r="J84" s="396"/>
      <c r="K84" s="396" t="s">
        <v>55</v>
      </c>
      <c r="L84" s="396"/>
      <c r="M84" s="396"/>
      <c r="N84" s="396"/>
      <c r="O84" s="396"/>
      <c r="P84" s="396"/>
      <c r="Q84" s="396"/>
      <c r="R84" s="396"/>
      <c r="S84" s="396"/>
      <c r="T84" s="396" t="s">
        <v>56</v>
      </c>
      <c r="U84" s="396"/>
      <c r="V84" s="396" t="s">
        <v>57</v>
      </c>
      <c r="W84" s="396"/>
      <c r="X84" s="396"/>
      <c r="Y84" s="396" t="s">
        <v>52</v>
      </c>
      <c r="Z84" s="396"/>
      <c r="AA84" s="396"/>
      <c r="AB84" s="396"/>
      <c r="AC84" s="396"/>
      <c r="AD84" s="397"/>
      <c r="AF84" s="53"/>
    </row>
    <row r="85" spans="1:32" ht="30.75" customHeight="1">
      <c r="A85" s="398">
        <v>1</v>
      </c>
      <c r="B85" s="399"/>
      <c r="C85" s="394">
        <v>1</v>
      </c>
      <c r="D85" s="394"/>
      <c r="E85" s="394" t="s">
        <v>561</v>
      </c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 t="s">
        <v>486</v>
      </c>
      <c r="U85" s="394"/>
      <c r="V85" s="395"/>
      <c r="W85" s="395"/>
      <c r="X85" s="395"/>
      <c r="Y85" s="386" t="s">
        <v>562</v>
      </c>
      <c r="Z85" s="386"/>
      <c r="AA85" s="386"/>
      <c r="AB85" s="386"/>
      <c r="AC85" s="386"/>
      <c r="AD85" s="387"/>
      <c r="AF85" s="53"/>
    </row>
    <row r="86" spans="1:32" ht="30.75" customHeight="1">
      <c r="A86" s="392">
        <v>2</v>
      </c>
      <c r="B86" s="393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5"/>
      <c r="W86" s="395"/>
      <c r="X86" s="395"/>
      <c r="Y86" s="386"/>
      <c r="Z86" s="386"/>
      <c r="AA86" s="386"/>
      <c r="AB86" s="386"/>
      <c r="AC86" s="386"/>
      <c r="AD86" s="387"/>
      <c r="AF86" s="53"/>
    </row>
    <row r="87" spans="1:32" ht="30.75" customHeight="1" thickBot="1">
      <c r="A87" s="388">
        <v>3</v>
      </c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89"/>
      <c r="S87" s="389"/>
      <c r="T87" s="389"/>
      <c r="U87" s="389"/>
      <c r="V87" s="389"/>
      <c r="W87" s="389"/>
      <c r="X87" s="389"/>
      <c r="Y87" s="390"/>
      <c r="Z87" s="390"/>
      <c r="AA87" s="390"/>
      <c r="AB87" s="390"/>
      <c r="AC87" s="390"/>
      <c r="AD87" s="391"/>
      <c r="AF87" s="53"/>
    </row>
  </sheetData>
  <mergeCells count="230"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6"/>
  <sheetViews>
    <sheetView zoomScale="72" zoomScaleNormal="72" zoomScaleSheetLayoutView="70" workbookViewId="0">
      <selection activeCell="A83" sqref="A83:B83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1120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72" t="s">
        <v>17</v>
      </c>
      <c r="L5" s="372" t="s">
        <v>18</v>
      </c>
      <c r="M5" s="372" t="s">
        <v>19</v>
      </c>
      <c r="N5" s="37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0" si="0">L6-N6</f>
        <v>0</v>
      </c>
      <c r="N6" s="16">
        <v>0</v>
      </c>
      <c r="O6" s="62" t="str">
        <f t="shared" ref="O6:O21" si="1">IF(L6=0,"0",N6/L6)</f>
        <v>0</v>
      </c>
      <c r="P6" s="42" t="str">
        <f t="shared" ref="P6:P20" si="2">IF(L6=0,"0",(24-Q6))</f>
        <v>0</v>
      </c>
      <c r="Q6" s="43">
        <f t="shared" ref="Q6:Q20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0" si="4">IF(J6=0,"0",(L6/J6))</f>
        <v>0</v>
      </c>
      <c r="AC6" s="9">
        <f t="shared" ref="AC6:AC20" si="5">IF(P6=0,"0",(P6/24))</f>
        <v>0</v>
      </c>
      <c r="AD6" s="10">
        <f t="shared" ref="AD6:AD20" si="6">AC6*AB6*(1-O6)</f>
        <v>0</v>
      </c>
      <c r="AE6" s="39">
        <f>$AD$21</f>
        <v>0.21849761882197208</v>
      </c>
      <c r="AF6" s="94">
        <f t="shared" ref="AF6:AF20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6" t="s">
        <v>982</v>
      </c>
      <c r="F7" s="12">
        <v>7301</v>
      </c>
      <c r="G7" s="36">
        <v>1</v>
      </c>
      <c r="H7" s="38">
        <v>25</v>
      </c>
      <c r="I7" s="7">
        <v>3000</v>
      </c>
      <c r="J7" s="14">
        <v>2080</v>
      </c>
      <c r="K7" s="15">
        <f>L7+2503+3695+2071</f>
        <v>8269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>$AD$21</f>
        <v>0.21849761882197208</v>
      </c>
      <c r="AF7" s="94">
        <f>A7</f>
        <v>2</v>
      </c>
    </row>
    <row r="8" spans="1:32" ht="27" customHeight="1">
      <c r="A8" s="109">
        <v>3</v>
      </c>
      <c r="B8" s="11" t="s">
        <v>1121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20000</v>
      </c>
      <c r="J8" s="14">
        <v>2050</v>
      </c>
      <c r="K8" s="15">
        <f>L8</f>
        <v>2046</v>
      </c>
      <c r="L8" s="15">
        <f>2046</f>
        <v>2046</v>
      </c>
      <c r="M8" s="16">
        <f t="shared" si="0"/>
        <v>2046</v>
      </c>
      <c r="N8" s="16">
        <v>0</v>
      </c>
      <c r="O8" s="62">
        <f t="shared" si="1"/>
        <v>0</v>
      </c>
      <c r="P8" s="42">
        <f t="shared" si="2"/>
        <v>12</v>
      </c>
      <c r="Q8" s="43">
        <f t="shared" si="3"/>
        <v>12</v>
      </c>
      <c r="R8" s="7"/>
      <c r="S8" s="6"/>
      <c r="T8" s="17">
        <v>12</v>
      </c>
      <c r="U8" s="17"/>
      <c r="V8" s="18"/>
      <c r="W8" s="19"/>
      <c r="X8" s="17"/>
      <c r="Y8" s="20"/>
      <c r="Z8" s="20"/>
      <c r="AA8" s="21"/>
      <c r="AB8" s="8">
        <f t="shared" si="4"/>
        <v>0.99804878048780488</v>
      </c>
      <c r="AC8" s="9">
        <f t="shared" si="5"/>
        <v>0.5</v>
      </c>
      <c r="AD8" s="10">
        <f t="shared" si="6"/>
        <v>0.49902439024390244</v>
      </c>
      <c r="AE8" s="39">
        <f>$AD$21</f>
        <v>0.21849761882197208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121</v>
      </c>
      <c r="E9" s="57" t="s">
        <v>984</v>
      </c>
      <c r="F9" s="12" t="s">
        <v>408</v>
      </c>
      <c r="G9" s="12">
        <v>1</v>
      </c>
      <c r="H9" s="13">
        <v>24</v>
      </c>
      <c r="I9" s="34">
        <v>17000</v>
      </c>
      <c r="J9" s="5">
        <v>1500</v>
      </c>
      <c r="K9" s="15">
        <f>L9+2857+3325+4387</f>
        <v>12062</v>
      </c>
      <c r="L9" s="15">
        <f>463+1030</f>
        <v>1493</v>
      </c>
      <c r="M9" s="16">
        <f t="shared" si="0"/>
        <v>1493</v>
      </c>
      <c r="N9" s="16">
        <v>0</v>
      </c>
      <c r="O9" s="62">
        <f t="shared" si="1"/>
        <v>0</v>
      </c>
      <c r="P9" s="42">
        <f t="shared" si="2"/>
        <v>8</v>
      </c>
      <c r="Q9" s="43">
        <f t="shared" si="3"/>
        <v>16</v>
      </c>
      <c r="R9" s="7"/>
      <c r="S9" s="6">
        <v>16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0.99533333333333329</v>
      </c>
      <c r="AC9" s="9">
        <f t="shared" si="5"/>
        <v>0.33333333333333331</v>
      </c>
      <c r="AD9" s="10">
        <f t="shared" si="6"/>
        <v>0.33177777777777773</v>
      </c>
      <c r="AE9" s="39">
        <f>$AD$21</f>
        <v>0.21849761882197208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1122</v>
      </c>
      <c r="E10" s="57" t="s">
        <v>1123</v>
      </c>
      <c r="F10" s="12" t="s">
        <v>127</v>
      </c>
      <c r="G10" s="12">
        <v>1</v>
      </c>
      <c r="H10" s="13">
        <v>25</v>
      </c>
      <c r="I10" s="34">
        <v>53000</v>
      </c>
      <c r="J10" s="5">
        <v>750</v>
      </c>
      <c r="K10" s="15">
        <f>L10</f>
        <v>746</v>
      </c>
      <c r="L10" s="15">
        <f>746</f>
        <v>746</v>
      </c>
      <c r="M10" s="16">
        <f t="shared" si="0"/>
        <v>746</v>
      </c>
      <c r="N10" s="16">
        <v>0</v>
      </c>
      <c r="O10" s="62">
        <f t="shared" si="1"/>
        <v>0</v>
      </c>
      <c r="P10" s="42">
        <f t="shared" si="2"/>
        <v>5</v>
      </c>
      <c r="Q10" s="43">
        <f t="shared" si="3"/>
        <v>19</v>
      </c>
      <c r="R10" s="7"/>
      <c r="S10" s="6">
        <v>19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0.9946666666666667</v>
      </c>
      <c r="AC10" s="9">
        <f t="shared" si="5"/>
        <v>0.20833333333333334</v>
      </c>
      <c r="AD10" s="10">
        <f t="shared" si="6"/>
        <v>0.20722222222222222</v>
      </c>
      <c r="AE10" s="39">
        <f>$AD$21</f>
        <v>0.21849761882197208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162</v>
      </c>
      <c r="E11" s="57" t="s">
        <v>987</v>
      </c>
      <c r="F11" s="12" t="s">
        <v>988</v>
      </c>
      <c r="G11" s="12">
        <v>1</v>
      </c>
      <c r="H11" s="13">
        <v>25</v>
      </c>
      <c r="I11" s="34">
        <v>1600</v>
      </c>
      <c r="J11" s="14">
        <v>2240</v>
      </c>
      <c r="K11" s="15">
        <f>L11+2237</f>
        <v>2237</v>
      </c>
      <c r="L11" s="15"/>
      <c r="M11" s="16">
        <f t="shared" si="0"/>
        <v>0</v>
      </c>
      <c r="N11" s="16">
        <v>0</v>
      </c>
      <c r="O11" s="62" t="str">
        <f t="shared" si="1"/>
        <v>0</v>
      </c>
      <c r="P11" s="42" t="str">
        <f t="shared" si="2"/>
        <v>0</v>
      </c>
      <c r="Q11" s="43">
        <f t="shared" si="3"/>
        <v>24</v>
      </c>
      <c r="R11" s="7"/>
      <c r="S11" s="6"/>
      <c r="T11" s="17"/>
      <c r="U11" s="17"/>
      <c r="V11" s="18"/>
      <c r="W11" s="19">
        <v>24</v>
      </c>
      <c r="X11" s="17"/>
      <c r="Y11" s="20"/>
      <c r="Z11" s="20"/>
      <c r="AA11" s="21"/>
      <c r="AB11" s="8">
        <f t="shared" si="4"/>
        <v>0</v>
      </c>
      <c r="AC11" s="9">
        <f t="shared" si="5"/>
        <v>0</v>
      </c>
      <c r="AD11" s="10">
        <f t="shared" si="6"/>
        <v>0</v>
      </c>
      <c r="AE11" s="39">
        <f>$AD$21</f>
        <v>0.21849761882197208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1076</v>
      </c>
      <c r="F12" s="12" t="s">
        <v>134</v>
      </c>
      <c r="G12" s="12">
        <v>1</v>
      </c>
      <c r="H12" s="13">
        <v>25</v>
      </c>
      <c r="I12" s="34">
        <v>2000</v>
      </c>
      <c r="J12" s="5">
        <v>570</v>
      </c>
      <c r="K12" s="15">
        <f>L12</f>
        <v>0</v>
      </c>
      <c r="L12" s="15"/>
      <c r="M12" s="16">
        <f t="shared" si="0"/>
        <v>0</v>
      </c>
      <c r="N12" s="16">
        <v>0</v>
      </c>
      <c r="O12" s="62" t="str">
        <f t="shared" si="1"/>
        <v>0</v>
      </c>
      <c r="P12" s="42" t="str">
        <f t="shared" si="2"/>
        <v>0</v>
      </c>
      <c r="Q12" s="43">
        <f t="shared" si="3"/>
        <v>24</v>
      </c>
      <c r="R12" s="7"/>
      <c r="S12" s="6">
        <v>24</v>
      </c>
      <c r="T12" s="17"/>
      <c r="U12" s="17"/>
      <c r="V12" s="18"/>
      <c r="W12" s="19"/>
      <c r="X12" s="17"/>
      <c r="Y12" s="20"/>
      <c r="Z12" s="20"/>
      <c r="AA12" s="21"/>
      <c r="AB12" s="8">
        <f t="shared" si="4"/>
        <v>0</v>
      </c>
      <c r="AC12" s="9">
        <f t="shared" si="5"/>
        <v>0</v>
      </c>
      <c r="AD12" s="10">
        <f t="shared" si="6"/>
        <v>0</v>
      </c>
      <c r="AE12" s="39">
        <f>$AD$21</f>
        <v>0.21849761882197208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1077</v>
      </c>
      <c r="D13" s="55" t="s">
        <v>58</v>
      </c>
      <c r="E13" s="57" t="s">
        <v>184</v>
      </c>
      <c r="F13" s="12" t="s">
        <v>185</v>
      </c>
      <c r="G13" s="12">
        <v>1</v>
      </c>
      <c r="H13" s="13">
        <v>25</v>
      </c>
      <c r="I13" s="7">
        <v>3000</v>
      </c>
      <c r="J13" s="14">
        <v>1030</v>
      </c>
      <c r="K13" s="15">
        <f>L13+3627</f>
        <v>4651</v>
      </c>
      <c r="L13" s="15">
        <f>1024</f>
        <v>1024</v>
      </c>
      <c r="M13" s="16">
        <f t="shared" si="0"/>
        <v>1024</v>
      </c>
      <c r="N13" s="16">
        <v>0</v>
      </c>
      <c r="O13" s="62">
        <f t="shared" si="1"/>
        <v>0</v>
      </c>
      <c r="P13" s="42">
        <f t="shared" si="2"/>
        <v>6</v>
      </c>
      <c r="Q13" s="43">
        <f t="shared" si="3"/>
        <v>18</v>
      </c>
      <c r="R13" s="7"/>
      <c r="S13" s="6"/>
      <c r="T13" s="17"/>
      <c r="U13" s="17"/>
      <c r="V13" s="18"/>
      <c r="W13" s="19">
        <v>18</v>
      </c>
      <c r="X13" s="17"/>
      <c r="Y13" s="20"/>
      <c r="Z13" s="20"/>
      <c r="AA13" s="21"/>
      <c r="AB13" s="8">
        <f t="shared" si="4"/>
        <v>0.99417475728155336</v>
      </c>
      <c r="AC13" s="9">
        <f t="shared" si="5"/>
        <v>0.25</v>
      </c>
      <c r="AD13" s="10">
        <f t="shared" si="6"/>
        <v>0.24854368932038834</v>
      </c>
      <c r="AE13" s="39">
        <f>$AD$21</f>
        <v>0.21849761882197208</v>
      </c>
      <c r="AF13" s="94">
        <f t="shared" si="7"/>
        <v>8</v>
      </c>
    </row>
    <row r="14" spans="1:32" ht="27" customHeight="1">
      <c r="A14" s="109">
        <v>9</v>
      </c>
      <c r="B14" s="11" t="s">
        <v>59</v>
      </c>
      <c r="C14" s="37" t="s">
        <v>122</v>
      </c>
      <c r="D14" s="55" t="s">
        <v>1124</v>
      </c>
      <c r="E14" s="57" t="s">
        <v>1125</v>
      </c>
      <c r="F14" s="33" t="s">
        <v>1126</v>
      </c>
      <c r="G14" s="36">
        <v>1</v>
      </c>
      <c r="H14" s="38">
        <v>25</v>
      </c>
      <c r="I14" s="7">
        <v>200</v>
      </c>
      <c r="J14" s="5">
        <v>191</v>
      </c>
      <c r="K14" s="15">
        <f>L14</f>
        <v>191</v>
      </c>
      <c r="L14" s="15">
        <v>191</v>
      </c>
      <c r="M14" s="16">
        <f t="shared" si="0"/>
        <v>191</v>
      </c>
      <c r="N14" s="16">
        <v>0</v>
      </c>
      <c r="O14" s="62">
        <f t="shared" si="1"/>
        <v>0</v>
      </c>
      <c r="P14" s="42">
        <f t="shared" si="2"/>
        <v>4</v>
      </c>
      <c r="Q14" s="43">
        <f t="shared" si="3"/>
        <v>20</v>
      </c>
      <c r="R14" s="7"/>
      <c r="S14" s="6"/>
      <c r="T14" s="17"/>
      <c r="U14" s="17"/>
      <c r="V14" s="18"/>
      <c r="W14" s="19">
        <v>20</v>
      </c>
      <c r="X14" s="17"/>
      <c r="Y14" s="20"/>
      <c r="Z14" s="20"/>
      <c r="AA14" s="21"/>
      <c r="AB14" s="8">
        <f t="shared" si="4"/>
        <v>1</v>
      </c>
      <c r="AC14" s="9">
        <f t="shared" si="5"/>
        <v>0.16666666666666666</v>
      </c>
      <c r="AD14" s="10">
        <f t="shared" si="6"/>
        <v>0.16666666666666666</v>
      </c>
      <c r="AE14" s="39">
        <f>$AD$21</f>
        <v>0.21849761882197208</v>
      </c>
      <c r="AF14" s="94">
        <f t="shared" si="7"/>
        <v>9</v>
      </c>
    </row>
    <row r="15" spans="1:32" ht="27" customHeight="1">
      <c r="A15" s="109">
        <v>10</v>
      </c>
      <c r="B15" s="11" t="s">
        <v>727</v>
      </c>
      <c r="C15" s="37" t="s">
        <v>691</v>
      </c>
      <c r="D15" s="55"/>
      <c r="E15" s="57" t="s">
        <v>692</v>
      </c>
      <c r="F15" s="12" t="s">
        <v>728</v>
      </c>
      <c r="G15" s="12">
        <v>8</v>
      </c>
      <c r="H15" s="13">
        <v>15</v>
      </c>
      <c r="I15" s="34">
        <v>3000</v>
      </c>
      <c r="J15" s="5">
        <v>5410</v>
      </c>
      <c r="K15" s="15">
        <f>L15+4500</f>
        <v>9908</v>
      </c>
      <c r="L15" s="15">
        <f>676*8</f>
        <v>5408</v>
      </c>
      <c r="M15" s="16">
        <f t="shared" si="0"/>
        <v>5408</v>
      </c>
      <c r="N15" s="16">
        <v>0</v>
      </c>
      <c r="O15" s="62">
        <f t="shared" si="1"/>
        <v>0</v>
      </c>
      <c r="P15" s="42">
        <f t="shared" si="2"/>
        <v>6</v>
      </c>
      <c r="Q15" s="43">
        <f t="shared" si="3"/>
        <v>18</v>
      </c>
      <c r="R15" s="7"/>
      <c r="S15" s="6"/>
      <c r="T15" s="17"/>
      <c r="U15" s="17"/>
      <c r="V15" s="18"/>
      <c r="W15" s="19">
        <v>18</v>
      </c>
      <c r="X15" s="17"/>
      <c r="Y15" s="20"/>
      <c r="Z15" s="20"/>
      <c r="AA15" s="21"/>
      <c r="AB15" s="8">
        <f t="shared" si="4"/>
        <v>0.99963031423290205</v>
      </c>
      <c r="AC15" s="9">
        <f t="shared" si="5"/>
        <v>0.25</v>
      </c>
      <c r="AD15" s="10">
        <f t="shared" si="6"/>
        <v>0.24990757855822551</v>
      </c>
      <c r="AE15" s="39">
        <f>$AD$21</f>
        <v>0.21849761882197208</v>
      </c>
      <c r="AF15" s="94">
        <f t="shared" si="7"/>
        <v>10</v>
      </c>
    </row>
    <row r="16" spans="1:32" ht="27" customHeight="1">
      <c r="A16" s="109">
        <v>11</v>
      </c>
      <c r="B16" s="11" t="s">
        <v>59</v>
      </c>
      <c r="C16" s="11" t="s">
        <v>129</v>
      </c>
      <c r="D16" s="55" t="s">
        <v>136</v>
      </c>
      <c r="E16" s="56" t="s">
        <v>218</v>
      </c>
      <c r="F16" s="12" t="s">
        <v>127</v>
      </c>
      <c r="G16" s="36">
        <v>1</v>
      </c>
      <c r="H16" s="38">
        <v>25</v>
      </c>
      <c r="I16" s="7">
        <v>3000</v>
      </c>
      <c r="J16" s="14">
        <v>490</v>
      </c>
      <c r="K16" s="15">
        <f>L16+3264+489</f>
        <v>3753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21</v>
      </c>
      <c r="R16" s="7"/>
      <c r="S16" s="6"/>
      <c r="T16" s="17"/>
      <c r="U16" s="17"/>
      <c r="V16" s="18"/>
      <c r="W16" s="19">
        <v>21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>$AD$21</f>
        <v>0.21849761882197208</v>
      </c>
      <c r="AF16" s="94">
        <f t="shared" si="7"/>
        <v>11</v>
      </c>
    </row>
    <row r="17" spans="1:32" ht="27" customHeight="1">
      <c r="A17" s="109">
        <v>12</v>
      </c>
      <c r="B17" s="11" t="s">
        <v>59</v>
      </c>
      <c r="C17" s="37" t="s">
        <v>122</v>
      </c>
      <c r="D17" s="55" t="s">
        <v>1080</v>
      </c>
      <c r="E17" s="56" t="s">
        <v>1081</v>
      </c>
      <c r="F17" s="12">
        <v>8301</v>
      </c>
      <c r="G17" s="12">
        <v>1</v>
      </c>
      <c r="H17" s="13">
        <v>25</v>
      </c>
      <c r="I17" s="34">
        <v>15000</v>
      </c>
      <c r="J17" s="5">
        <v>2880</v>
      </c>
      <c r="K17" s="15">
        <f>L17+2929</f>
        <v>5806</v>
      </c>
      <c r="L17" s="15">
        <f>1502+1375</f>
        <v>2877</v>
      </c>
      <c r="M17" s="16">
        <f t="shared" si="0"/>
        <v>2877</v>
      </c>
      <c r="N17" s="16">
        <v>0</v>
      </c>
      <c r="O17" s="62">
        <f t="shared" si="1"/>
        <v>0</v>
      </c>
      <c r="P17" s="42">
        <f t="shared" si="2"/>
        <v>15</v>
      </c>
      <c r="Q17" s="43">
        <f t="shared" si="3"/>
        <v>9</v>
      </c>
      <c r="R17" s="7"/>
      <c r="S17" s="6">
        <v>9</v>
      </c>
      <c r="T17" s="17"/>
      <c r="U17" s="17"/>
      <c r="V17" s="18"/>
      <c r="W17" s="19"/>
      <c r="X17" s="17"/>
      <c r="Y17" s="20"/>
      <c r="Z17" s="20"/>
      <c r="AA17" s="21"/>
      <c r="AB17" s="8">
        <f t="shared" si="4"/>
        <v>0.99895833333333328</v>
      </c>
      <c r="AC17" s="9">
        <f t="shared" si="5"/>
        <v>0.625</v>
      </c>
      <c r="AD17" s="10">
        <f t="shared" si="6"/>
        <v>0.62434895833333326</v>
      </c>
      <c r="AE17" s="39">
        <f>$AD$21</f>
        <v>0.21849761882197208</v>
      </c>
      <c r="AF17" s="94">
        <f t="shared" si="7"/>
        <v>12</v>
      </c>
    </row>
    <row r="18" spans="1:32" ht="27" customHeight="1">
      <c r="A18" s="110">
        <v>13</v>
      </c>
      <c r="B18" s="11" t="s">
        <v>59</v>
      </c>
      <c r="C18" s="37" t="s">
        <v>129</v>
      </c>
      <c r="D18" s="55" t="s">
        <v>154</v>
      </c>
      <c r="E18" s="56" t="s">
        <v>1083</v>
      </c>
      <c r="F18" s="33" t="s">
        <v>127</v>
      </c>
      <c r="G18" s="36">
        <v>1</v>
      </c>
      <c r="H18" s="38">
        <v>25</v>
      </c>
      <c r="I18" s="7">
        <v>3000</v>
      </c>
      <c r="J18" s="5">
        <v>3340</v>
      </c>
      <c r="K18" s="15">
        <f>L18+3365</f>
        <v>6696</v>
      </c>
      <c r="L18" s="15">
        <f>671+2660</f>
        <v>3331</v>
      </c>
      <c r="M18" s="16">
        <f t="shared" si="0"/>
        <v>3331</v>
      </c>
      <c r="N18" s="16">
        <v>0</v>
      </c>
      <c r="O18" s="62">
        <f t="shared" si="1"/>
        <v>0</v>
      </c>
      <c r="P18" s="42">
        <f t="shared" si="2"/>
        <v>16</v>
      </c>
      <c r="Q18" s="43">
        <f t="shared" si="3"/>
        <v>8</v>
      </c>
      <c r="R18" s="7"/>
      <c r="S18" s="6"/>
      <c r="T18" s="17"/>
      <c r="U18" s="17"/>
      <c r="V18" s="18"/>
      <c r="W18" s="19">
        <v>8</v>
      </c>
      <c r="X18" s="17"/>
      <c r="Y18" s="20"/>
      <c r="Z18" s="20"/>
      <c r="AA18" s="21"/>
      <c r="AB18" s="8">
        <f t="shared" si="4"/>
        <v>0.99730538922155687</v>
      </c>
      <c r="AC18" s="9">
        <f t="shared" si="5"/>
        <v>0.66666666666666663</v>
      </c>
      <c r="AD18" s="10">
        <f t="shared" si="6"/>
        <v>0.66487025948103784</v>
      </c>
      <c r="AE18" s="39">
        <f>$AD$21</f>
        <v>0.21849761882197208</v>
      </c>
      <c r="AF18" s="94">
        <f t="shared" si="7"/>
        <v>13</v>
      </c>
    </row>
    <row r="19" spans="1:32" ht="27" customHeight="1">
      <c r="A19" s="110">
        <v>14</v>
      </c>
      <c r="B19" s="11" t="s">
        <v>1042</v>
      </c>
      <c r="C19" s="37" t="s">
        <v>129</v>
      </c>
      <c r="D19" s="55" t="s">
        <v>123</v>
      </c>
      <c r="E19" s="57" t="s">
        <v>1043</v>
      </c>
      <c r="F19" s="33" t="s">
        <v>130</v>
      </c>
      <c r="G19" s="36">
        <v>1</v>
      </c>
      <c r="H19" s="38">
        <v>25</v>
      </c>
      <c r="I19" s="34">
        <v>15000</v>
      </c>
      <c r="J19" s="5">
        <v>3250</v>
      </c>
      <c r="K19" s="15">
        <f>L19+3980+3244</f>
        <v>7224</v>
      </c>
      <c r="L19" s="15"/>
      <c r="M19" s="16">
        <f t="shared" si="0"/>
        <v>0</v>
      </c>
      <c r="N19" s="16">
        <v>0</v>
      </c>
      <c r="O19" s="62" t="str">
        <f t="shared" si="1"/>
        <v>0</v>
      </c>
      <c r="P19" s="42" t="str">
        <f t="shared" si="2"/>
        <v>0</v>
      </c>
      <c r="Q19" s="43">
        <f t="shared" si="3"/>
        <v>24</v>
      </c>
      <c r="R19" s="7"/>
      <c r="S19" s="6">
        <v>24</v>
      </c>
      <c r="T19" s="17"/>
      <c r="U19" s="17"/>
      <c r="V19" s="18"/>
      <c r="W19" s="19"/>
      <c r="X19" s="17"/>
      <c r="Y19" s="20"/>
      <c r="Z19" s="20"/>
      <c r="AA19" s="21"/>
      <c r="AB19" s="8">
        <f t="shared" si="4"/>
        <v>0</v>
      </c>
      <c r="AC19" s="9">
        <f t="shared" si="5"/>
        <v>0</v>
      </c>
      <c r="AD19" s="10">
        <f t="shared" si="6"/>
        <v>0</v>
      </c>
      <c r="AE19" s="39">
        <f>$AD$21</f>
        <v>0.21849761882197208</v>
      </c>
      <c r="AF19" s="94">
        <f t="shared" si="7"/>
        <v>14</v>
      </c>
    </row>
    <row r="20" spans="1:32" ht="27" customHeight="1" thickBot="1">
      <c r="A20" s="110">
        <v>15</v>
      </c>
      <c r="B20" s="11" t="s">
        <v>59</v>
      </c>
      <c r="C20" s="11" t="s">
        <v>119</v>
      </c>
      <c r="D20" s="55" t="s">
        <v>1127</v>
      </c>
      <c r="E20" s="56"/>
      <c r="F20" s="12" t="s">
        <v>120</v>
      </c>
      <c r="G20" s="12">
        <v>3</v>
      </c>
      <c r="H20" s="38">
        <v>20</v>
      </c>
      <c r="I20" s="7">
        <v>20000</v>
      </c>
      <c r="J20" s="14">
        <v>35770</v>
      </c>
      <c r="K20" s="15">
        <f>L20</f>
        <v>16317</v>
      </c>
      <c r="L20" s="15">
        <f>5439*3</f>
        <v>16317</v>
      </c>
      <c r="M20" s="16">
        <f t="shared" si="0"/>
        <v>16317</v>
      </c>
      <c r="N20" s="16">
        <v>0</v>
      </c>
      <c r="O20" s="62">
        <f t="shared" si="1"/>
        <v>0</v>
      </c>
      <c r="P20" s="42">
        <f t="shared" si="2"/>
        <v>15</v>
      </c>
      <c r="Q20" s="43">
        <f t="shared" si="3"/>
        <v>9</v>
      </c>
      <c r="R20" s="7"/>
      <c r="S20" s="6"/>
      <c r="T20" s="17">
        <v>9</v>
      </c>
      <c r="U20" s="17"/>
      <c r="V20" s="18"/>
      <c r="W20" s="19"/>
      <c r="X20" s="17"/>
      <c r="Y20" s="20"/>
      <c r="Z20" s="20"/>
      <c r="AA20" s="21"/>
      <c r="AB20" s="8">
        <f t="shared" si="4"/>
        <v>0.45616438356164385</v>
      </c>
      <c r="AC20" s="9">
        <f t="shared" si="5"/>
        <v>0.625</v>
      </c>
      <c r="AD20" s="10">
        <f t="shared" si="6"/>
        <v>0.2851027397260274</v>
      </c>
      <c r="AE20" s="39">
        <f>$AD$21</f>
        <v>0.21849761882197208</v>
      </c>
      <c r="AF20" s="94">
        <f t="shared" si="7"/>
        <v>15</v>
      </c>
    </row>
    <row r="21" spans="1:32" ht="31.5" customHeight="1" thickBot="1">
      <c r="A21" s="457" t="s">
        <v>34</v>
      </c>
      <c r="B21" s="458"/>
      <c r="C21" s="458"/>
      <c r="D21" s="458"/>
      <c r="E21" s="458"/>
      <c r="F21" s="458"/>
      <c r="G21" s="458"/>
      <c r="H21" s="459"/>
      <c r="I21" s="25">
        <f>SUM(I6:I20)</f>
        <v>208800</v>
      </c>
      <c r="J21" s="22">
        <f>SUM(J6:J20)</f>
        <v>63151</v>
      </c>
      <c r="K21" s="23">
        <f>SUM(K6:K20)</f>
        <v>101154</v>
      </c>
      <c r="L21" s="24">
        <f>SUM(L6:L20)</f>
        <v>33433</v>
      </c>
      <c r="M21" s="23">
        <f>SUM(M6:M20)</f>
        <v>33433</v>
      </c>
      <c r="N21" s="24">
        <f>SUM(N6:N20)</f>
        <v>0</v>
      </c>
      <c r="O21" s="44">
        <f t="shared" si="1"/>
        <v>0</v>
      </c>
      <c r="P21" s="45">
        <f>SUM(P6:P20)</f>
        <v>87</v>
      </c>
      <c r="Q21" s="46">
        <f>SUM(Q6:Q20)</f>
        <v>270</v>
      </c>
      <c r="R21" s="26">
        <f>SUM(R6:R20)</f>
        <v>24</v>
      </c>
      <c r="S21" s="27">
        <f>SUM(S6:S20)</f>
        <v>92</v>
      </c>
      <c r="T21" s="27">
        <f>SUM(T6:T20)</f>
        <v>21</v>
      </c>
      <c r="U21" s="27">
        <f>SUM(U6:U20)</f>
        <v>0</v>
      </c>
      <c r="V21" s="28">
        <f>SUM(V6:V20)</f>
        <v>0</v>
      </c>
      <c r="W21" s="29">
        <f>SUM(W6:W20)</f>
        <v>133</v>
      </c>
      <c r="X21" s="30">
        <f>SUM(X6:X20)</f>
        <v>0</v>
      </c>
      <c r="Y21" s="30">
        <f>SUM(Y6:Y20)</f>
        <v>0</v>
      </c>
      <c r="Z21" s="30">
        <f>SUM(Z6:Z20)</f>
        <v>0</v>
      </c>
      <c r="AA21" s="30">
        <f>SUM(AA6:AA20)</f>
        <v>0</v>
      </c>
      <c r="AB21" s="31">
        <f>SUM(AB6:AB20)/15</f>
        <v>0.56228546387458622</v>
      </c>
      <c r="AC21" s="4">
        <f>SUM(AC6:AC20)/15</f>
        <v>0.24166666666666664</v>
      </c>
      <c r="AD21" s="4">
        <f>SUM(AD6:AD20)/15</f>
        <v>0.21849761882197208</v>
      </c>
      <c r="AE21" s="32"/>
    </row>
    <row r="23" spans="1:32" ht="18.75">
      <c r="A23" s="2"/>
      <c r="B23" s="2" t="s">
        <v>35</v>
      </c>
      <c r="C23" s="2"/>
      <c r="D23" s="2"/>
      <c r="E23" s="2"/>
      <c r="F23" s="2"/>
      <c r="G23" s="2"/>
      <c r="H23" s="3"/>
      <c r="I23" s="3"/>
      <c r="J23" s="2"/>
      <c r="K23" s="2"/>
      <c r="L23" s="2"/>
      <c r="M23" s="2"/>
      <c r="N23" s="2" t="s">
        <v>36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2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1"/>
      <c r="V24" s="52"/>
      <c r="W24" s="52"/>
      <c r="X24" s="52"/>
      <c r="Y24" s="52"/>
      <c r="Z24" s="52"/>
      <c r="AA24" s="52"/>
      <c r="AB24" s="52"/>
      <c r="AC24" s="52"/>
      <c r="AD24" s="52"/>
      <c r="AE24" s="5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F32" s="95"/>
    </row>
    <row r="33" spans="1:32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53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27">
      <c r="A38" s="63"/>
      <c r="B38" s="63"/>
      <c r="C38" s="63"/>
      <c r="D38" s="63"/>
      <c r="E38" s="63"/>
      <c r="F38" s="64"/>
      <c r="G38" s="64"/>
      <c r="H38" s="65"/>
      <c r="I38" s="65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F38" s="53"/>
    </row>
    <row r="39" spans="1:32" ht="29.25" customHeight="1">
      <c r="A39" s="66"/>
      <c r="B39" s="66"/>
      <c r="C39" s="67"/>
      <c r="D39" s="67"/>
      <c r="E39" s="67"/>
      <c r="F39" s="66"/>
      <c r="G39" s="66"/>
      <c r="H39" s="66"/>
      <c r="I39" s="66"/>
      <c r="J39" s="66"/>
      <c r="K39" s="66"/>
      <c r="L39" s="66"/>
      <c r="M39" s="67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F39" s="53"/>
    </row>
    <row r="40" spans="1:32" ht="29.25" customHeight="1">
      <c r="A40" s="66"/>
      <c r="B40" s="66"/>
      <c r="C40" s="68"/>
      <c r="D40" s="67"/>
      <c r="E40" s="67"/>
      <c r="F40" s="66"/>
      <c r="G40" s="66"/>
      <c r="H40" s="66"/>
      <c r="I40" s="66"/>
      <c r="J40" s="66"/>
      <c r="K40" s="66"/>
      <c r="L40" s="66"/>
      <c r="M40" s="68"/>
      <c r="N40" s="66"/>
      <c r="O40" s="66"/>
      <c r="P40" s="69"/>
      <c r="Q40" s="69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F47" s="53"/>
    </row>
    <row r="48" spans="1:32" ht="36" thickBot="1">
      <c r="A48" s="460" t="s">
        <v>46</v>
      </c>
      <c r="B48" s="460"/>
      <c r="C48" s="460"/>
      <c r="D48" s="460"/>
      <c r="E48" s="460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26.25" thickBot="1">
      <c r="A49" s="461" t="s">
        <v>1128</v>
      </c>
      <c r="B49" s="462"/>
      <c r="C49" s="462"/>
      <c r="D49" s="462"/>
      <c r="E49" s="462"/>
      <c r="F49" s="462"/>
      <c r="G49" s="462"/>
      <c r="H49" s="462"/>
      <c r="I49" s="462"/>
      <c r="J49" s="462"/>
      <c r="K49" s="462"/>
      <c r="L49" s="462"/>
      <c r="M49" s="463"/>
      <c r="N49" s="464" t="s">
        <v>1138</v>
      </c>
      <c r="O49" s="465"/>
      <c r="P49" s="465"/>
      <c r="Q49" s="465"/>
      <c r="R49" s="465"/>
      <c r="S49" s="465"/>
      <c r="T49" s="465"/>
      <c r="U49" s="465"/>
      <c r="V49" s="465"/>
      <c r="W49" s="465"/>
      <c r="X49" s="465"/>
      <c r="Y49" s="465"/>
      <c r="Z49" s="465"/>
      <c r="AA49" s="465"/>
      <c r="AB49" s="465"/>
      <c r="AC49" s="465"/>
      <c r="AD49" s="466"/>
    </row>
    <row r="50" spans="1:32" ht="27" customHeight="1">
      <c r="A50" s="467" t="s">
        <v>2</v>
      </c>
      <c r="B50" s="468"/>
      <c r="C50" s="373" t="s">
        <v>47</v>
      </c>
      <c r="D50" s="373" t="s">
        <v>48</v>
      </c>
      <c r="E50" s="373" t="s">
        <v>113</v>
      </c>
      <c r="F50" s="468" t="s">
        <v>112</v>
      </c>
      <c r="G50" s="468"/>
      <c r="H50" s="468"/>
      <c r="I50" s="468"/>
      <c r="J50" s="468"/>
      <c r="K50" s="468"/>
      <c r="L50" s="468"/>
      <c r="M50" s="469"/>
      <c r="N50" s="73" t="s">
        <v>117</v>
      </c>
      <c r="O50" s="373" t="s">
        <v>47</v>
      </c>
      <c r="P50" s="470" t="s">
        <v>48</v>
      </c>
      <c r="Q50" s="471"/>
      <c r="R50" s="470" t="s">
        <v>39</v>
      </c>
      <c r="S50" s="472"/>
      <c r="T50" s="472"/>
      <c r="U50" s="471"/>
      <c r="V50" s="470" t="s">
        <v>49</v>
      </c>
      <c r="W50" s="472"/>
      <c r="X50" s="472"/>
      <c r="Y50" s="472"/>
      <c r="Z50" s="472"/>
      <c r="AA50" s="472"/>
      <c r="AB50" s="472"/>
      <c r="AC50" s="472"/>
      <c r="AD50" s="473"/>
    </row>
    <row r="51" spans="1:32" ht="27" customHeight="1">
      <c r="A51" s="453" t="s">
        <v>129</v>
      </c>
      <c r="B51" s="454"/>
      <c r="C51" s="374" t="s">
        <v>172</v>
      </c>
      <c r="D51" s="375" t="s">
        <v>121</v>
      </c>
      <c r="E51" s="374" t="s">
        <v>984</v>
      </c>
      <c r="F51" s="432" t="s">
        <v>1129</v>
      </c>
      <c r="G51" s="432"/>
      <c r="H51" s="432"/>
      <c r="I51" s="432"/>
      <c r="J51" s="432"/>
      <c r="K51" s="432"/>
      <c r="L51" s="432"/>
      <c r="M51" s="446"/>
      <c r="N51" s="376" t="s">
        <v>122</v>
      </c>
      <c r="O51" s="74" t="s">
        <v>199</v>
      </c>
      <c r="P51" s="451" t="s">
        <v>144</v>
      </c>
      <c r="Q51" s="452"/>
      <c r="R51" s="445" t="s">
        <v>1065</v>
      </c>
      <c r="S51" s="445"/>
      <c r="T51" s="445"/>
      <c r="U51" s="445"/>
      <c r="V51" s="432" t="s">
        <v>147</v>
      </c>
      <c r="W51" s="432"/>
      <c r="X51" s="432"/>
      <c r="Y51" s="432"/>
      <c r="Z51" s="432"/>
      <c r="AA51" s="432"/>
      <c r="AB51" s="432"/>
      <c r="AC51" s="432"/>
      <c r="AD51" s="446"/>
    </row>
    <row r="52" spans="1:32" ht="27" customHeight="1">
      <c r="A52" s="453" t="s">
        <v>122</v>
      </c>
      <c r="B52" s="454"/>
      <c r="C52" s="374" t="s">
        <v>276</v>
      </c>
      <c r="D52" s="375" t="s">
        <v>387</v>
      </c>
      <c r="E52" s="374" t="s">
        <v>1081</v>
      </c>
      <c r="F52" s="432" t="s">
        <v>1130</v>
      </c>
      <c r="G52" s="432"/>
      <c r="H52" s="432"/>
      <c r="I52" s="432"/>
      <c r="J52" s="432"/>
      <c r="K52" s="432"/>
      <c r="L52" s="432"/>
      <c r="M52" s="446"/>
      <c r="N52" s="376" t="s">
        <v>122</v>
      </c>
      <c r="O52" s="74" t="s">
        <v>276</v>
      </c>
      <c r="P52" s="451" t="s">
        <v>1067</v>
      </c>
      <c r="Q52" s="452"/>
      <c r="R52" s="445" t="s">
        <v>1068</v>
      </c>
      <c r="S52" s="445"/>
      <c r="T52" s="445"/>
      <c r="U52" s="445"/>
      <c r="V52" s="432" t="s">
        <v>147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122</v>
      </c>
      <c r="B53" s="454"/>
      <c r="C53" s="374" t="s">
        <v>199</v>
      </c>
      <c r="D53" s="375" t="s">
        <v>156</v>
      </c>
      <c r="E53" s="374" t="s">
        <v>1091</v>
      </c>
      <c r="F53" s="432" t="s">
        <v>1131</v>
      </c>
      <c r="G53" s="432"/>
      <c r="H53" s="432"/>
      <c r="I53" s="432"/>
      <c r="J53" s="432"/>
      <c r="K53" s="432"/>
      <c r="L53" s="432"/>
      <c r="M53" s="446"/>
      <c r="N53" s="376" t="s">
        <v>1142</v>
      </c>
      <c r="O53" s="74" t="s">
        <v>196</v>
      </c>
      <c r="P53" s="451" t="s">
        <v>1143</v>
      </c>
      <c r="Q53" s="452"/>
      <c r="R53" s="445" t="s">
        <v>1144</v>
      </c>
      <c r="S53" s="445"/>
      <c r="T53" s="445"/>
      <c r="U53" s="445"/>
      <c r="V53" s="432" t="s">
        <v>1145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44" t="s">
        <v>129</v>
      </c>
      <c r="B54" s="445"/>
      <c r="C54" s="375" t="s">
        <v>220</v>
      </c>
      <c r="D54" s="375" t="s">
        <v>1132</v>
      </c>
      <c r="E54" s="375" t="s">
        <v>1133</v>
      </c>
      <c r="F54" s="432" t="s">
        <v>1134</v>
      </c>
      <c r="G54" s="432"/>
      <c r="H54" s="432"/>
      <c r="I54" s="432"/>
      <c r="J54" s="432"/>
      <c r="K54" s="432"/>
      <c r="L54" s="432"/>
      <c r="M54" s="446"/>
      <c r="N54" s="376" t="s">
        <v>1146</v>
      </c>
      <c r="O54" s="74" t="s">
        <v>131</v>
      </c>
      <c r="P54" s="451" t="s">
        <v>1147</v>
      </c>
      <c r="Q54" s="452"/>
      <c r="R54" s="445"/>
      <c r="S54" s="445"/>
      <c r="T54" s="445"/>
      <c r="U54" s="445"/>
      <c r="V54" s="432" t="s">
        <v>1141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53" t="s">
        <v>122</v>
      </c>
      <c r="B55" s="454"/>
      <c r="C55" s="374" t="s">
        <v>165</v>
      </c>
      <c r="D55" s="375" t="s">
        <v>144</v>
      </c>
      <c r="E55" s="374" t="s">
        <v>1123</v>
      </c>
      <c r="F55" s="432" t="s">
        <v>1135</v>
      </c>
      <c r="G55" s="432"/>
      <c r="H55" s="432"/>
      <c r="I55" s="432"/>
      <c r="J55" s="432"/>
      <c r="K55" s="432"/>
      <c r="L55" s="432"/>
      <c r="M55" s="446"/>
      <c r="N55" s="376" t="s">
        <v>122</v>
      </c>
      <c r="O55" s="74" t="s">
        <v>165</v>
      </c>
      <c r="P55" s="451" t="s">
        <v>144</v>
      </c>
      <c r="Q55" s="452"/>
      <c r="R55" s="445" t="s">
        <v>1123</v>
      </c>
      <c r="S55" s="445"/>
      <c r="T55" s="445"/>
      <c r="U55" s="445"/>
      <c r="V55" s="432" t="s">
        <v>147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44" t="s">
        <v>122</v>
      </c>
      <c r="B56" s="445"/>
      <c r="C56" s="375" t="s">
        <v>223</v>
      </c>
      <c r="D56" s="375" t="s">
        <v>58</v>
      </c>
      <c r="E56" s="374" t="s">
        <v>1136</v>
      </c>
      <c r="F56" s="432" t="s">
        <v>1137</v>
      </c>
      <c r="G56" s="432"/>
      <c r="H56" s="432"/>
      <c r="I56" s="432"/>
      <c r="J56" s="432"/>
      <c r="K56" s="432"/>
      <c r="L56" s="432"/>
      <c r="M56" s="446"/>
      <c r="N56" s="376"/>
      <c r="O56" s="74"/>
      <c r="P56" s="445"/>
      <c r="Q56" s="445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1139</v>
      </c>
      <c r="B57" s="445"/>
      <c r="C57" s="375" t="s">
        <v>1140</v>
      </c>
      <c r="D57" s="375"/>
      <c r="E57" s="374" t="s">
        <v>1127</v>
      </c>
      <c r="F57" s="432" t="s">
        <v>1141</v>
      </c>
      <c r="G57" s="432"/>
      <c r="H57" s="432"/>
      <c r="I57" s="432"/>
      <c r="J57" s="432"/>
      <c r="K57" s="432"/>
      <c r="L57" s="432"/>
      <c r="M57" s="446"/>
      <c r="N57" s="376"/>
      <c r="O57" s="74"/>
      <c r="P57" s="451"/>
      <c r="Q57" s="452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53"/>
      <c r="B58" s="454"/>
      <c r="C58" s="374"/>
      <c r="D58" s="375"/>
      <c r="E58" s="374"/>
      <c r="F58" s="432"/>
      <c r="G58" s="432"/>
      <c r="H58" s="432"/>
      <c r="I58" s="432"/>
      <c r="J58" s="432"/>
      <c r="K58" s="432"/>
      <c r="L58" s="432"/>
      <c r="M58" s="446"/>
      <c r="N58" s="376"/>
      <c r="O58" s="74"/>
      <c r="P58" s="445"/>
      <c r="Q58" s="445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44"/>
      <c r="B59" s="445"/>
      <c r="C59" s="375"/>
      <c r="D59" s="375"/>
      <c r="E59" s="375"/>
      <c r="F59" s="432"/>
      <c r="G59" s="432"/>
      <c r="H59" s="432"/>
      <c r="I59" s="432"/>
      <c r="J59" s="432"/>
      <c r="K59" s="432"/>
      <c r="L59" s="432"/>
      <c r="M59" s="446"/>
      <c r="N59" s="376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  <c r="AF59" s="94">
        <f>8*3000</f>
        <v>24000</v>
      </c>
    </row>
    <row r="60" spans="1:32" ht="27" customHeight="1" thickBot="1">
      <c r="A60" s="447"/>
      <c r="B60" s="448"/>
      <c r="C60" s="378"/>
      <c r="D60" s="378"/>
      <c r="E60" s="378"/>
      <c r="F60" s="449"/>
      <c r="G60" s="449"/>
      <c r="H60" s="449"/>
      <c r="I60" s="449"/>
      <c r="J60" s="449"/>
      <c r="K60" s="449"/>
      <c r="L60" s="449"/>
      <c r="M60" s="450"/>
      <c r="N60" s="377"/>
      <c r="O60" s="121"/>
      <c r="P60" s="448"/>
      <c r="Q60" s="448"/>
      <c r="R60" s="448"/>
      <c r="S60" s="448"/>
      <c r="T60" s="448"/>
      <c r="U60" s="448"/>
      <c r="V60" s="449"/>
      <c r="W60" s="449"/>
      <c r="X60" s="449"/>
      <c r="Y60" s="449"/>
      <c r="Z60" s="449"/>
      <c r="AA60" s="449"/>
      <c r="AB60" s="449"/>
      <c r="AC60" s="449"/>
      <c r="AD60" s="450"/>
      <c r="AF60" s="94">
        <f>16*3000</f>
        <v>48000</v>
      </c>
    </row>
    <row r="61" spans="1:32" ht="27.75" thickBot="1">
      <c r="A61" s="442" t="s">
        <v>1148</v>
      </c>
      <c r="B61" s="442"/>
      <c r="C61" s="442"/>
      <c r="D61" s="442"/>
      <c r="E61" s="442"/>
      <c r="F61" s="40"/>
      <c r="G61" s="40"/>
      <c r="H61" s="41"/>
      <c r="I61" s="41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F61" s="94">
        <v>24000</v>
      </c>
    </row>
    <row r="62" spans="1:32" ht="29.25" customHeight="1" thickBot="1">
      <c r="A62" s="443" t="s">
        <v>118</v>
      </c>
      <c r="B62" s="439"/>
      <c r="C62" s="379" t="s">
        <v>2</v>
      </c>
      <c r="D62" s="379" t="s">
        <v>38</v>
      </c>
      <c r="E62" s="379" t="s">
        <v>3</v>
      </c>
      <c r="F62" s="439" t="s">
        <v>115</v>
      </c>
      <c r="G62" s="439"/>
      <c r="H62" s="439"/>
      <c r="I62" s="439"/>
      <c r="J62" s="439"/>
      <c r="K62" s="439" t="s">
        <v>40</v>
      </c>
      <c r="L62" s="439"/>
      <c r="M62" s="379" t="s">
        <v>41</v>
      </c>
      <c r="N62" s="439" t="s">
        <v>42</v>
      </c>
      <c r="O62" s="439"/>
      <c r="P62" s="436" t="s">
        <v>43</v>
      </c>
      <c r="Q62" s="438"/>
      <c r="R62" s="436" t="s">
        <v>44</v>
      </c>
      <c r="S62" s="437"/>
      <c r="T62" s="437"/>
      <c r="U62" s="437"/>
      <c r="V62" s="437"/>
      <c r="W62" s="437"/>
      <c r="X62" s="437"/>
      <c r="Y62" s="437"/>
      <c r="Z62" s="437"/>
      <c r="AA62" s="438"/>
      <c r="AB62" s="439" t="s">
        <v>45</v>
      </c>
      <c r="AC62" s="439"/>
      <c r="AD62" s="440"/>
      <c r="AF62" s="94">
        <f>SUM(AF59:AF61)</f>
        <v>96000</v>
      </c>
    </row>
    <row r="63" spans="1:32" ht="25.5" customHeight="1">
      <c r="A63" s="429">
        <v>1</v>
      </c>
      <c r="B63" s="430"/>
      <c r="C63" s="381" t="s">
        <v>1109</v>
      </c>
      <c r="D63" s="383"/>
      <c r="E63" s="380"/>
      <c r="F63" s="496" t="s">
        <v>1110</v>
      </c>
      <c r="G63" s="421"/>
      <c r="H63" s="421"/>
      <c r="I63" s="421"/>
      <c r="J63" s="421"/>
      <c r="K63" s="441" t="s">
        <v>728</v>
      </c>
      <c r="L63" s="441"/>
      <c r="M63" s="54" t="s">
        <v>395</v>
      </c>
      <c r="N63" s="421">
        <v>10</v>
      </c>
      <c r="O63" s="421"/>
      <c r="P63" s="431">
        <v>3000</v>
      </c>
      <c r="Q63" s="431"/>
      <c r="R63" s="432"/>
      <c r="S63" s="432"/>
      <c r="T63" s="432"/>
      <c r="U63" s="432"/>
      <c r="V63" s="432"/>
      <c r="W63" s="432"/>
      <c r="X63" s="432"/>
      <c r="Y63" s="432"/>
      <c r="Z63" s="432"/>
      <c r="AA63" s="432"/>
      <c r="AB63" s="421"/>
      <c r="AC63" s="421"/>
      <c r="AD63" s="422"/>
    </row>
    <row r="64" spans="1:32" ht="25.5" customHeight="1">
      <c r="A64" s="429">
        <v>2</v>
      </c>
      <c r="B64" s="430"/>
      <c r="C64" s="381" t="s">
        <v>1149</v>
      </c>
      <c r="D64" s="383"/>
      <c r="E64" s="380" t="s">
        <v>144</v>
      </c>
      <c r="F64" s="496" t="s">
        <v>1123</v>
      </c>
      <c r="G64" s="421"/>
      <c r="H64" s="421"/>
      <c r="I64" s="421"/>
      <c r="J64" s="421"/>
      <c r="K64" s="421" t="s">
        <v>1150</v>
      </c>
      <c r="L64" s="421"/>
      <c r="M64" s="54" t="s">
        <v>1151</v>
      </c>
      <c r="N64" s="421">
        <v>5</v>
      </c>
      <c r="O64" s="421"/>
      <c r="P64" s="431">
        <v>100</v>
      </c>
      <c r="Q64" s="431"/>
      <c r="R64" s="432" t="s">
        <v>1152</v>
      </c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5.5" customHeight="1">
      <c r="A65" s="429">
        <v>3</v>
      </c>
      <c r="B65" s="430"/>
      <c r="C65" s="381" t="s">
        <v>129</v>
      </c>
      <c r="D65" s="383"/>
      <c r="E65" s="380" t="s">
        <v>1153</v>
      </c>
      <c r="F65" s="496" t="s">
        <v>1154</v>
      </c>
      <c r="G65" s="421"/>
      <c r="H65" s="421"/>
      <c r="I65" s="421"/>
      <c r="J65" s="421"/>
      <c r="K65" s="441" t="s">
        <v>1155</v>
      </c>
      <c r="L65" s="441"/>
      <c r="M65" s="54" t="s">
        <v>1156</v>
      </c>
      <c r="N65" s="421">
        <v>14</v>
      </c>
      <c r="O65" s="421"/>
      <c r="P65" s="431">
        <v>50</v>
      </c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  <c r="AF65" s="53"/>
    </row>
    <row r="66" spans="1:32" ht="25.5" customHeight="1">
      <c r="A66" s="429">
        <v>4</v>
      </c>
      <c r="B66" s="430"/>
      <c r="C66" s="381"/>
      <c r="D66" s="383"/>
      <c r="E66" s="380"/>
      <c r="F66" s="421"/>
      <c r="G66" s="421"/>
      <c r="H66" s="421"/>
      <c r="I66" s="421"/>
      <c r="J66" s="421"/>
      <c r="K66" s="421"/>
      <c r="L66" s="42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5.5" customHeight="1">
      <c r="A67" s="429">
        <v>5</v>
      </c>
      <c r="B67" s="430"/>
      <c r="C67" s="381"/>
      <c r="D67" s="383"/>
      <c r="E67" s="380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5.5" customHeight="1">
      <c r="A68" s="429">
        <v>6</v>
      </c>
      <c r="B68" s="430"/>
      <c r="C68" s="381"/>
      <c r="D68" s="383"/>
      <c r="E68" s="380"/>
      <c r="F68" s="496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5.5" customHeight="1">
      <c r="A69" s="429">
        <v>7</v>
      </c>
      <c r="B69" s="430"/>
      <c r="C69" s="381"/>
      <c r="D69" s="383"/>
      <c r="E69" s="380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5.5" customHeight="1">
      <c r="A70" s="429">
        <v>8</v>
      </c>
      <c r="B70" s="430"/>
      <c r="C70" s="381"/>
      <c r="D70" s="383"/>
      <c r="E70" s="380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6.25" customHeight="1" thickBot="1">
      <c r="A71" s="400" t="s">
        <v>1157</v>
      </c>
      <c r="B71" s="400"/>
      <c r="C71" s="400"/>
      <c r="D71" s="400"/>
      <c r="E71" s="400"/>
      <c r="F71" s="40"/>
      <c r="G71" s="40"/>
      <c r="H71" s="41"/>
      <c r="I71" s="41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F71" s="53"/>
    </row>
    <row r="72" spans="1:32" ht="23.25" thickBot="1">
      <c r="A72" s="423" t="s">
        <v>118</v>
      </c>
      <c r="B72" s="424"/>
      <c r="C72" s="382" t="s">
        <v>2</v>
      </c>
      <c r="D72" s="382" t="s">
        <v>38</v>
      </c>
      <c r="E72" s="382" t="s">
        <v>3</v>
      </c>
      <c r="F72" s="424" t="s">
        <v>39</v>
      </c>
      <c r="G72" s="424"/>
      <c r="H72" s="424"/>
      <c r="I72" s="424"/>
      <c r="J72" s="424"/>
      <c r="K72" s="425" t="s">
        <v>60</v>
      </c>
      <c r="L72" s="426"/>
      <c r="M72" s="426"/>
      <c r="N72" s="426"/>
      <c r="O72" s="426"/>
      <c r="P72" s="426"/>
      <c r="Q72" s="426"/>
      <c r="R72" s="426"/>
      <c r="S72" s="427"/>
      <c r="T72" s="424" t="s">
        <v>50</v>
      </c>
      <c r="U72" s="424"/>
      <c r="V72" s="425" t="s">
        <v>51</v>
      </c>
      <c r="W72" s="427"/>
      <c r="X72" s="426" t="s">
        <v>52</v>
      </c>
      <c r="Y72" s="426"/>
      <c r="Z72" s="426"/>
      <c r="AA72" s="426"/>
      <c r="AB72" s="426"/>
      <c r="AC72" s="426"/>
      <c r="AD72" s="428"/>
      <c r="AF72" s="53"/>
    </row>
    <row r="73" spans="1:32" ht="33.75" customHeight="1">
      <c r="A73" s="408">
        <v>1</v>
      </c>
      <c r="B73" s="409"/>
      <c r="C73" s="384" t="s">
        <v>62</v>
      </c>
      <c r="D73" s="384"/>
      <c r="E73" s="71" t="s">
        <v>58</v>
      </c>
      <c r="F73" s="410" t="s">
        <v>63</v>
      </c>
      <c r="G73" s="411"/>
      <c r="H73" s="411"/>
      <c r="I73" s="411"/>
      <c r="J73" s="412"/>
      <c r="K73" s="413" t="s">
        <v>61</v>
      </c>
      <c r="L73" s="414"/>
      <c r="M73" s="414"/>
      <c r="N73" s="414"/>
      <c r="O73" s="414"/>
      <c r="P73" s="414"/>
      <c r="Q73" s="414"/>
      <c r="R73" s="414"/>
      <c r="S73" s="415"/>
      <c r="T73" s="416">
        <v>41791</v>
      </c>
      <c r="U73" s="417"/>
      <c r="V73" s="418"/>
      <c r="W73" s="418"/>
      <c r="X73" s="419"/>
      <c r="Y73" s="419"/>
      <c r="Z73" s="419"/>
      <c r="AA73" s="419"/>
      <c r="AB73" s="419"/>
      <c r="AC73" s="419"/>
      <c r="AD73" s="420"/>
      <c r="AF73" s="53"/>
    </row>
    <row r="74" spans="1:32" ht="30" customHeight="1">
      <c r="A74" s="392">
        <f>A73+1</f>
        <v>2</v>
      </c>
      <c r="B74" s="393"/>
      <c r="C74" s="383" t="s">
        <v>129</v>
      </c>
      <c r="D74" s="383"/>
      <c r="E74" s="35" t="s">
        <v>121</v>
      </c>
      <c r="F74" s="393" t="s">
        <v>138</v>
      </c>
      <c r="G74" s="393"/>
      <c r="H74" s="393"/>
      <c r="I74" s="393"/>
      <c r="J74" s="393"/>
      <c r="K74" s="402" t="s">
        <v>61</v>
      </c>
      <c r="L74" s="403"/>
      <c r="M74" s="403"/>
      <c r="N74" s="403"/>
      <c r="O74" s="403"/>
      <c r="P74" s="403"/>
      <c r="Q74" s="403"/>
      <c r="R74" s="403"/>
      <c r="S74" s="404"/>
      <c r="T74" s="405">
        <v>42779</v>
      </c>
      <c r="U74" s="405"/>
      <c r="V74" s="405"/>
      <c r="W74" s="405"/>
      <c r="X74" s="406"/>
      <c r="Y74" s="406"/>
      <c r="Z74" s="406"/>
      <c r="AA74" s="406"/>
      <c r="AB74" s="406"/>
      <c r="AC74" s="406"/>
      <c r="AD74" s="407"/>
      <c r="AF74" s="53"/>
    </row>
    <row r="75" spans="1:32" ht="30" customHeight="1">
      <c r="A75" s="392">
        <f t="shared" ref="A75:A81" si="8">A74+1</f>
        <v>3</v>
      </c>
      <c r="B75" s="393"/>
      <c r="C75" s="383" t="s">
        <v>62</v>
      </c>
      <c r="D75" s="383"/>
      <c r="E75" s="35" t="s">
        <v>121</v>
      </c>
      <c r="F75" s="393" t="s">
        <v>125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42667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si="8"/>
        <v>4</v>
      </c>
      <c r="B76" s="393"/>
      <c r="C76" s="383" t="s">
        <v>62</v>
      </c>
      <c r="D76" s="383"/>
      <c r="E76" s="35" t="s">
        <v>121</v>
      </c>
      <c r="F76" s="393" t="s">
        <v>124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8"/>
        <v>5</v>
      </c>
      <c r="B77" s="393"/>
      <c r="C77" s="383" t="s">
        <v>62</v>
      </c>
      <c r="D77" s="383"/>
      <c r="E77" s="35" t="s">
        <v>58</v>
      </c>
      <c r="F77" s="393" t="s">
        <v>126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8"/>
        <v>6</v>
      </c>
      <c r="B78" s="393"/>
      <c r="C78" s="383"/>
      <c r="D78" s="383"/>
      <c r="E78" s="35"/>
      <c r="F78" s="393"/>
      <c r="G78" s="393"/>
      <c r="H78" s="393"/>
      <c r="I78" s="393"/>
      <c r="J78" s="393"/>
      <c r="K78" s="402"/>
      <c r="L78" s="403"/>
      <c r="M78" s="403"/>
      <c r="N78" s="403"/>
      <c r="O78" s="403"/>
      <c r="P78" s="403"/>
      <c r="Q78" s="403"/>
      <c r="R78" s="403"/>
      <c r="S78" s="404"/>
      <c r="T78" s="405"/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8"/>
        <v>7</v>
      </c>
      <c r="B79" s="393"/>
      <c r="C79" s="383"/>
      <c r="D79" s="383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8"/>
        <v>8</v>
      </c>
      <c r="B80" s="393"/>
      <c r="C80" s="383"/>
      <c r="D80" s="383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8"/>
        <v>9</v>
      </c>
      <c r="B81" s="393"/>
      <c r="C81" s="383"/>
      <c r="D81" s="383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6" thickBot="1">
      <c r="A82" s="400" t="s">
        <v>1158</v>
      </c>
      <c r="B82" s="400"/>
      <c r="C82" s="400"/>
      <c r="D82" s="400"/>
      <c r="E82" s="400"/>
      <c r="F82" s="40"/>
      <c r="G82" s="40"/>
      <c r="H82" s="41"/>
      <c r="I82" s="41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F82" s="53"/>
    </row>
    <row r="83" spans="1:32" ht="30.75" customHeight="1" thickBot="1">
      <c r="A83" s="401" t="s">
        <v>37</v>
      </c>
      <c r="B83" s="396"/>
      <c r="C83" s="396" t="s">
        <v>53</v>
      </c>
      <c r="D83" s="396"/>
      <c r="E83" s="396" t="s">
        <v>54</v>
      </c>
      <c r="F83" s="396"/>
      <c r="G83" s="396"/>
      <c r="H83" s="396"/>
      <c r="I83" s="396"/>
      <c r="J83" s="396"/>
      <c r="K83" s="396" t="s">
        <v>55</v>
      </c>
      <c r="L83" s="396"/>
      <c r="M83" s="396"/>
      <c r="N83" s="396"/>
      <c r="O83" s="396"/>
      <c r="P83" s="396"/>
      <c r="Q83" s="396"/>
      <c r="R83" s="396"/>
      <c r="S83" s="396"/>
      <c r="T83" s="396" t="s">
        <v>56</v>
      </c>
      <c r="U83" s="396"/>
      <c r="V83" s="396" t="s">
        <v>57</v>
      </c>
      <c r="W83" s="396"/>
      <c r="X83" s="396"/>
      <c r="Y83" s="396" t="s">
        <v>52</v>
      </c>
      <c r="Z83" s="396"/>
      <c r="AA83" s="396"/>
      <c r="AB83" s="396"/>
      <c r="AC83" s="396"/>
      <c r="AD83" s="397"/>
      <c r="AF83" s="53"/>
    </row>
    <row r="84" spans="1:32" ht="30.75" customHeight="1">
      <c r="A84" s="398">
        <v>1</v>
      </c>
      <c r="B84" s="399"/>
      <c r="C84" s="394">
        <v>1</v>
      </c>
      <c r="D84" s="394"/>
      <c r="E84" s="394" t="s">
        <v>561</v>
      </c>
      <c r="F84" s="394"/>
      <c r="G84" s="394"/>
      <c r="H84" s="394"/>
      <c r="I84" s="394"/>
      <c r="J84" s="394"/>
      <c r="K84" s="394"/>
      <c r="L84" s="394"/>
      <c r="M84" s="394"/>
      <c r="N84" s="394"/>
      <c r="O84" s="394"/>
      <c r="P84" s="394"/>
      <c r="Q84" s="394"/>
      <c r="R84" s="394"/>
      <c r="S84" s="394"/>
      <c r="T84" s="394" t="s">
        <v>486</v>
      </c>
      <c r="U84" s="394"/>
      <c r="V84" s="395"/>
      <c r="W84" s="395"/>
      <c r="X84" s="395"/>
      <c r="Y84" s="386" t="s">
        <v>562</v>
      </c>
      <c r="Z84" s="386"/>
      <c r="AA84" s="386"/>
      <c r="AB84" s="386"/>
      <c r="AC84" s="386"/>
      <c r="AD84" s="387"/>
      <c r="AF84" s="53"/>
    </row>
    <row r="85" spans="1:32" ht="30.75" customHeight="1">
      <c r="A85" s="392">
        <v>2</v>
      </c>
      <c r="B85" s="393"/>
      <c r="C85" s="394"/>
      <c r="D85" s="394"/>
      <c r="E85" s="394"/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/>
      <c r="U85" s="394"/>
      <c r="V85" s="395"/>
      <c r="W85" s="395"/>
      <c r="X85" s="395"/>
      <c r="Y85" s="386"/>
      <c r="Z85" s="386"/>
      <c r="AA85" s="386"/>
      <c r="AB85" s="386"/>
      <c r="AC85" s="386"/>
      <c r="AD85" s="387"/>
      <c r="AF85" s="53"/>
    </row>
    <row r="86" spans="1:32" ht="30.75" customHeight="1" thickBot="1">
      <c r="A86" s="388">
        <v>3</v>
      </c>
      <c r="B86" s="389"/>
      <c r="C86" s="389"/>
      <c r="D86" s="389"/>
      <c r="E86" s="389"/>
      <c r="F86" s="389"/>
      <c r="G86" s="389"/>
      <c r="H86" s="389"/>
      <c r="I86" s="389"/>
      <c r="J86" s="389"/>
      <c r="K86" s="389"/>
      <c r="L86" s="389"/>
      <c r="M86" s="389"/>
      <c r="N86" s="389"/>
      <c r="O86" s="389"/>
      <c r="P86" s="389"/>
      <c r="Q86" s="389"/>
      <c r="R86" s="389"/>
      <c r="S86" s="389"/>
      <c r="T86" s="389"/>
      <c r="U86" s="389"/>
      <c r="V86" s="389"/>
      <c r="W86" s="389"/>
      <c r="X86" s="389"/>
      <c r="Y86" s="390"/>
      <c r="Z86" s="390"/>
      <c r="AA86" s="390"/>
      <c r="AB86" s="390"/>
      <c r="AC86" s="390"/>
      <c r="AD86" s="391"/>
      <c r="AF86" s="53"/>
    </row>
  </sheetData>
  <mergeCells count="230">
    <mergeCell ref="Y85:AD85"/>
    <mergeCell ref="A86:B86"/>
    <mergeCell ref="C86:D86"/>
    <mergeCell ref="E86:J86"/>
    <mergeCell ref="K86:S86"/>
    <mergeCell ref="T86:U86"/>
    <mergeCell ref="V86:X86"/>
    <mergeCell ref="Y86:AD86"/>
    <mergeCell ref="A85:B85"/>
    <mergeCell ref="C85:D85"/>
    <mergeCell ref="E85:J85"/>
    <mergeCell ref="K85:S85"/>
    <mergeCell ref="T85:U85"/>
    <mergeCell ref="V85:X85"/>
    <mergeCell ref="V83:X83"/>
    <mergeCell ref="Y83:AD83"/>
    <mergeCell ref="A84:B84"/>
    <mergeCell ref="C84:D84"/>
    <mergeCell ref="E84:J84"/>
    <mergeCell ref="K84:S84"/>
    <mergeCell ref="T84:U84"/>
    <mergeCell ref="V84:X84"/>
    <mergeCell ref="Y84:AD84"/>
    <mergeCell ref="A82:E82"/>
    <mergeCell ref="A83:B83"/>
    <mergeCell ref="C83:D83"/>
    <mergeCell ref="E83:J83"/>
    <mergeCell ref="K83:S83"/>
    <mergeCell ref="T83:U83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73:B73"/>
    <mergeCell ref="F73:J73"/>
    <mergeCell ref="K73:S73"/>
    <mergeCell ref="T73:U73"/>
    <mergeCell ref="V73:W73"/>
    <mergeCell ref="X73:AD73"/>
    <mergeCell ref="AB70:AD70"/>
    <mergeCell ref="A71:E71"/>
    <mergeCell ref="A72:B72"/>
    <mergeCell ref="F72:J72"/>
    <mergeCell ref="K72:S72"/>
    <mergeCell ref="T72:U72"/>
    <mergeCell ref="V72:W72"/>
    <mergeCell ref="X72:AD72"/>
    <mergeCell ref="A70:B70"/>
    <mergeCell ref="F70:J70"/>
    <mergeCell ref="K70:L70"/>
    <mergeCell ref="N70:O70"/>
    <mergeCell ref="P70:Q70"/>
    <mergeCell ref="R70:AA70"/>
    <mergeCell ref="AB68:AD68"/>
    <mergeCell ref="A69:B69"/>
    <mergeCell ref="F69:J69"/>
    <mergeCell ref="K69:L69"/>
    <mergeCell ref="N69:O69"/>
    <mergeCell ref="P69:Q69"/>
    <mergeCell ref="R69:AA69"/>
    <mergeCell ref="AB69:AD69"/>
    <mergeCell ref="A68:B68"/>
    <mergeCell ref="F68:J68"/>
    <mergeCell ref="K68:L68"/>
    <mergeCell ref="N68:O68"/>
    <mergeCell ref="P68:Q68"/>
    <mergeCell ref="R68:AA68"/>
    <mergeCell ref="AB66:AD66"/>
    <mergeCell ref="A67:B67"/>
    <mergeCell ref="F67:J67"/>
    <mergeCell ref="K67:L67"/>
    <mergeCell ref="N67:O67"/>
    <mergeCell ref="P67:Q67"/>
    <mergeCell ref="R67:AA67"/>
    <mergeCell ref="AB67:AD67"/>
    <mergeCell ref="A66:B66"/>
    <mergeCell ref="F66:J66"/>
    <mergeCell ref="K66:L66"/>
    <mergeCell ref="N66:O66"/>
    <mergeCell ref="P66:Q66"/>
    <mergeCell ref="R66:AA66"/>
    <mergeCell ref="AB64:AD64"/>
    <mergeCell ref="A65:B65"/>
    <mergeCell ref="F65:J65"/>
    <mergeCell ref="K65:L65"/>
    <mergeCell ref="N65:O65"/>
    <mergeCell ref="P65:Q65"/>
    <mergeCell ref="R65:AA65"/>
    <mergeCell ref="AB65:AD65"/>
    <mergeCell ref="A64:B64"/>
    <mergeCell ref="F64:J64"/>
    <mergeCell ref="K64:L64"/>
    <mergeCell ref="N64:O64"/>
    <mergeCell ref="P64:Q64"/>
    <mergeCell ref="R64:AA64"/>
    <mergeCell ref="R62:AA62"/>
    <mergeCell ref="AB62:AD62"/>
    <mergeCell ref="A63:B63"/>
    <mergeCell ref="F63:J63"/>
    <mergeCell ref="K63:L63"/>
    <mergeCell ref="N63:O63"/>
    <mergeCell ref="P63:Q63"/>
    <mergeCell ref="R63:AA63"/>
    <mergeCell ref="AB63:AD63"/>
    <mergeCell ref="A61:E61"/>
    <mergeCell ref="A62:B62"/>
    <mergeCell ref="F62:J62"/>
    <mergeCell ref="K62:L62"/>
    <mergeCell ref="N62:O62"/>
    <mergeCell ref="P62:Q62"/>
    <mergeCell ref="A59:B59"/>
    <mergeCell ref="F59:M59"/>
    <mergeCell ref="P59:Q59"/>
    <mergeCell ref="R59:U59"/>
    <mergeCell ref="V59:AD59"/>
    <mergeCell ref="A60:B60"/>
    <mergeCell ref="F60:M60"/>
    <mergeCell ref="P60:Q60"/>
    <mergeCell ref="R60:U60"/>
    <mergeCell ref="V60:AD60"/>
    <mergeCell ref="A57:B57"/>
    <mergeCell ref="F57:M57"/>
    <mergeCell ref="P57:Q57"/>
    <mergeCell ref="R57:U57"/>
    <mergeCell ref="V57:AD57"/>
    <mergeCell ref="A58:B58"/>
    <mergeCell ref="F58:M58"/>
    <mergeCell ref="P58:Q58"/>
    <mergeCell ref="R58:U58"/>
    <mergeCell ref="V58:AD58"/>
    <mergeCell ref="A55:B55"/>
    <mergeCell ref="F55:M55"/>
    <mergeCell ref="P55:Q55"/>
    <mergeCell ref="R55:U55"/>
    <mergeCell ref="V55:AD55"/>
    <mergeCell ref="A56:B56"/>
    <mergeCell ref="F56:M56"/>
    <mergeCell ref="P56:Q56"/>
    <mergeCell ref="R56:U56"/>
    <mergeCell ref="V56:AD56"/>
    <mergeCell ref="A53:B53"/>
    <mergeCell ref="F53:M53"/>
    <mergeCell ref="P53:Q53"/>
    <mergeCell ref="R53:U53"/>
    <mergeCell ref="V53:AD53"/>
    <mergeCell ref="A54:B54"/>
    <mergeCell ref="F54:M54"/>
    <mergeCell ref="P54:Q54"/>
    <mergeCell ref="R54:U54"/>
    <mergeCell ref="V54:AD54"/>
    <mergeCell ref="A51:B51"/>
    <mergeCell ref="F51:M51"/>
    <mergeCell ref="P51:Q51"/>
    <mergeCell ref="R51:U51"/>
    <mergeCell ref="V51:AD51"/>
    <mergeCell ref="A52:B52"/>
    <mergeCell ref="F52:M52"/>
    <mergeCell ref="P52:Q52"/>
    <mergeCell ref="R52:U52"/>
    <mergeCell ref="V52:AD52"/>
    <mergeCell ref="AD4:AD5"/>
    <mergeCell ref="A21:H21"/>
    <mergeCell ref="A48:E48"/>
    <mergeCell ref="A49:M49"/>
    <mergeCell ref="N49:AD49"/>
    <mergeCell ref="A50:B50"/>
    <mergeCell ref="F50:M50"/>
    <mergeCell ref="P50:Q50"/>
    <mergeCell ref="R50:U50"/>
    <mergeCell ref="V50:AD50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7" max="16383" man="1"/>
  </rowBrea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7"/>
  <sheetViews>
    <sheetView tabSelected="1" zoomScale="72" zoomScaleNormal="72" zoomScaleSheetLayoutView="70" workbookViewId="0">
      <selection activeCell="S16" sqref="S16"/>
    </sheetView>
  </sheetViews>
  <sheetFormatPr defaultRowHeight="14.25"/>
  <cols>
    <col min="1" max="1" width="4" style="53" bestFit="1" customWidth="1"/>
    <col min="2" max="2" width="6" style="53" customWidth="1"/>
    <col min="3" max="3" width="9.125" style="53" customWidth="1"/>
    <col min="4" max="4" width="13.625" style="53" bestFit="1" customWidth="1"/>
    <col min="5" max="5" width="22.5" style="53" customWidth="1"/>
    <col min="6" max="6" width="9.625" style="53" bestFit="1" customWidth="1"/>
    <col min="7" max="7" width="7.375" style="53" bestFit="1" customWidth="1"/>
    <col min="8" max="8" width="10.75" style="53" bestFit="1" customWidth="1"/>
    <col min="9" max="9" width="16.875" style="53" customWidth="1"/>
    <col min="10" max="10" width="15.5" style="53" bestFit="1" customWidth="1"/>
    <col min="11" max="11" width="18.75" style="53" bestFit="1" customWidth="1"/>
    <col min="12" max="13" width="16.375" style="53" bestFit="1" customWidth="1"/>
    <col min="14" max="14" width="8.375" style="53" customWidth="1"/>
    <col min="15" max="15" width="8.75" style="53" customWidth="1"/>
    <col min="16" max="17" width="8.875" style="53" customWidth="1"/>
    <col min="18" max="18" width="6.75" style="53" bestFit="1" customWidth="1"/>
    <col min="19" max="20" width="8.25" style="53" bestFit="1" customWidth="1"/>
    <col min="21" max="21" width="6.75" style="53" bestFit="1" customWidth="1"/>
    <col min="22" max="23" width="9.25" style="53" bestFit="1" customWidth="1"/>
    <col min="24" max="24" width="7.125" style="53" bestFit="1" customWidth="1"/>
    <col min="25" max="26" width="6" style="53" bestFit="1" customWidth="1"/>
    <col min="27" max="27" width="8.25" style="53" customWidth="1"/>
    <col min="28" max="30" width="8.25" style="53" bestFit="1" customWidth="1"/>
    <col min="31" max="31" width="6.125" style="53" bestFit="1" customWidth="1"/>
    <col min="32" max="32" width="9" style="94"/>
    <col min="33" max="33" width="17.625" style="53" customWidth="1"/>
    <col min="34" max="16384" width="9" style="53"/>
  </cols>
  <sheetData>
    <row r="1" spans="1:32" ht="44.25" customHeight="1">
      <c r="A1" s="484" t="s">
        <v>1159</v>
      </c>
      <c r="B1" s="484"/>
      <c r="C1" s="484"/>
      <c r="D1" s="484"/>
      <c r="E1" s="484"/>
      <c r="F1" s="484"/>
      <c r="G1" s="484"/>
      <c r="H1" s="484"/>
      <c r="I1" s="484"/>
      <c r="J1" s="484"/>
      <c r="K1" s="484"/>
      <c r="L1" s="484"/>
      <c r="M1" s="484"/>
      <c r="N1" s="484"/>
      <c r="O1" s="484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</row>
    <row r="2" spans="1:32" ht="44.25" customHeight="1">
      <c r="A2" s="484"/>
      <c r="B2" s="484"/>
      <c r="C2" s="484"/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7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</row>
    <row r="3" spans="1:32" ht="16.5" customHeight="1" thickBot="1">
      <c r="A3" s="485"/>
      <c r="B3" s="485"/>
      <c r="C3" s="485"/>
      <c r="D3" s="485"/>
      <c r="E3" s="485"/>
      <c r="F3" s="485"/>
      <c r="G3" s="485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</row>
    <row r="4" spans="1:32" ht="36" customHeight="1" thickBot="1">
      <c r="A4" s="486" t="s">
        <v>0</v>
      </c>
      <c r="B4" s="488" t="s">
        <v>1</v>
      </c>
      <c r="C4" s="488" t="s">
        <v>2</v>
      </c>
      <c r="D4" s="491" t="s">
        <v>3</v>
      </c>
      <c r="E4" s="493" t="s">
        <v>4</v>
      </c>
      <c r="F4" s="491" t="s">
        <v>5</v>
      </c>
      <c r="G4" s="488" t="s">
        <v>6</v>
      </c>
      <c r="H4" s="494" t="s">
        <v>7</v>
      </c>
      <c r="I4" s="474" t="s">
        <v>8</v>
      </c>
      <c r="J4" s="475"/>
      <c r="K4" s="475"/>
      <c r="L4" s="475"/>
      <c r="M4" s="475"/>
      <c r="N4" s="475"/>
      <c r="O4" s="476"/>
      <c r="P4" s="477" t="s">
        <v>9</v>
      </c>
      <c r="Q4" s="478"/>
      <c r="R4" s="479" t="s">
        <v>10</v>
      </c>
      <c r="S4" s="479"/>
      <c r="T4" s="479"/>
      <c r="U4" s="479"/>
      <c r="V4" s="479"/>
      <c r="W4" s="480" t="s">
        <v>11</v>
      </c>
      <c r="X4" s="479"/>
      <c r="Y4" s="479"/>
      <c r="Z4" s="479"/>
      <c r="AA4" s="481"/>
      <c r="AB4" s="482" t="s">
        <v>12</v>
      </c>
      <c r="AC4" s="455" t="s">
        <v>13</v>
      </c>
      <c r="AD4" s="455" t="s">
        <v>14</v>
      </c>
      <c r="AE4" s="58"/>
    </row>
    <row r="5" spans="1:32" ht="51" customHeight="1" thickBot="1">
      <c r="A5" s="487"/>
      <c r="B5" s="489"/>
      <c r="C5" s="490"/>
      <c r="D5" s="492"/>
      <c r="E5" s="492"/>
      <c r="F5" s="492"/>
      <c r="G5" s="489"/>
      <c r="H5" s="495"/>
      <c r="I5" s="59" t="s">
        <v>15</v>
      </c>
      <c r="J5" s="60" t="s">
        <v>16</v>
      </c>
      <c r="K5" s="372" t="s">
        <v>17</v>
      </c>
      <c r="L5" s="372" t="s">
        <v>18</v>
      </c>
      <c r="M5" s="372" t="s">
        <v>19</v>
      </c>
      <c r="N5" s="372" t="s">
        <v>20</v>
      </c>
      <c r="O5" s="61" t="s">
        <v>21</v>
      </c>
      <c r="P5" s="47" t="s">
        <v>22</v>
      </c>
      <c r="Q5" s="48" t="s">
        <v>23</v>
      </c>
      <c r="R5" s="49" t="s">
        <v>24</v>
      </c>
      <c r="S5" s="51" t="s">
        <v>25</v>
      </c>
      <c r="T5" s="50" t="s">
        <v>26</v>
      </c>
      <c r="U5" s="51" t="s">
        <v>27</v>
      </c>
      <c r="V5" s="48" t="s">
        <v>28</v>
      </c>
      <c r="W5" s="49" t="s">
        <v>29</v>
      </c>
      <c r="X5" s="51" t="s">
        <v>30</v>
      </c>
      <c r="Y5" s="51" t="s">
        <v>31</v>
      </c>
      <c r="Z5" s="51" t="s">
        <v>32</v>
      </c>
      <c r="AA5" s="48" t="s">
        <v>33</v>
      </c>
      <c r="AB5" s="483"/>
      <c r="AC5" s="456"/>
      <c r="AD5" s="456"/>
      <c r="AE5" s="58"/>
    </row>
    <row r="6" spans="1:32" ht="27" customHeight="1">
      <c r="A6" s="108">
        <v>1</v>
      </c>
      <c r="B6" s="11" t="s">
        <v>59</v>
      </c>
      <c r="C6" s="11" t="s">
        <v>129</v>
      </c>
      <c r="D6" s="55" t="s">
        <v>123</v>
      </c>
      <c r="E6" s="56" t="s">
        <v>142</v>
      </c>
      <c r="F6" s="12" t="s">
        <v>134</v>
      </c>
      <c r="G6" s="36">
        <v>1</v>
      </c>
      <c r="H6" s="38">
        <v>25</v>
      </c>
      <c r="I6" s="7">
        <v>50000</v>
      </c>
      <c r="J6" s="14">
        <v>1600</v>
      </c>
      <c r="K6" s="15">
        <f>L6+2454+5092+5124+5082+1904+1592</f>
        <v>21248</v>
      </c>
      <c r="L6" s="15"/>
      <c r="M6" s="16">
        <f t="shared" ref="M6:M21" si="0">L6-N6</f>
        <v>0</v>
      </c>
      <c r="N6" s="16">
        <v>0</v>
      </c>
      <c r="O6" s="62" t="str">
        <f t="shared" ref="O6:O22" si="1">IF(L6=0,"0",N6/L6)</f>
        <v>0</v>
      </c>
      <c r="P6" s="42" t="str">
        <f t="shared" ref="P6:P21" si="2">IF(L6=0,"0",(24-Q6))</f>
        <v>0</v>
      </c>
      <c r="Q6" s="43">
        <f t="shared" ref="Q6:Q21" si="3">SUM(R6:AA6)</f>
        <v>24</v>
      </c>
      <c r="R6" s="7">
        <v>24</v>
      </c>
      <c r="S6" s="6"/>
      <c r="T6" s="17"/>
      <c r="U6" s="17"/>
      <c r="V6" s="18"/>
      <c r="W6" s="19"/>
      <c r="X6" s="17"/>
      <c r="Y6" s="20"/>
      <c r="Z6" s="20"/>
      <c r="AA6" s="21"/>
      <c r="AB6" s="8">
        <f t="shared" ref="AB6:AB21" si="4">IF(J6=0,"0",(L6/J6))</f>
        <v>0</v>
      </c>
      <c r="AC6" s="9">
        <f t="shared" ref="AC6:AC21" si="5">IF(P6=0,"0",(P6/24))</f>
        <v>0</v>
      </c>
      <c r="AD6" s="10">
        <f t="shared" ref="AD6:AD21" si="6">AC6*AB6*(1-O6)</f>
        <v>0</v>
      </c>
      <c r="AE6" s="39">
        <f>$AD$22</f>
        <v>0.25496933569641006</v>
      </c>
      <c r="AF6" s="94">
        <f t="shared" ref="AF6:AF21" si="7">A6</f>
        <v>1</v>
      </c>
    </row>
    <row r="7" spans="1:32" ht="27" customHeight="1">
      <c r="A7" s="108">
        <v>2</v>
      </c>
      <c r="B7" s="11" t="s">
        <v>59</v>
      </c>
      <c r="C7" s="11" t="s">
        <v>122</v>
      </c>
      <c r="D7" s="55" t="s">
        <v>144</v>
      </c>
      <c r="E7" s="56" t="s">
        <v>982</v>
      </c>
      <c r="F7" s="12">
        <v>7301</v>
      </c>
      <c r="G7" s="36">
        <v>1</v>
      </c>
      <c r="H7" s="38">
        <v>25</v>
      </c>
      <c r="I7" s="7">
        <v>3000</v>
      </c>
      <c r="J7" s="14">
        <v>2080</v>
      </c>
      <c r="K7" s="15">
        <f>L7+2503+3695+2071</f>
        <v>8269</v>
      </c>
      <c r="L7" s="15"/>
      <c r="M7" s="16">
        <f t="shared" si="0"/>
        <v>0</v>
      </c>
      <c r="N7" s="16">
        <v>0</v>
      </c>
      <c r="O7" s="62" t="str">
        <f t="shared" si="1"/>
        <v>0</v>
      </c>
      <c r="P7" s="42" t="str">
        <f t="shared" si="2"/>
        <v>0</v>
      </c>
      <c r="Q7" s="43">
        <f t="shared" si="3"/>
        <v>24</v>
      </c>
      <c r="R7" s="7"/>
      <c r="S7" s="6"/>
      <c r="T7" s="17"/>
      <c r="U7" s="17"/>
      <c r="V7" s="18"/>
      <c r="W7" s="19">
        <v>24</v>
      </c>
      <c r="X7" s="17"/>
      <c r="Y7" s="20"/>
      <c r="Z7" s="20"/>
      <c r="AA7" s="21"/>
      <c r="AB7" s="8">
        <f t="shared" si="4"/>
        <v>0</v>
      </c>
      <c r="AC7" s="9">
        <f t="shared" si="5"/>
        <v>0</v>
      </c>
      <c r="AD7" s="10">
        <f t="shared" si="6"/>
        <v>0</v>
      </c>
      <c r="AE7" s="39">
        <f>$AD$22</f>
        <v>0.25496933569641006</v>
      </c>
      <c r="AF7" s="94">
        <f>A7</f>
        <v>2</v>
      </c>
    </row>
    <row r="8" spans="1:32" ht="27" customHeight="1">
      <c r="A8" s="109">
        <v>3</v>
      </c>
      <c r="B8" s="11" t="s">
        <v>1121</v>
      </c>
      <c r="C8" s="11" t="s">
        <v>129</v>
      </c>
      <c r="D8" s="55" t="s">
        <v>136</v>
      </c>
      <c r="E8" s="57" t="s">
        <v>213</v>
      </c>
      <c r="F8" s="33" t="s">
        <v>139</v>
      </c>
      <c r="G8" s="36">
        <v>1</v>
      </c>
      <c r="H8" s="38">
        <v>25</v>
      </c>
      <c r="I8" s="7">
        <v>20000</v>
      </c>
      <c r="J8" s="14">
        <v>2450</v>
      </c>
      <c r="K8" s="15">
        <f>L8+2046</f>
        <v>4494</v>
      </c>
      <c r="L8" s="15">
        <f>2245+203</f>
        <v>2448</v>
      </c>
      <c r="M8" s="16">
        <f t="shared" si="0"/>
        <v>2448</v>
      </c>
      <c r="N8" s="16">
        <v>0</v>
      </c>
      <c r="O8" s="62">
        <f t="shared" si="1"/>
        <v>0</v>
      </c>
      <c r="P8" s="42">
        <f t="shared" si="2"/>
        <v>14</v>
      </c>
      <c r="Q8" s="43">
        <f t="shared" si="3"/>
        <v>10</v>
      </c>
      <c r="R8" s="7"/>
      <c r="S8" s="6">
        <v>10</v>
      </c>
      <c r="T8" s="17"/>
      <c r="U8" s="17"/>
      <c r="V8" s="18"/>
      <c r="W8" s="19"/>
      <c r="X8" s="17"/>
      <c r="Y8" s="20"/>
      <c r="Z8" s="20"/>
      <c r="AA8" s="21"/>
      <c r="AB8" s="8">
        <f t="shared" si="4"/>
        <v>0.99918367346938775</v>
      </c>
      <c r="AC8" s="9">
        <f t="shared" si="5"/>
        <v>0.58333333333333337</v>
      </c>
      <c r="AD8" s="10">
        <f t="shared" si="6"/>
        <v>0.58285714285714285</v>
      </c>
      <c r="AE8" s="39">
        <f>$AD$22</f>
        <v>0.25496933569641006</v>
      </c>
      <c r="AF8" s="94">
        <f t="shared" si="7"/>
        <v>3</v>
      </c>
    </row>
    <row r="9" spans="1:32" ht="27" customHeight="1">
      <c r="A9" s="110">
        <v>4</v>
      </c>
      <c r="B9" s="11" t="s">
        <v>59</v>
      </c>
      <c r="C9" s="37" t="s">
        <v>129</v>
      </c>
      <c r="D9" s="55" t="s">
        <v>121</v>
      </c>
      <c r="E9" s="57" t="s">
        <v>984</v>
      </c>
      <c r="F9" s="12" t="s">
        <v>408</v>
      </c>
      <c r="G9" s="12">
        <v>1</v>
      </c>
      <c r="H9" s="13">
        <v>24</v>
      </c>
      <c r="I9" s="34">
        <v>17000</v>
      </c>
      <c r="J9" s="5">
        <v>2180</v>
      </c>
      <c r="K9" s="15">
        <f>L9+2857+3325+4387+1493</f>
        <v>14233</v>
      </c>
      <c r="L9" s="15">
        <f>2171</f>
        <v>2171</v>
      </c>
      <c r="M9" s="16">
        <f t="shared" si="0"/>
        <v>2171</v>
      </c>
      <c r="N9" s="16">
        <v>0</v>
      </c>
      <c r="O9" s="62">
        <f t="shared" si="1"/>
        <v>0</v>
      </c>
      <c r="P9" s="42">
        <f t="shared" si="2"/>
        <v>12</v>
      </c>
      <c r="Q9" s="43">
        <f t="shared" si="3"/>
        <v>12</v>
      </c>
      <c r="R9" s="7"/>
      <c r="S9" s="6">
        <v>12</v>
      </c>
      <c r="T9" s="17"/>
      <c r="U9" s="17"/>
      <c r="V9" s="18"/>
      <c r="W9" s="19"/>
      <c r="X9" s="17"/>
      <c r="Y9" s="20"/>
      <c r="Z9" s="20"/>
      <c r="AA9" s="21"/>
      <c r="AB9" s="8">
        <f t="shared" si="4"/>
        <v>0.99587155963302754</v>
      </c>
      <c r="AC9" s="9">
        <f t="shared" si="5"/>
        <v>0.5</v>
      </c>
      <c r="AD9" s="10">
        <f t="shared" si="6"/>
        <v>0.49793577981651377</v>
      </c>
      <c r="AE9" s="39">
        <f>$AD$22</f>
        <v>0.25496933569641006</v>
      </c>
      <c r="AF9" s="94">
        <f t="shared" si="7"/>
        <v>4</v>
      </c>
    </row>
    <row r="10" spans="1:32" ht="27" customHeight="1">
      <c r="A10" s="110">
        <v>5</v>
      </c>
      <c r="B10" s="11" t="s">
        <v>59</v>
      </c>
      <c r="C10" s="37" t="s">
        <v>122</v>
      </c>
      <c r="D10" s="55" t="s">
        <v>1122</v>
      </c>
      <c r="E10" s="57" t="s">
        <v>1123</v>
      </c>
      <c r="F10" s="12" t="s">
        <v>127</v>
      </c>
      <c r="G10" s="12">
        <v>1</v>
      </c>
      <c r="H10" s="13">
        <v>25</v>
      </c>
      <c r="I10" s="34">
        <v>53000</v>
      </c>
      <c r="J10" s="5">
        <v>1650</v>
      </c>
      <c r="K10" s="15">
        <f>L10+746</f>
        <v>2396</v>
      </c>
      <c r="L10" s="15">
        <f>459+1191</f>
        <v>1650</v>
      </c>
      <c r="M10" s="16">
        <f t="shared" si="0"/>
        <v>1650</v>
      </c>
      <c r="N10" s="16">
        <v>0</v>
      </c>
      <c r="O10" s="62">
        <f t="shared" si="1"/>
        <v>0</v>
      </c>
      <c r="P10" s="42">
        <f t="shared" si="2"/>
        <v>8</v>
      </c>
      <c r="Q10" s="43">
        <f t="shared" si="3"/>
        <v>16</v>
      </c>
      <c r="R10" s="7"/>
      <c r="S10" s="6">
        <v>16</v>
      </c>
      <c r="T10" s="17"/>
      <c r="U10" s="17"/>
      <c r="V10" s="18"/>
      <c r="W10" s="19"/>
      <c r="X10" s="17"/>
      <c r="Y10" s="20"/>
      <c r="Z10" s="20"/>
      <c r="AA10" s="21"/>
      <c r="AB10" s="8">
        <f t="shared" si="4"/>
        <v>1</v>
      </c>
      <c r="AC10" s="9">
        <f t="shared" si="5"/>
        <v>0.33333333333333331</v>
      </c>
      <c r="AD10" s="10">
        <f t="shared" si="6"/>
        <v>0.33333333333333331</v>
      </c>
      <c r="AE10" s="39">
        <f>$AD$22</f>
        <v>0.25496933569641006</v>
      </c>
      <c r="AF10" s="94">
        <f t="shared" si="7"/>
        <v>5</v>
      </c>
    </row>
    <row r="11" spans="1:32" ht="27" customHeight="1">
      <c r="A11" s="110">
        <v>6</v>
      </c>
      <c r="B11" s="11" t="s">
        <v>59</v>
      </c>
      <c r="C11" s="11" t="s">
        <v>122</v>
      </c>
      <c r="D11" s="55" t="s">
        <v>162</v>
      </c>
      <c r="E11" s="57" t="s">
        <v>987</v>
      </c>
      <c r="F11" s="12" t="s">
        <v>988</v>
      </c>
      <c r="G11" s="12">
        <v>1</v>
      </c>
      <c r="H11" s="13">
        <v>25</v>
      </c>
      <c r="I11" s="34">
        <v>600</v>
      </c>
      <c r="J11" s="14">
        <v>710</v>
      </c>
      <c r="K11" s="15">
        <f>L11</f>
        <v>710</v>
      </c>
      <c r="L11" s="15">
        <v>710</v>
      </c>
      <c r="M11" s="16">
        <f t="shared" si="0"/>
        <v>710</v>
      </c>
      <c r="N11" s="16">
        <v>0</v>
      </c>
      <c r="O11" s="62">
        <f t="shared" si="1"/>
        <v>0</v>
      </c>
      <c r="P11" s="42">
        <f t="shared" si="2"/>
        <v>5</v>
      </c>
      <c r="Q11" s="43">
        <f t="shared" si="3"/>
        <v>19</v>
      </c>
      <c r="R11" s="7"/>
      <c r="S11" s="6"/>
      <c r="T11" s="17"/>
      <c r="U11" s="17"/>
      <c r="V11" s="18"/>
      <c r="W11" s="19">
        <v>19</v>
      </c>
      <c r="X11" s="17"/>
      <c r="Y11" s="20"/>
      <c r="Z11" s="20"/>
      <c r="AA11" s="21"/>
      <c r="AB11" s="8">
        <f t="shared" si="4"/>
        <v>1</v>
      </c>
      <c r="AC11" s="9">
        <f t="shared" si="5"/>
        <v>0.20833333333333334</v>
      </c>
      <c r="AD11" s="10">
        <f t="shared" si="6"/>
        <v>0.20833333333333334</v>
      </c>
      <c r="AE11" s="39">
        <f>$AD$22</f>
        <v>0.25496933569641006</v>
      </c>
      <c r="AF11" s="94">
        <f t="shared" si="7"/>
        <v>6</v>
      </c>
    </row>
    <row r="12" spans="1:32" ht="27" customHeight="1">
      <c r="A12" s="110">
        <v>7</v>
      </c>
      <c r="B12" s="11" t="s">
        <v>59</v>
      </c>
      <c r="C12" s="37" t="s">
        <v>122</v>
      </c>
      <c r="D12" s="55" t="s">
        <v>144</v>
      </c>
      <c r="E12" s="57" t="s">
        <v>1160</v>
      </c>
      <c r="F12" s="12" t="s">
        <v>134</v>
      </c>
      <c r="G12" s="12">
        <v>1</v>
      </c>
      <c r="H12" s="13">
        <v>25</v>
      </c>
      <c r="I12" s="34">
        <v>600</v>
      </c>
      <c r="J12" s="5">
        <v>790</v>
      </c>
      <c r="K12" s="15">
        <f>L12</f>
        <v>782</v>
      </c>
      <c r="L12" s="15">
        <f>343+439</f>
        <v>782</v>
      </c>
      <c r="M12" s="16">
        <f t="shared" si="0"/>
        <v>782</v>
      </c>
      <c r="N12" s="16">
        <v>0</v>
      </c>
      <c r="O12" s="62">
        <f t="shared" si="1"/>
        <v>0</v>
      </c>
      <c r="P12" s="42">
        <f t="shared" si="2"/>
        <v>6</v>
      </c>
      <c r="Q12" s="43">
        <f t="shared" si="3"/>
        <v>18</v>
      </c>
      <c r="R12" s="7"/>
      <c r="S12" s="6"/>
      <c r="T12" s="17"/>
      <c r="U12" s="17"/>
      <c r="V12" s="18"/>
      <c r="W12" s="19">
        <v>18</v>
      </c>
      <c r="X12" s="17"/>
      <c r="Y12" s="20"/>
      <c r="Z12" s="20"/>
      <c r="AA12" s="21"/>
      <c r="AB12" s="8">
        <f t="shared" si="4"/>
        <v>0.98987341772151893</v>
      </c>
      <c r="AC12" s="9">
        <f t="shared" si="5"/>
        <v>0.25</v>
      </c>
      <c r="AD12" s="10">
        <f t="shared" si="6"/>
        <v>0.24746835443037973</v>
      </c>
      <c r="AE12" s="39">
        <f>$AD$22</f>
        <v>0.25496933569641006</v>
      </c>
      <c r="AF12" s="94">
        <f t="shared" si="7"/>
        <v>7</v>
      </c>
    </row>
    <row r="13" spans="1:32" ht="27" customHeight="1">
      <c r="A13" s="110">
        <v>8</v>
      </c>
      <c r="B13" s="11" t="s">
        <v>59</v>
      </c>
      <c r="C13" s="11" t="s">
        <v>1146</v>
      </c>
      <c r="D13" s="55"/>
      <c r="E13" s="57" t="s">
        <v>1162</v>
      </c>
      <c r="F13" s="12" t="s">
        <v>134</v>
      </c>
      <c r="G13" s="12" t="s">
        <v>1161</v>
      </c>
      <c r="H13" s="13">
        <v>25</v>
      </c>
      <c r="I13" s="7">
        <v>1000</v>
      </c>
      <c r="J13" s="14">
        <v>300</v>
      </c>
      <c r="K13" s="15">
        <f>L13</f>
        <v>300</v>
      </c>
      <c r="L13" s="15">
        <v>300</v>
      </c>
      <c r="M13" s="16">
        <f t="shared" si="0"/>
        <v>300</v>
      </c>
      <c r="N13" s="16">
        <v>0</v>
      </c>
      <c r="O13" s="62">
        <f t="shared" si="1"/>
        <v>0</v>
      </c>
      <c r="P13" s="42">
        <f t="shared" si="2"/>
        <v>4</v>
      </c>
      <c r="Q13" s="43">
        <f t="shared" si="3"/>
        <v>20</v>
      </c>
      <c r="R13" s="7"/>
      <c r="S13" s="6">
        <v>20</v>
      </c>
      <c r="T13" s="17"/>
      <c r="U13" s="17"/>
      <c r="V13" s="18"/>
      <c r="W13" s="19"/>
      <c r="X13" s="17"/>
      <c r="Y13" s="20"/>
      <c r="Z13" s="20"/>
      <c r="AA13" s="21"/>
      <c r="AB13" s="8">
        <f t="shared" si="4"/>
        <v>1</v>
      </c>
      <c r="AC13" s="9">
        <f t="shared" si="5"/>
        <v>0.16666666666666666</v>
      </c>
      <c r="AD13" s="10">
        <f t="shared" si="6"/>
        <v>0.16666666666666666</v>
      </c>
      <c r="AE13" s="39">
        <f>$AD$22</f>
        <v>0.25496933569641006</v>
      </c>
      <c r="AF13" s="94">
        <f t="shared" si="7"/>
        <v>8</v>
      </c>
    </row>
    <row r="14" spans="1:32" ht="27" customHeight="1">
      <c r="A14" s="110">
        <v>8</v>
      </c>
      <c r="B14" s="11" t="s">
        <v>59</v>
      </c>
      <c r="C14" s="11" t="s">
        <v>1146</v>
      </c>
      <c r="D14" s="55"/>
      <c r="E14" s="57" t="s">
        <v>1163</v>
      </c>
      <c r="F14" s="12" t="s">
        <v>134</v>
      </c>
      <c r="G14" s="12" t="s">
        <v>1161</v>
      </c>
      <c r="H14" s="13">
        <v>25</v>
      </c>
      <c r="I14" s="7">
        <v>1000</v>
      </c>
      <c r="J14" s="14">
        <v>1950</v>
      </c>
      <c r="K14" s="15">
        <f>L14</f>
        <v>1943</v>
      </c>
      <c r="L14" s="15">
        <f>796+1147</f>
        <v>1943</v>
      </c>
      <c r="M14" s="16">
        <f t="shared" ref="M14" si="8">L14-N14</f>
        <v>1943</v>
      </c>
      <c r="N14" s="16">
        <v>0</v>
      </c>
      <c r="O14" s="62">
        <f t="shared" ref="O14" si="9">IF(L14=0,"0",N14/L14)</f>
        <v>0</v>
      </c>
      <c r="P14" s="42">
        <f t="shared" ref="P14" si="10">IF(L14=0,"0",(24-Q14))</f>
        <v>12</v>
      </c>
      <c r="Q14" s="43">
        <f t="shared" ref="Q14" si="11">SUM(R14:AA14)</f>
        <v>12</v>
      </c>
      <c r="R14" s="7"/>
      <c r="S14" s="6"/>
      <c r="T14" s="17"/>
      <c r="U14" s="17"/>
      <c r="V14" s="18"/>
      <c r="W14" s="19">
        <v>12</v>
      </c>
      <c r="X14" s="17"/>
      <c r="Y14" s="20"/>
      <c r="Z14" s="20"/>
      <c r="AA14" s="21"/>
      <c r="AB14" s="8">
        <f t="shared" ref="AB14" si="12">IF(J14=0,"0",(L14/J14))</f>
        <v>0.99641025641025638</v>
      </c>
      <c r="AC14" s="9">
        <f t="shared" ref="AC14" si="13">IF(P14=0,"0",(P14/24))</f>
        <v>0.5</v>
      </c>
      <c r="AD14" s="10">
        <f t="shared" ref="AD14" si="14">AC14*AB14*(1-O14)</f>
        <v>0.49820512820512819</v>
      </c>
      <c r="AE14" s="39">
        <f>$AD$22</f>
        <v>0.25496933569641006</v>
      </c>
      <c r="AF14" s="94">
        <f t="shared" ref="AF14" si="15">A14</f>
        <v>8</v>
      </c>
    </row>
    <row r="15" spans="1:32" ht="27" customHeight="1">
      <c r="A15" s="109">
        <v>9</v>
      </c>
      <c r="B15" s="11" t="s">
        <v>59</v>
      </c>
      <c r="C15" s="37" t="s">
        <v>122</v>
      </c>
      <c r="D15" s="55" t="s">
        <v>1124</v>
      </c>
      <c r="E15" s="57" t="s">
        <v>1125</v>
      </c>
      <c r="F15" s="33" t="s">
        <v>1126</v>
      </c>
      <c r="G15" s="36">
        <v>1</v>
      </c>
      <c r="H15" s="38">
        <v>25</v>
      </c>
      <c r="I15" s="7">
        <v>200</v>
      </c>
      <c r="J15" s="5">
        <v>191</v>
      </c>
      <c r="K15" s="15">
        <f>L15+191</f>
        <v>191</v>
      </c>
      <c r="L15" s="15"/>
      <c r="M15" s="16">
        <f t="shared" si="0"/>
        <v>0</v>
      </c>
      <c r="N15" s="16">
        <v>0</v>
      </c>
      <c r="O15" s="62" t="str">
        <f t="shared" si="1"/>
        <v>0</v>
      </c>
      <c r="P15" s="42" t="str">
        <f t="shared" si="2"/>
        <v>0</v>
      </c>
      <c r="Q15" s="43">
        <f t="shared" si="3"/>
        <v>24</v>
      </c>
      <c r="R15" s="7"/>
      <c r="S15" s="6"/>
      <c r="T15" s="17"/>
      <c r="U15" s="17"/>
      <c r="V15" s="18"/>
      <c r="W15" s="19">
        <v>24</v>
      </c>
      <c r="X15" s="17"/>
      <c r="Y15" s="20"/>
      <c r="Z15" s="20"/>
      <c r="AA15" s="21"/>
      <c r="AB15" s="8">
        <f t="shared" si="4"/>
        <v>0</v>
      </c>
      <c r="AC15" s="9">
        <f t="shared" si="5"/>
        <v>0</v>
      </c>
      <c r="AD15" s="10">
        <f t="shared" si="6"/>
        <v>0</v>
      </c>
      <c r="AE15" s="39">
        <f>$AD$22</f>
        <v>0.25496933569641006</v>
      </c>
      <c r="AF15" s="94">
        <f t="shared" si="7"/>
        <v>9</v>
      </c>
    </row>
    <row r="16" spans="1:32" ht="27" customHeight="1">
      <c r="A16" s="109">
        <v>10</v>
      </c>
      <c r="B16" s="11" t="s">
        <v>727</v>
      </c>
      <c r="C16" s="37" t="s">
        <v>691</v>
      </c>
      <c r="D16" s="55"/>
      <c r="E16" s="57" t="s">
        <v>692</v>
      </c>
      <c r="F16" s="12" t="s">
        <v>728</v>
      </c>
      <c r="G16" s="12">
        <v>8</v>
      </c>
      <c r="H16" s="13">
        <v>15</v>
      </c>
      <c r="I16" s="34">
        <v>3000</v>
      </c>
      <c r="J16" s="5">
        <v>5410</v>
      </c>
      <c r="K16" s="15">
        <f>L16+4500+5408</f>
        <v>9908</v>
      </c>
      <c r="L16" s="15"/>
      <c r="M16" s="16">
        <f t="shared" si="0"/>
        <v>0</v>
      </c>
      <c r="N16" s="16">
        <v>0</v>
      </c>
      <c r="O16" s="62" t="str">
        <f t="shared" si="1"/>
        <v>0</v>
      </c>
      <c r="P16" s="42" t="str">
        <f t="shared" si="2"/>
        <v>0</v>
      </c>
      <c r="Q16" s="43">
        <f t="shared" si="3"/>
        <v>24</v>
      </c>
      <c r="R16" s="7"/>
      <c r="S16" s="6"/>
      <c r="T16" s="17"/>
      <c r="U16" s="17"/>
      <c r="V16" s="18"/>
      <c r="W16" s="19">
        <v>24</v>
      </c>
      <c r="X16" s="17"/>
      <c r="Y16" s="20"/>
      <c r="Z16" s="20"/>
      <c r="AA16" s="21"/>
      <c r="AB16" s="8">
        <f t="shared" si="4"/>
        <v>0</v>
      </c>
      <c r="AC16" s="9">
        <f t="shared" si="5"/>
        <v>0</v>
      </c>
      <c r="AD16" s="10">
        <f t="shared" si="6"/>
        <v>0</v>
      </c>
      <c r="AE16" s="39">
        <f>$AD$22</f>
        <v>0.25496933569641006</v>
      </c>
      <c r="AF16" s="94">
        <f t="shared" si="7"/>
        <v>10</v>
      </c>
    </row>
    <row r="17" spans="1:32" ht="27" customHeight="1">
      <c r="A17" s="109">
        <v>11</v>
      </c>
      <c r="B17" s="11" t="s">
        <v>59</v>
      </c>
      <c r="C17" s="11" t="s">
        <v>129</v>
      </c>
      <c r="D17" s="55" t="s">
        <v>136</v>
      </c>
      <c r="E17" s="56" t="s">
        <v>218</v>
      </c>
      <c r="F17" s="12" t="s">
        <v>127</v>
      </c>
      <c r="G17" s="36">
        <v>1</v>
      </c>
      <c r="H17" s="38">
        <v>25</v>
      </c>
      <c r="I17" s="7">
        <v>3000</v>
      </c>
      <c r="J17" s="14">
        <v>490</v>
      </c>
      <c r="K17" s="15">
        <f>L17+3264+489</f>
        <v>3753</v>
      </c>
      <c r="L17" s="15"/>
      <c r="M17" s="16">
        <f t="shared" si="0"/>
        <v>0</v>
      </c>
      <c r="N17" s="16">
        <v>0</v>
      </c>
      <c r="O17" s="62" t="str">
        <f t="shared" si="1"/>
        <v>0</v>
      </c>
      <c r="P17" s="42" t="str">
        <f t="shared" si="2"/>
        <v>0</v>
      </c>
      <c r="Q17" s="43">
        <f t="shared" si="3"/>
        <v>24</v>
      </c>
      <c r="R17" s="7"/>
      <c r="S17" s="6"/>
      <c r="T17" s="17"/>
      <c r="U17" s="17"/>
      <c r="V17" s="18"/>
      <c r="W17" s="19"/>
      <c r="X17" s="17"/>
      <c r="Y17" s="20"/>
      <c r="Z17" s="20"/>
      <c r="AA17" s="21">
        <v>24</v>
      </c>
      <c r="AB17" s="8">
        <f t="shared" si="4"/>
        <v>0</v>
      </c>
      <c r="AC17" s="9">
        <f t="shared" si="5"/>
        <v>0</v>
      </c>
      <c r="AD17" s="10">
        <f t="shared" si="6"/>
        <v>0</v>
      </c>
      <c r="AE17" s="39">
        <f>$AD$22</f>
        <v>0.25496933569641006</v>
      </c>
      <c r="AF17" s="94">
        <f t="shared" si="7"/>
        <v>11</v>
      </c>
    </row>
    <row r="18" spans="1:32" ht="27" customHeight="1">
      <c r="A18" s="109">
        <v>12</v>
      </c>
      <c r="B18" s="11" t="s">
        <v>59</v>
      </c>
      <c r="C18" s="37" t="s">
        <v>122</v>
      </c>
      <c r="D18" s="55" t="s">
        <v>1080</v>
      </c>
      <c r="E18" s="56" t="s">
        <v>1081</v>
      </c>
      <c r="F18" s="12">
        <v>8301</v>
      </c>
      <c r="G18" s="12">
        <v>1</v>
      </c>
      <c r="H18" s="13">
        <v>25</v>
      </c>
      <c r="I18" s="34">
        <v>15000</v>
      </c>
      <c r="J18" s="5">
        <v>2920</v>
      </c>
      <c r="K18" s="15">
        <f>L18+2929+2877</f>
        <v>8717</v>
      </c>
      <c r="L18" s="15">
        <f>2873+38</f>
        <v>2911</v>
      </c>
      <c r="M18" s="16">
        <f t="shared" si="0"/>
        <v>2911</v>
      </c>
      <c r="N18" s="16">
        <v>0</v>
      </c>
      <c r="O18" s="62">
        <f t="shared" si="1"/>
        <v>0</v>
      </c>
      <c r="P18" s="42">
        <f t="shared" si="2"/>
        <v>15</v>
      </c>
      <c r="Q18" s="43">
        <f t="shared" si="3"/>
        <v>9</v>
      </c>
      <c r="R18" s="7"/>
      <c r="S18" s="6">
        <v>9</v>
      </c>
      <c r="T18" s="17"/>
      <c r="U18" s="17"/>
      <c r="V18" s="18"/>
      <c r="W18" s="19"/>
      <c r="X18" s="17"/>
      <c r="Y18" s="20"/>
      <c r="Z18" s="20"/>
      <c r="AA18" s="21"/>
      <c r="AB18" s="8">
        <f t="shared" si="4"/>
        <v>0.99691780821917808</v>
      </c>
      <c r="AC18" s="9">
        <f t="shared" si="5"/>
        <v>0.625</v>
      </c>
      <c r="AD18" s="10">
        <f t="shared" si="6"/>
        <v>0.62307363013698636</v>
      </c>
      <c r="AE18" s="39">
        <f>$AD$22</f>
        <v>0.25496933569641006</v>
      </c>
      <c r="AF18" s="94">
        <f t="shared" si="7"/>
        <v>12</v>
      </c>
    </row>
    <row r="19" spans="1:32" ht="27" customHeight="1">
      <c r="A19" s="110">
        <v>13</v>
      </c>
      <c r="B19" s="11" t="s">
        <v>59</v>
      </c>
      <c r="C19" s="37" t="s">
        <v>122</v>
      </c>
      <c r="D19" s="55" t="s">
        <v>144</v>
      </c>
      <c r="E19" s="57" t="s">
        <v>1076</v>
      </c>
      <c r="F19" s="12" t="s">
        <v>134</v>
      </c>
      <c r="G19" s="12">
        <v>1</v>
      </c>
      <c r="H19" s="13">
        <v>25</v>
      </c>
      <c r="I19" s="34">
        <v>2000</v>
      </c>
      <c r="J19" s="5">
        <v>380</v>
      </c>
      <c r="K19" s="15">
        <f>L19</f>
        <v>380</v>
      </c>
      <c r="L19" s="15">
        <v>380</v>
      </c>
      <c r="M19" s="16">
        <f t="shared" ref="M19" si="16">L19-N19</f>
        <v>380</v>
      </c>
      <c r="N19" s="16">
        <v>0</v>
      </c>
      <c r="O19" s="62">
        <f t="shared" ref="O19" si="17">IF(L19=0,"0",N19/L19)</f>
        <v>0</v>
      </c>
      <c r="P19" s="42">
        <f t="shared" ref="P19" si="18">IF(L19=0,"0",(24-Q19))</f>
        <v>4</v>
      </c>
      <c r="Q19" s="43">
        <f t="shared" ref="Q19" si="19">SUM(R19:AA19)</f>
        <v>20</v>
      </c>
      <c r="R19" s="7"/>
      <c r="S19" s="6">
        <v>20</v>
      </c>
      <c r="T19" s="17"/>
      <c r="U19" s="17"/>
      <c r="V19" s="18"/>
      <c r="W19" s="19"/>
      <c r="X19" s="17"/>
      <c r="Y19" s="20"/>
      <c r="Z19" s="20"/>
      <c r="AA19" s="21"/>
      <c r="AB19" s="8">
        <f t="shared" ref="AB19" si="20">IF(J19=0,"0",(L19/J19))</f>
        <v>1</v>
      </c>
      <c r="AC19" s="9">
        <f t="shared" ref="AC19" si="21">IF(P19=0,"0",(P19/24))</f>
        <v>0.16666666666666666</v>
      </c>
      <c r="AD19" s="10">
        <f t="shared" ref="AD19" si="22">AC19*AB19*(1-O19)</f>
        <v>0.16666666666666666</v>
      </c>
      <c r="AE19" s="39">
        <f>$AD$22</f>
        <v>0.25496933569641006</v>
      </c>
      <c r="AF19" s="94">
        <f t="shared" ref="AF19" si="23">A19</f>
        <v>13</v>
      </c>
    </row>
    <row r="20" spans="1:32" ht="27" customHeight="1">
      <c r="A20" s="110">
        <v>14</v>
      </c>
      <c r="B20" s="11" t="s">
        <v>1042</v>
      </c>
      <c r="C20" s="37" t="s">
        <v>129</v>
      </c>
      <c r="D20" s="55" t="s">
        <v>123</v>
      </c>
      <c r="E20" s="57" t="s">
        <v>1043</v>
      </c>
      <c r="F20" s="33" t="s">
        <v>130</v>
      </c>
      <c r="G20" s="36">
        <v>1</v>
      </c>
      <c r="H20" s="38">
        <v>25</v>
      </c>
      <c r="I20" s="34">
        <v>15000</v>
      </c>
      <c r="J20" s="5">
        <v>3250</v>
      </c>
      <c r="K20" s="15">
        <f>L20+3980+3244</f>
        <v>7224</v>
      </c>
      <c r="L20" s="15"/>
      <c r="M20" s="16">
        <f t="shared" si="0"/>
        <v>0</v>
      </c>
      <c r="N20" s="16">
        <v>0</v>
      </c>
      <c r="O20" s="62" t="str">
        <f t="shared" si="1"/>
        <v>0</v>
      </c>
      <c r="P20" s="42" t="str">
        <f t="shared" si="2"/>
        <v>0</v>
      </c>
      <c r="Q20" s="43">
        <f t="shared" si="3"/>
        <v>24</v>
      </c>
      <c r="R20" s="7"/>
      <c r="S20" s="6">
        <v>24</v>
      </c>
      <c r="T20" s="17"/>
      <c r="U20" s="17"/>
      <c r="V20" s="18"/>
      <c r="W20" s="19"/>
      <c r="X20" s="17"/>
      <c r="Y20" s="20"/>
      <c r="Z20" s="20"/>
      <c r="AA20" s="21"/>
      <c r="AB20" s="8">
        <f t="shared" si="4"/>
        <v>0</v>
      </c>
      <c r="AC20" s="9">
        <f t="shared" si="5"/>
        <v>0</v>
      </c>
      <c r="AD20" s="10">
        <f t="shared" si="6"/>
        <v>0</v>
      </c>
      <c r="AE20" s="39">
        <f>$AD$22</f>
        <v>0.25496933569641006</v>
      </c>
      <c r="AF20" s="94">
        <f t="shared" si="7"/>
        <v>14</v>
      </c>
    </row>
    <row r="21" spans="1:32" ht="27" customHeight="1" thickBot="1">
      <c r="A21" s="110">
        <v>15</v>
      </c>
      <c r="B21" s="11" t="s">
        <v>59</v>
      </c>
      <c r="C21" s="11" t="s">
        <v>119</v>
      </c>
      <c r="D21" s="55" t="s">
        <v>1127</v>
      </c>
      <c r="E21" s="56"/>
      <c r="F21" s="12" t="s">
        <v>120</v>
      </c>
      <c r="G21" s="12">
        <v>3</v>
      </c>
      <c r="H21" s="38">
        <v>20</v>
      </c>
      <c r="I21" s="7">
        <v>20000</v>
      </c>
      <c r="J21" s="14">
        <v>14310</v>
      </c>
      <c r="K21" s="15">
        <f>L21+16317</f>
        <v>30627</v>
      </c>
      <c r="L21" s="15">
        <f>4770*3</f>
        <v>14310</v>
      </c>
      <c r="M21" s="16">
        <f t="shared" si="0"/>
        <v>14310</v>
      </c>
      <c r="N21" s="16">
        <v>0</v>
      </c>
      <c r="O21" s="62">
        <f t="shared" si="1"/>
        <v>0</v>
      </c>
      <c r="P21" s="42">
        <f t="shared" si="2"/>
        <v>12</v>
      </c>
      <c r="Q21" s="43">
        <f t="shared" si="3"/>
        <v>12</v>
      </c>
      <c r="R21" s="7"/>
      <c r="S21" s="6"/>
      <c r="T21" s="17"/>
      <c r="U21" s="17"/>
      <c r="V21" s="18"/>
      <c r="W21" s="19">
        <v>12</v>
      </c>
      <c r="X21" s="17"/>
      <c r="Y21" s="20"/>
      <c r="Z21" s="20"/>
      <c r="AA21" s="21"/>
      <c r="AB21" s="8">
        <f t="shared" si="4"/>
        <v>1</v>
      </c>
      <c r="AC21" s="9">
        <f t="shared" si="5"/>
        <v>0.5</v>
      </c>
      <c r="AD21" s="10">
        <f t="shared" si="6"/>
        <v>0.5</v>
      </c>
      <c r="AE21" s="39">
        <f>$AD$22</f>
        <v>0.25496933569641006</v>
      </c>
      <c r="AF21" s="94">
        <f t="shared" si="7"/>
        <v>15</v>
      </c>
    </row>
    <row r="22" spans="1:32" ht="31.5" customHeight="1" thickBot="1">
      <c r="A22" s="457" t="s">
        <v>34</v>
      </c>
      <c r="B22" s="458"/>
      <c r="C22" s="458"/>
      <c r="D22" s="458"/>
      <c r="E22" s="458"/>
      <c r="F22" s="458"/>
      <c r="G22" s="458"/>
      <c r="H22" s="459"/>
      <c r="I22" s="25">
        <f>SUM(I6:I21)</f>
        <v>204400</v>
      </c>
      <c r="J22" s="22">
        <f>SUM(J6:J21)</f>
        <v>40661</v>
      </c>
      <c r="K22" s="23">
        <f>SUM(K6:K21)</f>
        <v>115175</v>
      </c>
      <c r="L22" s="24">
        <f>SUM(L6:L21)</f>
        <v>27605</v>
      </c>
      <c r="M22" s="23">
        <f>SUM(M6:M21)</f>
        <v>27605</v>
      </c>
      <c r="N22" s="24">
        <f>SUM(N6:N21)</f>
        <v>0</v>
      </c>
      <c r="O22" s="44">
        <f t="shared" si="1"/>
        <v>0</v>
      </c>
      <c r="P22" s="45">
        <f>SUM(P6:P21)</f>
        <v>92</v>
      </c>
      <c r="Q22" s="46">
        <f>SUM(Q6:Q21)</f>
        <v>292</v>
      </c>
      <c r="R22" s="26">
        <f>SUM(R6:R21)</f>
        <v>24</v>
      </c>
      <c r="S22" s="27">
        <f>SUM(S6:S21)</f>
        <v>111</v>
      </c>
      <c r="T22" s="27">
        <f>SUM(T6:T21)</f>
        <v>0</v>
      </c>
      <c r="U22" s="27">
        <f>SUM(U6:U21)</f>
        <v>0</v>
      </c>
      <c r="V22" s="28">
        <f>SUM(V6:V21)</f>
        <v>0</v>
      </c>
      <c r="W22" s="29">
        <f>SUM(W6:W21)</f>
        <v>133</v>
      </c>
      <c r="X22" s="30">
        <f>SUM(X6:X21)</f>
        <v>0</v>
      </c>
      <c r="Y22" s="30">
        <f>SUM(Y6:Y21)</f>
        <v>0</v>
      </c>
      <c r="Z22" s="30">
        <f>SUM(Z6:Z21)</f>
        <v>0</v>
      </c>
      <c r="AA22" s="30">
        <f>SUM(AA6:AA21)</f>
        <v>24</v>
      </c>
      <c r="AB22" s="31">
        <f>SUM(AB6:AB21)/15</f>
        <v>0.66521711436355802</v>
      </c>
      <c r="AC22" s="4">
        <f>SUM(AC6:AC21)/15</f>
        <v>0.25555555555555554</v>
      </c>
      <c r="AD22" s="4">
        <f>SUM(AD6:AD21)/15</f>
        <v>0.25496933569641006</v>
      </c>
      <c r="AE22" s="32"/>
    </row>
    <row r="24" spans="1:32" ht="18.75">
      <c r="A24" s="2"/>
      <c r="B24" s="2" t="s">
        <v>35</v>
      </c>
      <c r="C24" s="2"/>
      <c r="D24" s="2"/>
      <c r="E24" s="2"/>
      <c r="F24" s="2"/>
      <c r="G24" s="2"/>
      <c r="H24" s="3"/>
      <c r="I24" s="3"/>
      <c r="J24" s="2"/>
      <c r="K24" s="2"/>
      <c r="L24" s="2"/>
      <c r="M24" s="2"/>
      <c r="N24" s="2" t="s">
        <v>36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2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1"/>
      <c r="V25" s="52"/>
      <c r="W25" s="52"/>
      <c r="X25" s="52"/>
      <c r="Y25" s="52"/>
      <c r="Z25" s="52"/>
      <c r="AA25" s="52"/>
      <c r="AB25" s="52"/>
      <c r="AC25" s="52"/>
      <c r="AD25" s="52"/>
      <c r="AE25" s="52"/>
    </row>
    <row r="26" spans="1:32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</row>
    <row r="27" spans="1:32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</row>
    <row r="28" spans="1:32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</row>
    <row r="29" spans="1:32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</row>
    <row r="30" spans="1:32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</row>
    <row r="31" spans="1:32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</row>
    <row r="32" spans="1:32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</row>
    <row r="33" spans="1:32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F33" s="95"/>
    </row>
    <row r="34" spans="1:32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F34" s="53"/>
    </row>
    <row r="35" spans="1:32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F35" s="53"/>
    </row>
    <row r="36" spans="1:32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F36" s="53"/>
    </row>
    <row r="37" spans="1:32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F37" s="53"/>
    </row>
    <row r="38" spans="1:32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F38" s="53"/>
    </row>
    <row r="39" spans="1:32" ht="27">
      <c r="A39" s="63"/>
      <c r="B39" s="63"/>
      <c r="C39" s="63"/>
      <c r="D39" s="63"/>
      <c r="E39" s="63"/>
      <c r="F39" s="64"/>
      <c r="G39" s="64"/>
      <c r="H39" s="65"/>
      <c r="I39" s="65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F39" s="53"/>
    </row>
    <row r="40" spans="1:32" ht="29.25" customHeight="1">
      <c r="A40" s="66"/>
      <c r="B40" s="66"/>
      <c r="C40" s="67"/>
      <c r="D40" s="67"/>
      <c r="E40" s="67"/>
      <c r="F40" s="66"/>
      <c r="G40" s="66"/>
      <c r="H40" s="66"/>
      <c r="I40" s="66"/>
      <c r="J40" s="66"/>
      <c r="K40" s="66"/>
      <c r="L40" s="66"/>
      <c r="M40" s="67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F40" s="53"/>
    </row>
    <row r="41" spans="1:32" ht="29.25" customHeight="1">
      <c r="A41" s="66"/>
      <c r="B41" s="66"/>
      <c r="C41" s="68"/>
      <c r="D41" s="67"/>
      <c r="E41" s="67"/>
      <c r="F41" s="66"/>
      <c r="G41" s="66"/>
      <c r="H41" s="66"/>
      <c r="I41" s="66"/>
      <c r="J41" s="66"/>
      <c r="K41" s="66"/>
      <c r="L41" s="66"/>
      <c r="M41" s="68"/>
      <c r="N41" s="66"/>
      <c r="O41" s="66"/>
      <c r="P41" s="69"/>
      <c r="Q41" s="69"/>
      <c r="R41" s="70"/>
      <c r="S41" s="70"/>
      <c r="T41" s="70"/>
      <c r="U41" s="70"/>
      <c r="V41" s="70"/>
      <c r="W41" s="70"/>
      <c r="X41" s="70"/>
      <c r="Y41" s="70"/>
      <c r="Z41" s="70"/>
      <c r="AA41" s="70"/>
      <c r="AB41" s="66"/>
      <c r="AC41" s="66"/>
      <c r="AD41" s="66"/>
      <c r="AF41" s="53"/>
    </row>
    <row r="42" spans="1:32" ht="29.25" customHeight="1">
      <c r="A42" s="66"/>
      <c r="B42" s="66"/>
      <c r="C42" s="68"/>
      <c r="D42" s="67"/>
      <c r="E42" s="67"/>
      <c r="F42" s="66"/>
      <c r="G42" s="66"/>
      <c r="H42" s="66"/>
      <c r="I42" s="66"/>
      <c r="J42" s="66"/>
      <c r="K42" s="66"/>
      <c r="L42" s="66"/>
      <c r="M42" s="68"/>
      <c r="N42" s="66"/>
      <c r="O42" s="66"/>
      <c r="P42" s="69"/>
      <c r="Q42" s="69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66"/>
      <c r="AC42" s="66"/>
      <c r="AD42" s="66"/>
      <c r="AF42" s="53"/>
    </row>
    <row r="43" spans="1:32" ht="29.25" customHeight="1">
      <c r="A43" s="66"/>
      <c r="B43" s="66"/>
      <c r="C43" s="68"/>
      <c r="D43" s="67"/>
      <c r="E43" s="67"/>
      <c r="F43" s="66"/>
      <c r="G43" s="66"/>
      <c r="H43" s="66"/>
      <c r="I43" s="66"/>
      <c r="J43" s="66"/>
      <c r="K43" s="66"/>
      <c r="L43" s="66"/>
      <c r="M43" s="68"/>
      <c r="N43" s="66"/>
      <c r="O43" s="66"/>
      <c r="P43" s="69"/>
      <c r="Q43" s="69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66"/>
      <c r="AC43" s="66"/>
      <c r="AD43" s="66"/>
      <c r="AF43" s="53"/>
    </row>
    <row r="44" spans="1:32" ht="29.25" customHeight="1">
      <c r="A44" s="66"/>
      <c r="B44" s="66"/>
      <c r="C44" s="68"/>
      <c r="D44" s="67"/>
      <c r="E44" s="67"/>
      <c r="F44" s="66"/>
      <c r="G44" s="66"/>
      <c r="H44" s="66"/>
      <c r="I44" s="66"/>
      <c r="J44" s="66"/>
      <c r="K44" s="66"/>
      <c r="L44" s="66"/>
      <c r="M44" s="68"/>
      <c r="N44" s="66"/>
      <c r="O44" s="66"/>
      <c r="P44" s="69"/>
      <c r="Q44" s="69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66"/>
      <c r="AC44" s="66"/>
      <c r="AD44" s="66"/>
      <c r="AF44" s="53"/>
    </row>
    <row r="45" spans="1:32" ht="29.25" customHeight="1">
      <c r="A45" s="66"/>
      <c r="B45" s="66"/>
      <c r="C45" s="68"/>
      <c r="D45" s="67"/>
      <c r="E45" s="67"/>
      <c r="F45" s="66"/>
      <c r="G45" s="66"/>
      <c r="H45" s="66"/>
      <c r="I45" s="66"/>
      <c r="J45" s="66"/>
      <c r="K45" s="66"/>
      <c r="L45" s="66"/>
      <c r="M45" s="68"/>
      <c r="N45" s="66"/>
      <c r="O45" s="66"/>
      <c r="P45" s="69"/>
      <c r="Q45" s="69"/>
      <c r="R45" s="70"/>
      <c r="S45" s="70"/>
      <c r="T45" s="70"/>
      <c r="U45" s="70"/>
      <c r="V45" s="70"/>
      <c r="W45" s="70"/>
      <c r="X45" s="70"/>
      <c r="Y45" s="70"/>
      <c r="Z45" s="70"/>
      <c r="AA45" s="70"/>
      <c r="AB45" s="66"/>
      <c r="AC45" s="66"/>
      <c r="AD45" s="66"/>
      <c r="AF45" s="53"/>
    </row>
    <row r="46" spans="1:32" ht="29.25" customHeight="1">
      <c r="A46" s="66"/>
      <c r="B46" s="66"/>
      <c r="C46" s="68"/>
      <c r="D46" s="67"/>
      <c r="E46" s="67"/>
      <c r="F46" s="66"/>
      <c r="G46" s="66"/>
      <c r="H46" s="66"/>
      <c r="I46" s="66"/>
      <c r="J46" s="66"/>
      <c r="K46" s="66"/>
      <c r="L46" s="66"/>
      <c r="M46" s="68"/>
      <c r="N46" s="66"/>
      <c r="O46" s="66"/>
      <c r="P46" s="69"/>
      <c r="Q46" s="69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66"/>
      <c r="AC46" s="66"/>
      <c r="AD46" s="66"/>
      <c r="AF46" s="53"/>
    </row>
    <row r="47" spans="1:32" ht="29.25" customHeight="1">
      <c r="A47" s="66"/>
      <c r="B47" s="66"/>
      <c r="C47" s="68"/>
      <c r="D47" s="67"/>
      <c r="E47" s="67"/>
      <c r="F47" s="66"/>
      <c r="G47" s="66"/>
      <c r="H47" s="66"/>
      <c r="I47" s="66"/>
      <c r="J47" s="66"/>
      <c r="K47" s="66"/>
      <c r="L47" s="66"/>
      <c r="M47" s="68"/>
      <c r="N47" s="66"/>
      <c r="O47" s="66"/>
      <c r="P47" s="69"/>
      <c r="Q47" s="69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66"/>
      <c r="AC47" s="66"/>
      <c r="AD47" s="66"/>
      <c r="AF47" s="53"/>
    </row>
    <row r="48" spans="1:32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F48" s="53"/>
    </row>
    <row r="49" spans="1:32" ht="36" thickBot="1">
      <c r="A49" s="460" t="s">
        <v>46</v>
      </c>
      <c r="B49" s="460"/>
      <c r="C49" s="460"/>
      <c r="D49" s="460"/>
      <c r="E49" s="460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F49" s="53"/>
    </row>
    <row r="50" spans="1:32" ht="26.25" thickBot="1">
      <c r="A50" s="461" t="s">
        <v>1164</v>
      </c>
      <c r="B50" s="462"/>
      <c r="C50" s="462"/>
      <c r="D50" s="462"/>
      <c r="E50" s="462"/>
      <c r="F50" s="462"/>
      <c r="G50" s="462"/>
      <c r="H50" s="462"/>
      <c r="I50" s="462"/>
      <c r="J50" s="462"/>
      <c r="K50" s="462"/>
      <c r="L50" s="462"/>
      <c r="M50" s="463"/>
      <c r="N50" s="464" t="s">
        <v>1169</v>
      </c>
      <c r="O50" s="465"/>
      <c r="P50" s="465"/>
      <c r="Q50" s="465"/>
      <c r="R50" s="465"/>
      <c r="S50" s="465"/>
      <c r="T50" s="465"/>
      <c r="U50" s="465"/>
      <c r="V50" s="465"/>
      <c r="W50" s="465"/>
      <c r="X50" s="465"/>
      <c r="Y50" s="465"/>
      <c r="Z50" s="465"/>
      <c r="AA50" s="465"/>
      <c r="AB50" s="465"/>
      <c r="AC50" s="465"/>
      <c r="AD50" s="466"/>
    </row>
    <row r="51" spans="1:32" ht="27" customHeight="1">
      <c r="A51" s="467" t="s">
        <v>2</v>
      </c>
      <c r="B51" s="468"/>
      <c r="C51" s="373" t="s">
        <v>47</v>
      </c>
      <c r="D51" s="373" t="s">
        <v>48</v>
      </c>
      <c r="E51" s="373" t="s">
        <v>113</v>
      </c>
      <c r="F51" s="468" t="s">
        <v>112</v>
      </c>
      <c r="G51" s="468"/>
      <c r="H51" s="468"/>
      <c r="I51" s="468"/>
      <c r="J51" s="468"/>
      <c r="K51" s="468"/>
      <c r="L51" s="468"/>
      <c r="M51" s="469"/>
      <c r="N51" s="73" t="s">
        <v>117</v>
      </c>
      <c r="O51" s="373" t="s">
        <v>47</v>
      </c>
      <c r="P51" s="470" t="s">
        <v>48</v>
      </c>
      <c r="Q51" s="471"/>
      <c r="R51" s="470" t="s">
        <v>39</v>
      </c>
      <c r="S51" s="472"/>
      <c r="T51" s="472"/>
      <c r="U51" s="471"/>
      <c r="V51" s="470" t="s">
        <v>49</v>
      </c>
      <c r="W51" s="472"/>
      <c r="X51" s="472"/>
      <c r="Y51" s="472"/>
      <c r="Z51" s="472"/>
      <c r="AA51" s="472"/>
      <c r="AB51" s="472"/>
      <c r="AC51" s="472"/>
      <c r="AD51" s="473"/>
    </row>
    <row r="52" spans="1:32" ht="27" customHeight="1">
      <c r="A52" s="453" t="s">
        <v>129</v>
      </c>
      <c r="B52" s="454"/>
      <c r="C52" s="374" t="s">
        <v>172</v>
      </c>
      <c r="D52" s="375" t="s">
        <v>121</v>
      </c>
      <c r="E52" s="374" t="s">
        <v>984</v>
      </c>
      <c r="F52" s="432" t="s">
        <v>1145</v>
      </c>
      <c r="G52" s="432"/>
      <c r="H52" s="432"/>
      <c r="I52" s="432"/>
      <c r="J52" s="432"/>
      <c r="K52" s="432"/>
      <c r="L52" s="432"/>
      <c r="M52" s="446"/>
      <c r="N52" s="376" t="s">
        <v>122</v>
      </c>
      <c r="O52" s="74" t="s">
        <v>199</v>
      </c>
      <c r="P52" s="451" t="s">
        <v>1170</v>
      </c>
      <c r="Q52" s="452"/>
      <c r="R52" s="445" t="s">
        <v>1171</v>
      </c>
      <c r="S52" s="445"/>
      <c r="T52" s="445"/>
      <c r="U52" s="445"/>
      <c r="V52" s="432" t="s">
        <v>1137</v>
      </c>
      <c r="W52" s="432"/>
      <c r="X52" s="432"/>
      <c r="Y52" s="432"/>
      <c r="Z52" s="432"/>
      <c r="AA52" s="432"/>
      <c r="AB52" s="432"/>
      <c r="AC52" s="432"/>
      <c r="AD52" s="446"/>
    </row>
    <row r="53" spans="1:32" ht="27" customHeight="1">
      <c r="A53" s="453" t="s">
        <v>122</v>
      </c>
      <c r="B53" s="454"/>
      <c r="C53" s="374" t="s">
        <v>276</v>
      </c>
      <c r="D53" s="375" t="s">
        <v>387</v>
      </c>
      <c r="E53" s="374" t="s">
        <v>1081</v>
      </c>
      <c r="F53" s="432" t="s">
        <v>1145</v>
      </c>
      <c r="G53" s="432"/>
      <c r="H53" s="432"/>
      <c r="I53" s="432"/>
      <c r="J53" s="432"/>
      <c r="K53" s="432"/>
      <c r="L53" s="432"/>
      <c r="M53" s="446"/>
      <c r="N53" s="376" t="s">
        <v>1146</v>
      </c>
      <c r="O53" s="74" t="s">
        <v>131</v>
      </c>
      <c r="P53" s="451"/>
      <c r="Q53" s="452"/>
      <c r="R53" s="445" t="s">
        <v>1172</v>
      </c>
      <c r="S53" s="445"/>
      <c r="T53" s="445"/>
      <c r="U53" s="445"/>
      <c r="V53" s="432" t="s">
        <v>147</v>
      </c>
      <c r="W53" s="432"/>
      <c r="X53" s="432"/>
      <c r="Y53" s="432"/>
      <c r="Z53" s="432"/>
      <c r="AA53" s="432"/>
      <c r="AB53" s="432"/>
      <c r="AC53" s="432"/>
      <c r="AD53" s="446"/>
    </row>
    <row r="54" spans="1:32" ht="27" customHeight="1">
      <c r="A54" s="453" t="s">
        <v>122</v>
      </c>
      <c r="B54" s="454"/>
      <c r="C54" s="374" t="s">
        <v>232</v>
      </c>
      <c r="D54" s="375" t="s">
        <v>156</v>
      </c>
      <c r="E54" s="374" t="s">
        <v>1091</v>
      </c>
      <c r="F54" s="432" t="s">
        <v>1165</v>
      </c>
      <c r="G54" s="432"/>
      <c r="H54" s="432"/>
      <c r="I54" s="432"/>
      <c r="J54" s="432"/>
      <c r="K54" s="432"/>
      <c r="L54" s="432"/>
      <c r="M54" s="446"/>
      <c r="N54" s="376" t="s">
        <v>122</v>
      </c>
      <c r="O54" s="74" t="s">
        <v>165</v>
      </c>
      <c r="P54" s="451" t="s">
        <v>1122</v>
      </c>
      <c r="Q54" s="452"/>
      <c r="R54" s="445" t="s">
        <v>1123</v>
      </c>
      <c r="S54" s="445"/>
      <c r="T54" s="445"/>
      <c r="U54" s="445"/>
      <c r="V54" s="432" t="s">
        <v>147</v>
      </c>
      <c r="W54" s="432"/>
      <c r="X54" s="432"/>
      <c r="Y54" s="432"/>
      <c r="Z54" s="432"/>
      <c r="AA54" s="432"/>
      <c r="AB54" s="432"/>
      <c r="AC54" s="432"/>
      <c r="AD54" s="446"/>
    </row>
    <row r="55" spans="1:32" ht="27" customHeight="1">
      <c r="A55" s="444" t="s">
        <v>129</v>
      </c>
      <c r="B55" s="445"/>
      <c r="C55" s="375" t="s">
        <v>220</v>
      </c>
      <c r="D55" s="375" t="s">
        <v>1132</v>
      </c>
      <c r="E55" s="375" t="s">
        <v>1133</v>
      </c>
      <c r="F55" s="432" t="s">
        <v>1166</v>
      </c>
      <c r="G55" s="432"/>
      <c r="H55" s="432"/>
      <c r="I55" s="432"/>
      <c r="J55" s="432"/>
      <c r="K55" s="432"/>
      <c r="L55" s="432"/>
      <c r="M55" s="446"/>
      <c r="N55" s="376" t="s">
        <v>122</v>
      </c>
      <c r="O55" s="74" t="s">
        <v>1175</v>
      </c>
      <c r="P55" s="451" t="s">
        <v>144</v>
      </c>
      <c r="Q55" s="452"/>
      <c r="R55" s="445" t="s">
        <v>1176</v>
      </c>
      <c r="S55" s="445"/>
      <c r="T55" s="445"/>
      <c r="U55" s="445"/>
      <c r="V55" s="432" t="s">
        <v>147</v>
      </c>
      <c r="W55" s="432"/>
      <c r="X55" s="432"/>
      <c r="Y55" s="432"/>
      <c r="Z55" s="432"/>
      <c r="AA55" s="432"/>
      <c r="AB55" s="432"/>
      <c r="AC55" s="432"/>
      <c r="AD55" s="446"/>
    </row>
    <row r="56" spans="1:32" ht="27" customHeight="1">
      <c r="A56" s="453" t="s">
        <v>122</v>
      </c>
      <c r="B56" s="454"/>
      <c r="C56" s="374" t="s">
        <v>165</v>
      </c>
      <c r="D56" s="375" t="s">
        <v>144</v>
      </c>
      <c r="E56" s="374" t="s">
        <v>1123</v>
      </c>
      <c r="F56" s="432" t="s">
        <v>1174</v>
      </c>
      <c r="G56" s="432"/>
      <c r="H56" s="432"/>
      <c r="I56" s="432"/>
      <c r="J56" s="432"/>
      <c r="K56" s="432"/>
      <c r="L56" s="432"/>
      <c r="M56" s="446"/>
      <c r="N56" s="376"/>
      <c r="O56" s="74"/>
      <c r="P56" s="451"/>
      <c r="Q56" s="452"/>
      <c r="R56" s="445"/>
      <c r="S56" s="445"/>
      <c r="T56" s="445"/>
      <c r="U56" s="445"/>
      <c r="V56" s="432"/>
      <c r="W56" s="432"/>
      <c r="X56" s="432"/>
      <c r="Y56" s="432"/>
      <c r="Z56" s="432"/>
      <c r="AA56" s="432"/>
      <c r="AB56" s="432"/>
      <c r="AC56" s="432"/>
      <c r="AD56" s="446"/>
    </row>
    <row r="57" spans="1:32" ht="27" customHeight="1">
      <c r="A57" s="444" t="s">
        <v>122</v>
      </c>
      <c r="B57" s="445"/>
      <c r="C57" s="375" t="s">
        <v>193</v>
      </c>
      <c r="D57" s="375" t="s">
        <v>1167</v>
      </c>
      <c r="E57" s="374" t="s">
        <v>1168</v>
      </c>
      <c r="F57" s="432" t="s">
        <v>1137</v>
      </c>
      <c r="G57" s="432"/>
      <c r="H57" s="432"/>
      <c r="I57" s="432"/>
      <c r="J57" s="432"/>
      <c r="K57" s="432"/>
      <c r="L57" s="432"/>
      <c r="M57" s="446"/>
      <c r="N57" s="376"/>
      <c r="O57" s="74"/>
      <c r="P57" s="445"/>
      <c r="Q57" s="445"/>
      <c r="R57" s="445"/>
      <c r="S57" s="445"/>
      <c r="T57" s="445"/>
      <c r="U57" s="445"/>
      <c r="V57" s="432"/>
      <c r="W57" s="432"/>
      <c r="X57" s="432"/>
      <c r="Y57" s="432"/>
      <c r="Z57" s="432"/>
      <c r="AA57" s="432"/>
      <c r="AB57" s="432"/>
      <c r="AC57" s="432"/>
      <c r="AD57" s="446"/>
    </row>
    <row r="58" spans="1:32" ht="27" customHeight="1">
      <c r="A58" s="444" t="s">
        <v>122</v>
      </c>
      <c r="B58" s="445"/>
      <c r="C58" s="375" t="s">
        <v>199</v>
      </c>
      <c r="D58" s="375" t="s">
        <v>58</v>
      </c>
      <c r="E58" s="374" t="s">
        <v>1160</v>
      </c>
      <c r="F58" s="432" t="s">
        <v>1141</v>
      </c>
      <c r="G58" s="432"/>
      <c r="H58" s="432"/>
      <c r="I58" s="432"/>
      <c r="J58" s="432"/>
      <c r="K58" s="432"/>
      <c r="L58" s="432"/>
      <c r="M58" s="446"/>
      <c r="N58" s="376"/>
      <c r="O58" s="74"/>
      <c r="P58" s="451"/>
      <c r="Q58" s="452"/>
      <c r="R58" s="445"/>
      <c r="S58" s="445"/>
      <c r="T58" s="445"/>
      <c r="U58" s="445"/>
      <c r="V58" s="432"/>
      <c r="W58" s="432"/>
      <c r="X58" s="432"/>
      <c r="Y58" s="432"/>
      <c r="Z58" s="432"/>
      <c r="AA58" s="432"/>
      <c r="AB58" s="432"/>
      <c r="AC58" s="432"/>
      <c r="AD58" s="446"/>
    </row>
    <row r="59" spans="1:32" ht="27" customHeight="1">
      <c r="A59" s="453" t="s">
        <v>1146</v>
      </c>
      <c r="B59" s="454"/>
      <c r="C59" s="374" t="s">
        <v>131</v>
      </c>
      <c r="D59" s="375"/>
      <c r="E59" s="374" t="s">
        <v>1147</v>
      </c>
      <c r="F59" s="432" t="s">
        <v>265</v>
      </c>
      <c r="G59" s="432"/>
      <c r="H59" s="432"/>
      <c r="I59" s="432"/>
      <c r="J59" s="432"/>
      <c r="K59" s="432"/>
      <c r="L59" s="432"/>
      <c r="M59" s="446"/>
      <c r="N59" s="376"/>
      <c r="O59" s="74"/>
      <c r="P59" s="445"/>
      <c r="Q59" s="445"/>
      <c r="R59" s="445"/>
      <c r="S59" s="445"/>
      <c r="T59" s="445"/>
      <c r="U59" s="445"/>
      <c r="V59" s="432"/>
      <c r="W59" s="432"/>
      <c r="X59" s="432"/>
      <c r="Y59" s="432"/>
      <c r="Z59" s="432"/>
      <c r="AA59" s="432"/>
      <c r="AB59" s="432"/>
      <c r="AC59" s="432"/>
      <c r="AD59" s="446"/>
    </row>
    <row r="60" spans="1:32" ht="27" customHeight="1">
      <c r="A60" s="444" t="s">
        <v>292</v>
      </c>
      <c r="B60" s="445"/>
      <c r="C60" s="375" t="s">
        <v>131</v>
      </c>
      <c r="D60" s="375"/>
      <c r="E60" s="375" t="s">
        <v>1172</v>
      </c>
      <c r="F60" s="432" t="s">
        <v>1173</v>
      </c>
      <c r="G60" s="432"/>
      <c r="H60" s="432"/>
      <c r="I60" s="432"/>
      <c r="J60" s="432"/>
      <c r="K60" s="432"/>
      <c r="L60" s="432"/>
      <c r="M60" s="446"/>
      <c r="N60" s="376"/>
      <c r="O60" s="74"/>
      <c r="P60" s="445"/>
      <c r="Q60" s="445"/>
      <c r="R60" s="445"/>
      <c r="S60" s="445"/>
      <c r="T60" s="445"/>
      <c r="U60" s="445"/>
      <c r="V60" s="432"/>
      <c r="W60" s="432"/>
      <c r="X60" s="432"/>
      <c r="Y60" s="432"/>
      <c r="Z60" s="432"/>
      <c r="AA60" s="432"/>
      <c r="AB60" s="432"/>
      <c r="AC60" s="432"/>
      <c r="AD60" s="446"/>
      <c r="AF60" s="94">
        <f>8*3000</f>
        <v>24000</v>
      </c>
    </row>
    <row r="61" spans="1:32" ht="27" customHeight="1" thickBot="1">
      <c r="A61" s="447"/>
      <c r="B61" s="448"/>
      <c r="C61" s="378"/>
      <c r="D61" s="378"/>
      <c r="E61" s="378"/>
      <c r="F61" s="449"/>
      <c r="G61" s="449"/>
      <c r="H61" s="449"/>
      <c r="I61" s="449"/>
      <c r="J61" s="449"/>
      <c r="K61" s="449"/>
      <c r="L61" s="449"/>
      <c r="M61" s="450"/>
      <c r="N61" s="377"/>
      <c r="O61" s="121"/>
      <c r="P61" s="448"/>
      <c r="Q61" s="448"/>
      <c r="R61" s="448"/>
      <c r="S61" s="448"/>
      <c r="T61" s="448"/>
      <c r="U61" s="448"/>
      <c r="V61" s="449"/>
      <c r="W61" s="449"/>
      <c r="X61" s="449"/>
      <c r="Y61" s="449"/>
      <c r="Z61" s="449"/>
      <c r="AA61" s="449"/>
      <c r="AB61" s="449"/>
      <c r="AC61" s="449"/>
      <c r="AD61" s="450"/>
      <c r="AF61" s="94">
        <f>16*3000</f>
        <v>48000</v>
      </c>
    </row>
    <row r="62" spans="1:32" ht="27.75" thickBot="1">
      <c r="A62" s="442" t="s">
        <v>1177</v>
      </c>
      <c r="B62" s="442"/>
      <c r="C62" s="442"/>
      <c r="D62" s="442"/>
      <c r="E62" s="442"/>
      <c r="F62" s="40"/>
      <c r="G62" s="40"/>
      <c r="H62" s="41"/>
      <c r="I62" s="41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F62" s="94">
        <v>24000</v>
      </c>
    </row>
    <row r="63" spans="1:32" ht="29.25" customHeight="1" thickBot="1">
      <c r="A63" s="443" t="s">
        <v>118</v>
      </c>
      <c r="B63" s="439"/>
      <c r="C63" s="379" t="s">
        <v>2</v>
      </c>
      <c r="D63" s="379" t="s">
        <v>38</v>
      </c>
      <c r="E63" s="379" t="s">
        <v>3</v>
      </c>
      <c r="F63" s="439" t="s">
        <v>115</v>
      </c>
      <c r="G63" s="439"/>
      <c r="H63" s="439"/>
      <c r="I63" s="439"/>
      <c r="J63" s="439"/>
      <c r="K63" s="439" t="s">
        <v>40</v>
      </c>
      <c r="L63" s="439"/>
      <c r="M63" s="379" t="s">
        <v>41</v>
      </c>
      <c r="N63" s="439" t="s">
        <v>42</v>
      </c>
      <c r="O63" s="439"/>
      <c r="P63" s="436" t="s">
        <v>43</v>
      </c>
      <c r="Q63" s="438"/>
      <c r="R63" s="436" t="s">
        <v>44</v>
      </c>
      <c r="S63" s="437"/>
      <c r="T63" s="437"/>
      <c r="U63" s="437"/>
      <c r="V63" s="437"/>
      <c r="W63" s="437"/>
      <c r="X63" s="437"/>
      <c r="Y63" s="437"/>
      <c r="Z63" s="437"/>
      <c r="AA63" s="438"/>
      <c r="AB63" s="439" t="s">
        <v>45</v>
      </c>
      <c r="AC63" s="439"/>
      <c r="AD63" s="440"/>
      <c r="AF63" s="94">
        <f>SUM(AF60:AF62)</f>
        <v>96000</v>
      </c>
    </row>
    <row r="64" spans="1:32" ht="25.5" customHeight="1">
      <c r="A64" s="429">
        <v>1</v>
      </c>
      <c r="B64" s="430"/>
      <c r="C64" s="381" t="s">
        <v>129</v>
      </c>
      <c r="D64" s="383"/>
      <c r="E64" s="380" t="s">
        <v>1178</v>
      </c>
      <c r="F64" s="496" t="s">
        <v>1179</v>
      </c>
      <c r="G64" s="421"/>
      <c r="H64" s="421"/>
      <c r="I64" s="421"/>
      <c r="J64" s="421"/>
      <c r="K64" s="441">
        <v>7301</v>
      </c>
      <c r="L64" s="441"/>
      <c r="M64" s="54" t="s">
        <v>395</v>
      </c>
      <c r="N64" s="421">
        <v>11</v>
      </c>
      <c r="O64" s="421"/>
      <c r="P64" s="431">
        <v>800</v>
      </c>
      <c r="Q64" s="431"/>
      <c r="R64" s="432"/>
      <c r="S64" s="432"/>
      <c r="T64" s="432"/>
      <c r="U64" s="432"/>
      <c r="V64" s="432"/>
      <c r="W64" s="432"/>
      <c r="X64" s="432"/>
      <c r="Y64" s="432"/>
      <c r="Z64" s="432"/>
      <c r="AA64" s="432"/>
      <c r="AB64" s="421"/>
      <c r="AC64" s="421"/>
      <c r="AD64" s="422"/>
    </row>
    <row r="65" spans="1:32" ht="25.5" customHeight="1">
      <c r="A65" s="429">
        <v>2</v>
      </c>
      <c r="B65" s="430"/>
      <c r="C65" s="381"/>
      <c r="D65" s="383"/>
      <c r="E65" s="380"/>
      <c r="F65" s="496"/>
      <c r="G65" s="421"/>
      <c r="H65" s="421"/>
      <c r="I65" s="421"/>
      <c r="J65" s="421"/>
      <c r="K65" s="421"/>
      <c r="L65" s="421"/>
      <c r="M65" s="54"/>
      <c r="N65" s="421"/>
      <c r="O65" s="421"/>
      <c r="P65" s="431"/>
      <c r="Q65" s="431"/>
      <c r="R65" s="432"/>
      <c r="S65" s="432"/>
      <c r="T65" s="432"/>
      <c r="U65" s="432"/>
      <c r="V65" s="432"/>
      <c r="W65" s="432"/>
      <c r="X65" s="432"/>
      <c r="Y65" s="432"/>
      <c r="Z65" s="432"/>
      <c r="AA65" s="432"/>
      <c r="AB65" s="421"/>
      <c r="AC65" s="421"/>
      <c r="AD65" s="422"/>
    </row>
    <row r="66" spans="1:32" ht="25.5" customHeight="1">
      <c r="A66" s="429">
        <v>3</v>
      </c>
      <c r="B66" s="430"/>
      <c r="C66" s="381"/>
      <c r="D66" s="383"/>
      <c r="E66" s="380"/>
      <c r="F66" s="496"/>
      <c r="G66" s="421"/>
      <c r="H66" s="421"/>
      <c r="I66" s="421"/>
      <c r="J66" s="421"/>
      <c r="K66" s="441"/>
      <c r="L66" s="441"/>
      <c r="M66" s="54"/>
      <c r="N66" s="421"/>
      <c r="O66" s="421"/>
      <c r="P66" s="431"/>
      <c r="Q66" s="431"/>
      <c r="R66" s="432"/>
      <c r="S66" s="432"/>
      <c r="T66" s="432"/>
      <c r="U66" s="432"/>
      <c r="V66" s="432"/>
      <c r="W66" s="432"/>
      <c r="X66" s="432"/>
      <c r="Y66" s="432"/>
      <c r="Z66" s="432"/>
      <c r="AA66" s="432"/>
      <c r="AB66" s="421"/>
      <c r="AC66" s="421"/>
      <c r="AD66" s="422"/>
      <c r="AF66" s="53"/>
    </row>
    <row r="67" spans="1:32" ht="25.5" customHeight="1">
      <c r="A67" s="429">
        <v>4</v>
      </c>
      <c r="B67" s="430"/>
      <c r="C67" s="381"/>
      <c r="D67" s="383"/>
      <c r="E67" s="380"/>
      <c r="F67" s="421"/>
      <c r="G67" s="421"/>
      <c r="H67" s="421"/>
      <c r="I67" s="421"/>
      <c r="J67" s="421"/>
      <c r="K67" s="421"/>
      <c r="L67" s="421"/>
      <c r="M67" s="54"/>
      <c r="N67" s="421"/>
      <c r="O67" s="421"/>
      <c r="P67" s="431"/>
      <c r="Q67" s="431"/>
      <c r="R67" s="432"/>
      <c r="S67" s="432"/>
      <c r="T67" s="432"/>
      <c r="U67" s="432"/>
      <c r="V67" s="432"/>
      <c r="W67" s="432"/>
      <c r="X67" s="432"/>
      <c r="Y67" s="432"/>
      <c r="Z67" s="432"/>
      <c r="AA67" s="432"/>
      <c r="AB67" s="421"/>
      <c r="AC67" s="421"/>
      <c r="AD67" s="422"/>
      <c r="AF67" s="53"/>
    </row>
    <row r="68" spans="1:32" ht="25.5" customHeight="1">
      <c r="A68" s="429">
        <v>5</v>
      </c>
      <c r="B68" s="430"/>
      <c r="C68" s="381"/>
      <c r="D68" s="383"/>
      <c r="E68" s="380"/>
      <c r="F68" s="421"/>
      <c r="G68" s="421"/>
      <c r="H68" s="421"/>
      <c r="I68" s="421"/>
      <c r="J68" s="421"/>
      <c r="K68" s="421"/>
      <c r="L68" s="421"/>
      <c r="M68" s="54"/>
      <c r="N68" s="421"/>
      <c r="O68" s="421"/>
      <c r="P68" s="431"/>
      <c r="Q68" s="431"/>
      <c r="R68" s="432"/>
      <c r="S68" s="432"/>
      <c r="T68" s="432"/>
      <c r="U68" s="432"/>
      <c r="V68" s="432"/>
      <c r="W68" s="432"/>
      <c r="X68" s="432"/>
      <c r="Y68" s="432"/>
      <c r="Z68" s="432"/>
      <c r="AA68" s="432"/>
      <c r="AB68" s="421"/>
      <c r="AC68" s="421"/>
      <c r="AD68" s="422"/>
      <c r="AF68" s="53"/>
    </row>
    <row r="69" spans="1:32" ht="25.5" customHeight="1">
      <c r="A69" s="429">
        <v>6</v>
      </c>
      <c r="B69" s="430"/>
      <c r="C69" s="381"/>
      <c r="D69" s="383"/>
      <c r="E69" s="380"/>
      <c r="F69" s="496"/>
      <c r="G69" s="421"/>
      <c r="H69" s="421"/>
      <c r="I69" s="421"/>
      <c r="J69" s="421"/>
      <c r="K69" s="421"/>
      <c r="L69" s="421"/>
      <c r="M69" s="54"/>
      <c r="N69" s="421"/>
      <c r="O69" s="421"/>
      <c r="P69" s="431"/>
      <c r="Q69" s="431"/>
      <c r="R69" s="432"/>
      <c r="S69" s="432"/>
      <c r="T69" s="432"/>
      <c r="U69" s="432"/>
      <c r="V69" s="432"/>
      <c r="W69" s="432"/>
      <c r="X69" s="432"/>
      <c r="Y69" s="432"/>
      <c r="Z69" s="432"/>
      <c r="AA69" s="432"/>
      <c r="AB69" s="421"/>
      <c r="AC69" s="421"/>
      <c r="AD69" s="422"/>
      <c r="AF69" s="53"/>
    </row>
    <row r="70" spans="1:32" ht="25.5" customHeight="1">
      <c r="A70" s="429">
        <v>7</v>
      </c>
      <c r="B70" s="430"/>
      <c r="C70" s="381"/>
      <c r="D70" s="383"/>
      <c r="E70" s="380"/>
      <c r="F70" s="496"/>
      <c r="G70" s="421"/>
      <c r="H70" s="421"/>
      <c r="I70" s="421"/>
      <c r="J70" s="421"/>
      <c r="K70" s="421"/>
      <c r="L70" s="421"/>
      <c r="M70" s="54"/>
      <c r="N70" s="421"/>
      <c r="O70" s="421"/>
      <c r="P70" s="431"/>
      <c r="Q70" s="431"/>
      <c r="R70" s="432"/>
      <c r="S70" s="432"/>
      <c r="T70" s="432"/>
      <c r="U70" s="432"/>
      <c r="V70" s="432"/>
      <c r="W70" s="432"/>
      <c r="X70" s="432"/>
      <c r="Y70" s="432"/>
      <c r="Z70" s="432"/>
      <c r="AA70" s="432"/>
      <c r="AB70" s="421"/>
      <c r="AC70" s="421"/>
      <c r="AD70" s="422"/>
      <c r="AF70" s="53"/>
    </row>
    <row r="71" spans="1:32" ht="25.5" customHeight="1">
      <c r="A71" s="429">
        <v>8</v>
      </c>
      <c r="B71" s="430"/>
      <c r="C71" s="381"/>
      <c r="D71" s="383"/>
      <c r="E71" s="380"/>
      <c r="F71" s="496"/>
      <c r="G71" s="421"/>
      <c r="H71" s="421"/>
      <c r="I71" s="421"/>
      <c r="J71" s="421"/>
      <c r="K71" s="421"/>
      <c r="L71" s="421"/>
      <c r="M71" s="54"/>
      <c r="N71" s="421"/>
      <c r="O71" s="421"/>
      <c r="P71" s="431"/>
      <c r="Q71" s="431"/>
      <c r="R71" s="432"/>
      <c r="S71" s="432"/>
      <c r="T71" s="432"/>
      <c r="U71" s="432"/>
      <c r="V71" s="432"/>
      <c r="W71" s="432"/>
      <c r="X71" s="432"/>
      <c r="Y71" s="432"/>
      <c r="Z71" s="432"/>
      <c r="AA71" s="432"/>
      <c r="AB71" s="421"/>
      <c r="AC71" s="421"/>
      <c r="AD71" s="422"/>
      <c r="AF71" s="53"/>
    </row>
    <row r="72" spans="1:32" ht="26.25" customHeight="1" thickBot="1">
      <c r="A72" s="400" t="s">
        <v>1180</v>
      </c>
      <c r="B72" s="400"/>
      <c r="C72" s="400"/>
      <c r="D72" s="400"/>
      <c r="E72" s="400"/>
      <c r="F72" s="40"/>
      <c r="G72" s="40"/>
      <c r="H72" s="41"/>
      <c r="I72" s="41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F72" s="53"/>
    </row>
    <row r="73" spans="1:32" ht="23.25" thickBot="1">
      <c r="A73" s="423" t="s">
        <v>118</v>
      </c>
      <c r="B73" s="424"/>
      <c r="C73" s="382" t="s">
        <v>2</v>
      </c>
      <c r="D73" s="382" t="s">
        <v>38</v>
      </c>
      <c r="E73" s="382" t="s">
        <v>3</v>
      </c>
      <c r="F73" s="424" t="s">
        <v>39</v>
      </c>
      <c r="G73" s="424"/>
      <c r="H73" s="424"/>
      <c r="I73" s="424"/>
      <c r="J73" s="424"/>
      <c r="K73" s="425" t="s">
        <v>60</v>
      </c>
      <c r="L73" s="426"/>
      <c r="M73" s="426"/>
      <c r="N73" s="426"/>
      <c r="O73" s="426"/>
      <c r="P73" s="426"/>
      <c r="Q73" s="426"/>
      <c r="R73" s="426"/>
      <c r="S73" s="427"/>
      <c r="T73" s="424" t="s">
        <v>50</v>
      </c>
      <c r="U73" s="424"/>
      <c r="V73" s="425" t="s">
        <v>51</v>
      </c>
      <c r="W73" s="427"/>
      <c r="X73" s="426" t="s">
        <v>52</v>
      </c>
      <c r="Y73" s="426"/>
      <c r="Z73" s="426"/>
      <c r="AA73" s="426"/>
      <c r="AB73" s="426"/>
      <c r="AC73" s="426"/>
      <c r="AD73" s="428"/>
      <c r="AF73" s="53"/>
    </row>
    <row r="74" spans="1:32" ht="33.75" customHeight="1">
      <c r="A74" s="408">
        <v>1</v>
      </c>
      <c r="B74" s="409"/>
      <c r="C74" s="384" t="s">
        <v>62</v>
      </c>
      <c r="D74" s="384"/>
      <c r="E74" s="71" t="s">
        <v>58</v>
      </c>
      <c r="F74" s="410" t="s">
        <v>63</v>
      </c>
      <c r="G74" s="411"/>
      <c r="H74" s="411"/>
      <c r="I74" s="411"/>
      <c r="J74" s="412"/>
      <c r="K74" s="413" t="s">
        <v>61</v>
      </c>
      <c r="L74" s="414"/>
      <c r="M74" s="414"/>
      <c r="N74" s="414"/>
      <c r="O74" s="414"/>
      <c r="P74" s="414"/>
      <c r="Q74" s="414"/>
      <c r="R74" s="414"/>
      <c r="S74" s="415"/>
      <c r="T74" s="416">
        <v>41791</v>
      </c>
      <c r="U74" s="417"/>
      <c r="V74" s="418"/>
      <c r="W74" s="418"/>
      <c r="X74" s="419"/>
      <c r="Y74" s="419"/>
      <c r="Z74" s="419"/>
      <c r="AA74" s="419"/>
      <c r="AB74" s="419"/>
      <c r="AC74" s="419"/>
      <c r="AD74" s="420"/>
      <c r="AF74" s="53"/>
    </row>
    <row r="75" spans="1:32" ht="30" customHeight="1">
      <c r="A75" s="392">
        <f>A74+1</f>
        <v>2</v>
      </c>
      <c r="B75" s="393"/>
      <c r="C75" s="383" t="s">
        <v>129</v>
      </c>
      <c r="D75" s="383"/>
      <c r="E75" s="35" t="s">
        <v>121</v>
      </c>
      <c r="F75" s="393" t="s">
        <v>138</v>
      </c>
      <c r="G75" s="393"/>
      <c r="H75" s="393"/>
      <c r="I75" s="393"/>
      <c r="J75" s="393"/>
      <c r="K75" s="402" t="s">
        <v>61</v>
      </c>
      <c r="L75" s="403"/>
      <c r="M75" s="403"/>
      <c r="N75" s="403"/>
      <c r="O75" s="403"/>
      <c r="P75" s="403"/>
      <c r="Q75" s="403"/>
      <c r="R75" s="403"/>
      <c r="S75" s="404"/>
      <c r="T75" s="405">
        <v>42779</v>
      </c>
      <c r="U75" s="405"/>
      <c r="V75" s="405"/>
      <c r="W75" s="405"/>
      <c r="X75" s="406"/>
      <c r="Y75" s="406"/>
      <c r="Z75" s="406"/>
      <c r="AA75" s="406"/>
      <c r="AB75" s="406"/>
      <c r="AC75" s="406"/>
      <c r="AD75" s="407"/>
      <c r="AF75" s="53"/>
    </row>
    <row r="76" spans="1:32" ht="30" customHeight="1">
      <c r="A76" s="392">
        <f t="shared" ref="A76:A82" si="24">A75+1</f>
        <v>3</v>
      </c>
      <c r="B76" s="393"/>
      <c r="C76" s="383" t="s">
        <v>62</v>
      </c>
      <c r="D76" s="383"/>
      <c r="E76" s="35" t="s">
        <v>121</v>
      </c>
      <c r="F76" s="393" t="s">
        <v>125</v>
      </c>
      <c r="G76" s="393"/>
      <c r="H76" s="393"/>
      <c r="I76" s="393"/>
      <c r="J76" s="393"/>
      <c r="K76" s="402" t="s">
        <v>61</v>
      </c>
      <c r="L76" s="403"/>
      <c r="M76" s="403"/>
      <c r="N76" s="403"/>
      <c r="O76" s="403"/>
      <c r="P76" s="403"/>
      <c r="Q76" s="403"/>
      <c r="R76" s="403"/>
      <c r="S76" s="404"/>
      <c r="T76" s="405">
        <v>42667</v>
      </c>
      <c r="U76" s="405"/>
      <c r="V76" s="405"/>
      <c r="W76" s="405"/>
      <c r="X76" s="406"/>
      <c r="Y76" s="406"/>
      <c r="Z76" s="406"/>
      <c r="AA76" s="406"/>
      <c r="AB76" s="406"/>
      <c r="AC76" s="406"/>
      <c r="AD76" s="407"/>
      <c r="AF76" s="53"/>
    </row>
    <row r="77" spans="1:32" ht="30" customHeight="1">
      <c r="A77" s="392">
        <f t="shared" si="24"/>
        <v>4</v>
      </c>
      <c r="B77" s="393"/>
      <c r="C77" s="383" t="s">
        <v>62</v>
      </c>
      <c r="D77" s="383"/>
      <c r="E77" s="35" t="s">
        <v>121</v>
      </c>
      <c r="F77" s="393" t="s">
        <v>124</v>
      </c>
      <c r="G77" s="393"/>
      <c r="H77" s="393"/>
      <c r="I77" s="393"/>
      <c r="J77" s="393"/>
      <c r="K77" s="402" t="s">
        <v>61</v>
      </c>
      <c r="L77" s="403"/>
      <c r="M77" s="403"/>
      <c r="N77" s="403"/>
      <c r="O77" s="403"/>
      <c r="P77" s="403"/>
      <c r="Q77" s="403"/>
      <c r="R77" s="403"/>
      <c r="S77" s="404"/>
      <c r="T77" s="405">
        <v>42667</v>
      </c>
      <c r="U77" s="405"/>
      <c r="V77" s="405"/>
      <c r="W77" s="405"/>
      <c r="X77" s="406"/>
      <c r="Y77" s="406"/>
      <c r="Z77" s="406"/>
      <c r="AA77" s="406"/>
      <c r="AB77" s="406"/>
      <c r="AC77" s="406"/>
      <c r="AD77" s="407"/>
      <c r="AF77" s="53"/>
    </row>
    <row r="78" spans="1:32" ht="30" customHeight="1">
      <c r="A78" s="392">
        <f t="shared" si="24"/>
        <v>5</v>
      </c>
      <c r="B78" s="393"/>
      <c r="C78" s="383" t="s">
        <v>62</v>
      </c>
      <c r="D78" s="383"/>
      <c r="E78" s="35" t="s">
        <v>58</v>
      </c>
      <c r="F78" s="393" t="s">
        <v>126</v>
      </c>
      <c r="G78" s="393"/>
      <c r="H78" s="393"/>
      <c r="I78" s="393"/>
      <c r="J78" s="393"/>
      <c r="K78" s="402" t="s">
        <v>61</v>
      </c>
      <c r="L78" s="403"/>
      <c r="M78" s="403"/>
      <c r="N78" s="403"/>
      <c r="O78" s="403"/>
      <c r="P78" s="403"/>
      <c r="Q78" s="403"/>
      <c r="R78" s="403"/>
      <c r="S78" s="404"/>
      <c r="T78" s="405">
        <v>42667</v>
      </c>
      <c r="U78" s="405"/>
      <c r="V78" s="405"/>
      <c r="W78" s="405"/>
      <c r="X78" s="406"/>
      <c r="Y78" s="406"/>
      <c r="Z78" s="406"/>
      <c r="AA78" s="406"/>
      <c r="AB78" s="406"/>
      <c r="AC78" s="406"/>
      <c r="AD78" s="407"/>
      <c r="AF78" s="53"/>
    </row>
    <row r="79" spans="1:32" ht="30" customHeight="1">
      <c r="A79" s="392">
        <f t="shared" si="24"/>
        <v>6</v>
      </c>
      <c r="B79" s="393"/>
      <c r="C79" s="383"/>
      <c r="D79" s="383"/>
      <c r="E79" s="35"/>
      <c r="F79" s="393"/>
      <c r="G79" s="393"/>
      <c r="H79" s="393"/>
      <c r="I79" s="393"/>
      <c r="J79" s="393"/>
      <c r="K79" s="402"/>
      <c r="L79" s="403"/>
      <c r="M79" s="403"/>
      <c r="N79" s="403"/>
      <c r="O79" s="403"/>
      <c r="P79" s="403"/>
      <c r="Q79" s="403"/>
      <c r="R79" s="403"/>
      <c r="S79" s="404"/>
      <c r="T79" s="405"/>
      <c r="U79" s="405"/>
      <c r="V79" s="405"/>
      <c r="W79" s="405"/>
      <c r="X79" s="406"/>
      <c r="Y79" s="406"/>
      <c r="Z79" s="406"/>
      <c r="AA79" s="406"/>
      <c r="AB79" s="406"/>
      <c r="AC79" s="406"/>
      <c r="AD79" s="407"/>
      <c r="AF79" s="53"/>
    </row>
    <row r="80" spans="1:32" ht="30" customHeight="1">
      <c r="A80" s="392">
        <f t="shared" si="24"/>
        <v>7</v>
      </c>
      <c r="B80" s="393"/>
      <c r="C80" s="383"/>
      <c r="D80" s="383"/>
      <c r="E80" s="35"/>
      <c r="F80" s="393"/>
      <c r="G80" s="393"/>
      <c r="H80" s="393"/>
      <c r="I80" s="393"/>
      <c r="J80" s="393"/>
      <c r="K80" s="402"/>
      <c r="L80" s="403"/>
      <c r="M80" s="403"/>
      <c r="N80" s="403"/>
      <c r="O80" s="403"/>
      <c r="P80" s="403"/>
      <c r="Q80" s="403"/>
      <c r="R80" s="403"/>
      <c r="S80" s="404"/>
      <c r="T80" s="405"/>
      <c r="U80" s="405"/>
      <c r="V80" s="405"/>
      <c r="W80" s="405"/>
      <c r="X80" s="406"/>
      <c r="Y80" s="406"/>
      <c r="Z80" s="406"/>
      <c r="AA80" s="406"/>
      <c r="AB80" s="406"/>
      <c r="AC80" s="406"/>
      <c r="AD80" s="407"/>
      <c r="AF80" s="53"/>
    </row>
    <row r="81" spans="1:32" ht="30" customHeight="1">
      <c r="A81" s="392">
        <f t="shared" si="24"/>
        <v>8</v>
      </c>
      <c r="B81" s="393"/>
      <c r="C81" s="383"/>
      <c r="D81" s="383"/>
      <c r="E81" s="35"/>
      <c r="F81" s="393"/>
      <c r="G81" s="393"/>
      <c r="H81" s="393"/>
      <c r="I81" s="393"/>
      <c r="J81" s="393"/>
      <c r="K81" s="402"/>
      <c r="L81" s="403"/>
      <c r="M81" s="403"/>
      <c r="N81" s="403"/>
      <c r="O81" s="403"/>
      <c r="P81" s="403"/>
      <c r="Q81" s="403"/>
      <c r="R81" s="403"/>
      <c r="S81" s="404"/>
      <c r="T81" s="405"/>
      <c r="U81" s="405"/>
      <c r="V81" s="405"/>
      <c r="W81" s="405"/>
      <c r="X81" s="406"/>
      <c r="Y81" s="406"/>
      <c r="Z81" s="406"/>
      <c r="AA81" s="406"/>
      <c r="AB81" s="406"/>
      <c r="AC81" s="406"/>
      <c r="AD81" s="407"/>
      <c r="AF81" s="53"/>
    </row>
    <row r="82" spans="1:32" ht="30" customHeight="1">
      <c r="A82" s="392">
        <f t="shared" si="24"/>
        <v>9</v>
      </c>
      <c r="B82" s="393"/>
      <c r="C82" s="383"/>
      <c r="D82" s="383"/>
      <c r="E82" s="35"/>
      <c r="F82" s="393"/>
      <c r="G82" s="393"/>
      <c r="H82" s="393"/>
      <c r="I82" s="393"/>
      <c r="J82" s="393"/>
      <c r="K82" s="402"/>
      <c r="L82" s="403"/>
      <c r="M82" s="403"/>
      <c r="N82" s="403"/>
      <c r="O82" s="403"/>
      <c r="P82" s="403"/>
      <c r="Q82" s="403"/>
      <c r="R82" s="403"/>
      <c r="S82" s="404"/>
      <c r="T82" s="405"/>
      <c r="U82" s="405"/>
      <c r="V82" s="405"/>
      <c r="W82" s="405"/>
      <c r="X82" s="406"/>
      <c r="Y82" s="406"/>
      <c r="Z82" s="406"/>
      <c r="AA82" s="406"/>
      <c r="AB82" s="406"/>
      <c r="AC82" s="406"/>
      <c r="AD82" s="407"/>
      <c r="AF82" s="53"/>
    </row>
    <row r="83" spans="1:32" ht="36" thickBot="1">
      <c r="A83" s="400" t="s">
        <v>1181</v>
      </c>
      <c r="B83" s="400"/>
      <c r="C83" s="400"/>
      <c r="D83" s="400"/>
      <c r="E83" s="400"/>
      <c r="F83" s="40"/>
      <c r="G83" s="40"/>
      <c r="H83" s="41"/>
      <c r="I83" s="41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F83" s="53"/>
    </row>
    <row r="84" spans="1:32" ht="30.75" customHeight="1" thickBot="1">
      <c r="A84" s="401" t="s">
        <v>37</v>
      </c>
      <c r="B84" s="396"/>
      <c r="C84" s="396" t="s">
        <v>53</v>
      </c>
      <c r="D84" s="396"/>
      <c r="E84" s="396" t="s">
        <v>54</v>
      </c>
      <c r="F84" s="396"/>
      <c r="G84" s="396"/>
      <c r="H84" s="396"/>
      <c r="I84" s="396"/>
      <c r="J84" s="396"/>
      <c r="K84" s="396" t="s">
        <v>55</v>
      </c>
      <c r="L84" s="396"/>
      <c r="M84" s="396"/>
      <c r="N84" s="396"/>
      <c r="O84" s="396"/>
      <c r="P84" s="396"/>
      <c r="Q84" s="396"/>
      <c r="R84" s="396"/>
      <c r="S84" s="396"/>
      <c r="T84" s="396" t="s">
        <v>56</v>
      </c>
      <c r="U84" s="396"/>
      <c r="V84" s="396" t="s">
        <v>57</v>
      </c>
      <c r="W84" s="396"/>
      <c r="X84" s="396"/>
      <c r="Y84" s="396" t="s">
        <v>52</v>
      </c>
      <c r="Z84" s="396"/>
      <c r="AA84" s="396"/>
      <c r="AB84" s="396"/>
      <c r="AC84" s="396"/>
      <c r="AD84" s="397"/>
      <c r="AF84" s="53"/>
    </row>
    <row r="85" spans="1:32" ht="30.75" customHeight="1">
      <c r="A85" s="398">
        <v>1</v>
      </c>
      <c r="B85" s="399"/>
      <c r="C85" s="394">
        <v>1</v>
      </c>
      <c r="D85" s="394"/>
      <c r="E85" s="394" t="s">
        <v>561</v>
      </c>
      <c r="F85" s="394"/>
      <c r="G85" s="394"/>
      <c r="H85" s="394"/>
      <c r="I85" s="394"/>
      <c r="J85" s="394"/>
      <c r="K85" s="394"/>
      <c r="L85" s="394"/>
      <c r="M85" s="394"/>
      <c r="N85" s="394"/>
      <c r="O85" s="394"/>
      <c r="P85" s="394"/>
      <c r="Q85" s="394"/>
      <c r="R85" s="394"/>
      <c r="S85" s="394"/>
      <c r="T85" s="394" t="s">
        <v>486</v>
      </c>
      <c r="U85" s="394"/>
      <c r="V85" s="395"/>
      <c r="W85" s="395"/>
      <c r="X85" s="395"/>
      <c r="Y85" s="386" t="s">
        <v>562</v>
      </c>
      <c r="Z85" s="386"/>
      <c r="AA85" s="386"/>
      <c r="AB85" s="386"/>
      <c r="AC85" s="386"/>
      <c r="AD85" s="387"/>
      <c r="AF85" s="53"/>
    </row>
    <row r="86" spans="1:32" ht="30.75" customHeight="1">
      <c r="A86" s="392">
        <v>2</v>
      </c>
      <c r="B86" s="393"/>
      <c r="C86" s="394"/>
      <c r="D86" s="394"/>
      <c r="E86" s="394"/>
      <c r="F86" s="394"/>
      <c r="G86" s="394"/>
      <c r="H86" s="394"/>
      <c r="I86" s="394"/>
      <c r="J86" s="394"/>
      <c r="K86" s="394"/>
      <c r="L86" s="394"/>
      <c r="M86" s="394"/>
      <c r="N86" s="394"/>
      <c r="O86" s="394"/>
      <c r="P86" s="394"/>
      <c r="Q86" s="394"/>
      <c r="R86" s="394"/>
      <c r="S86" s="394"/>
      <c r="T86" s="394"/>
      <c r="U86" s="394"/>
      <c r="V86" s="395"/>
      <c r="W86" s="395"/>
      <c r="X86" s="395"/>
      <c r="Y86" s="386"/>
      <c r="Z86" s="386"/>
      <c r="AA86" s="386"/>
      <c r="AB86" s="386"/>
      <c r="AC86" s="386"/>
      <c r="AD86" s="387"/>
      <c r="AF86" s="53"/>
    </row>
    <row r="87" spans="1:32" ht="30.75" customHeight="1" thickBot="1">
      <c r="A87" s="388">
        <v>3</v>
      </c>
      <c r="B87" s="389"/>
      <c r="C87" s="389"/>
      <c r="D87" s="389"/>
      <c r="E87" s="389"/>
      <c r="F87" s="389"/>
      <c r="G87" s="389"/>
      <c r="H87" s="389"/>
      <c r="I87" s="389"/>
      <c r="J87" s="389"/>
      <c r="K87" s="389"/>
      <c r="L87" s="389"/>
      <c r="M87" s="389"/>
      <c r="N87" s="389"/>
      <c r="O87" s="389"/>
      <c r="P87" s="389"/>
      <c r="Q87" s="389"/>
      <c r="R87" s="389"/>
      <c r="S87" s="389"/>
      <c r="T87" s="389"/>
      <c r="U87" s="389"/>
      <c r="V87" s="389"/>
      <c r="W87" s="389"/>
      <c r="X87" s="389"/>
      <c r="Y87" s="390"/>
      <c r="Z87" s="390"/>
      <c r="AA87" s="390"/>
      <c r="AB87" s="390"/>
      <c r="AC87" s="390"/>
      <c r="AD87" s="391"/>
      <c r="AF87" s="53"/>
    </row>
  </sheetData>
  <mergeCells count="230">
    <mergeCell ref="Y86:AD86"/>
    <mergeCell ref="A87:B87"/>
    <mergeCell ref="C87:D87"/>
    <mergeCell ref="E87:J87"/>
    <mergeCell ref="K87:S87"/>
    <mergeCell ref="T87:U87"/>
    <mergeCell ref="V87:X87"/>
    <mergeCell ref="Y87:AD87"/>
    <mergeCell ref="A86:B86"/>
    <mergeCell ref="C86:D86"/>
    <mergeCell ref="E86:J86"/>
    <mergeCell ref="K86:S86"/>
    <mergeCell ref="T86:U86"/>
    <mergeCell ref="V86:X86"/>
    <mergeCell ref="V84:X84"/>
    <mergeCell ref="Y84:AD84"/>
    <mergeCell ref="A85:B85"/>
    <mergeCell ref="C85:D85"/>
    <mergeCell ref="E85:J85"/>
    <mergeCell ref="K85:S85"/>
    <mergeCell ref="T85:U85"/>
    <mergeCell ref="V85:X85"/>
    <mergeCell ref="Y85:AD85"/>
    <mergeCell ref="A83:E83"/>
    <mergeCell ref="A84:B84"/>
    <mergeCell ref="C84:D84"/>
    <mergeCell ref="E84:J84"/>
    <mergeCell ref="K84:S84"/>
    <mergeCell ref="T84:U84"/>
    <mergeCell ref="A82:B82"/>
    <mergeCell ref="F82:J82"/>
    <mergeCell ref="K82:S82"/>
    <mergeCell ref="T82:U82"/>
    <mergeCell ref="V82:W82"/>
    <mergeCell ref="X82:AD82"/>
    <mergeCell ref="A81:B81"/>
    <mergeCell ref="F81:J81"/>
    <mergeCell ref="K81:S81"/>
    <mergeCell ref="T81:U81"/>
    <mergeCell ref="V81:W81"/>
    <mergeCell ref="X81:AD81"/>
    <mergeCell ref="A80:B80"/>
    <mergeCell ref="F80:J80"/>
    <mergeCell ref="K80:S80"/>
    <mergeCell ref="T80:U80"/>
    <mergeCell ref="V80:W80"/>
    <mergeCell ref="X80:AD80"/>
    <mergeCell ref="A79:B79"/>
    <mergeCell ref="F79:J79"/>
    <mergeCell ref="K79:S79"/>
    <mergeCell ref="T79:U79"/>
    <mergeCell ref="V79:W79"/>
    <mergeCell ref="X79:AD79"/>
    <mergeCell ref="A78:B78"/>
    <mergeCell ref="F78:J78"/>
    <mergeCell ref="K78:S78"/>
    <mergeCell ref="T78:U78"/>
    <mergeCell ref="V78:W78"/>
    <mergeCell ref="X78:AD78"/>
    <mergeCell ref="A77:B77"/>
    <mergeCell ref="F77:J77"/>
    <mergeCell ref="K77:S77"/>
    <mergeCell ref="T77:U77"/>
    <mergeCell ref="V77:W77"/>
    <mergeCell ref="X77:AD77"/>
    <mergeCell ref="A76:B76"/>
    <mergeCell ref="F76:J76"/>
    <mergeCell ref="K76:S76"/>
    <mergeCell ref="T76:U76"/>
    <mergeCell ref="V76:W76"/>
    <mergeCell ref="X76:AD76"/>
    <mergeCell ref="A75:B75"/>
    <mergeCell ref="F75:J75"/>
    <mergeCell ref="K75:S75"/>
    <mergeCell ref="T75:U75"/>
    <mergeCell ref="V75:W75"/>
    <mergeCell ref="X75:AD75"/>
    <mergeCell ref="A74:B74"/>
    <mergeCell ref="F74:J74"/>
    <mergeCell ref="K74:S74"/>
    <mergeCell ref="T74:U74"/>
    <mergeCell ref="V74:W74"/>
    <mergeCell ref="X74:AD74"/>
    <mergeCell ref="AB71:AD71"/>
    <mergeCell ref="A72:E72"/>
    <mergeCell ref="A73:B73"/>
    <mergeCell ref="F73:J73"/>
    <mergeCell ref="K73:S73"/>
    <mergeCell ref="T73:U73"/>
    <mergeCell ref="V73:W73"/>
    <mergeCell ref="X73:AD73"/>
    <mergeCell ref="A71:B71"/>
    <mergeCell ref="F71:J71"/>
    <mergeCell ref="K71:L71"/>
    <mergeCell ref="N71:O71"/>
    <mergeCell ref="P71:Q71"/>
    <mergeCell ref="R71:AA71"/>
    <mergeCell ref="AB69:AD69"/>
    <mergeCell ref="A70:B70"/>
    <mergeCell ref="F70:J70"/>
    <mergeCell ref="K70:L70"/>
    <mergeCell ref="N70:O70"/>
    <mergeCell ref="P70:Q70"/>
    <mergeCell ref="R70:AA70"/>
    <mergeCell ref="AB70:AD70"/>
    <mergeCell ref="A69:B69"/>
    <mergeCell ref="F69:J69"/>
    <mergeCell ref="K69:L69"/>
    <mergeCell ref="N69:O69"/>
    <mergeCell ref="P69:Q69"/>
    <mergeCell ref="R69:AA69"/>
    <mergeCell ref="AB67:AD67"/>
    <mergeCell ref="A68:B68"/>
    <mergeCell ref="F68:J68"/>
    <mergeCell ref="K68:L68"/>
    <mergeCell ref="N68:O68"/>
    <mergeCell ref="P68:Q68"/>
    <mergeCell ref="R68:AA68"/>
    <mergeCell ref="AB68:AD68"/>
    <mergeCell ref="A67:B67"/>
    <mergeCell ref="F67:J67"/>
    <mergeCell ref="K67:L67"/>
    <mergeCell ref="N67:O67"/>
    <mergeCell ref="P67:Q67"/>
    <mergeCell ref="R67:AA67"/>
    <mergeCell ref="AB65:AD65"/>
    <mergeCell ref="A66:B66"/>
    <mergeCell ref="F66:J66"/>
    <mergeCell ref="K66:L66"/>
    <mergeCell ref="N66:O66"/>
    <mergeCell ref="P66:Q66"/>
    <mergeCell ref="R66:AA66"/>
    <mergeCell ref="AB66:AD66"/>
    <mergeCell ref="A65:B65"/>
    <mergeCell ref="F65:J65"/>
    <mergeCell ref="K65:L65"/>
    <mergeCell ref="N65:O65"/>
    <mergeCell ref="P65:Q65"/>
    <mergeCell ref="R65:AA65"/>
    <mergeCell ref="R63:AA63"/>
    <mergeCell ref="AB63:AD63"/>
    <mergeCell ref="A64:B64"/>
    <mergeCell ref="F64:J64"/>
    <mergeCell ref="K64:L64"/>
    <mergeCell ref="N64:O64"/>
    <mergeCell ref="P64:Q64"/>
    <mergeCell ref="R64:AA64"/>
    <mergeCell ref="AB64:AD64"/>
    <mergeCell ref="A62:E62"/>
    <mergeCell ref="A63:B63"/>
    <mergeCell ref="F63:J63"/>
    <mergeCell ref="K63:L63"/>
    <mergeCell ref="N63:O63"/>
    <mergeCell ref="P63:Q63"/>
    <mergeCell ref="A60:B60"/>
    <mergeCell ref="F60:M60"/>
    <mergeCell ref="P60:Q60"/>
    <mergeCell ref="R60:U60"/>
    <mergeCell ref="V60:AD60"/>
    <mergeCell ref="A61:B61"/>
    <mergeCell ref="F61:M61"/>
    <mergeCell ref="P61:Q61"/>
    <mergeCell ref="R61:U61"/>
    <mergeCell ref="V61:AD61"/>
    <mergeCell ref="A58:B58"/>
    <mergeCell ref="F58:M58"/>
    <mergeCell ref="P58:Q58"/>
    <mergeCell ref="R58:U58"/>
    <mergeCell ref="V58:AD58"/>
    <mergeCell ref="A59:B59"/>
    <mergeCell ref="F59:M59"/>
    <mergeCell ref="P59:Q59"/>
    <mergeCell ref="R59:U59"/>
    <mergeCell ref="V59:AD59"/>
    <mergeCell ref="A56:B56"/>
    <mergeCell ref="F56:M56"/>
    <mergeCell ref="P56:Q56"/>
    <mergeCell ref="R56:U56"/>
    <mergeCell ref="V56:AD56"/>
    <mergeCell ref="A57:B57"/>
    <mergeCell ref="F57:M57"/>
    <mergeCell ref="P57:Q57"/>
    <mergeCell ref="R57:U57"/>
    <mergeCell ref="V57:AD57"/>
    <mergeCell ref="A54:B54"/>
    <mergeCell ref="F54:M54"/>
    <mergeCell ref="P54:Q54"/>
    <mergeCell ref="R54:U54"/>
    <mergeCell ref="V54:AD54"/>
    <mergeCell ref="A55:B55"/>
    <mergeCell ref="F55:M55"/>
    <mergeCell ref="P55:Q55"/>
    <mergeCell ref="R55:U55"/>
    <mergeCell ref="V55:AD55"/>
    <mergeCell ref="A52:B52"/>
    <mergeCell ref="F52:M52"/>
    <mergeCell ref="P52:Q52"/>
    <mergeCell ref="R52:U52"/>
    <mergeCell ref="V52:AD52"/>
    <mergeCell ref="A53:B53"/>
    <mergeCell ref="F53:M53"/>
    <mergeCell ref="P53:Q53"/>
    <mergeCell ref="R53:U53"/>
    <mergeCell ref="V53:AD53"/>
    <mergeCell ref="AD4:AD5"/>
    <mergeCell ref="A22:H22"/>
    <mergeCell ref="A49:E49"/>
    <mergeCell ref="A50:M50"/>
    <mergeCell ref="N50:AD50"/>
    <mergeCell ref="A51:B51"/>
    <mergeCell ref="F51:M51"/>
    <mergeCell ref="P51:Q51"/>
    <mergeCell ref="R51:U51"/>
    <mergeCell ref="V51:AD51"/>
    <mergeCell ref="I4:O4"/>
    <mergeCell ref="P4:Q4"/>
    <mergeCell ref="R4:V4"/>
    <mergeCell ref="W4:AA4"/>
    <mergeCell ref="AB4:AB5"/>
    <mergeCell ref="AC4:AC5"/>
    <mergeCell ref="A1:O2"/>
    <mergeCell ref="A3:G3"/>
    <mergeCell ref="A4:A5"/>
    <mergeCell ref="B4:B5"/>
    <mergeCell ref="C4:C5"/>
    <mergeCell ref="D4:D5"/>
    <mergeCell ref="E4:E5"/>
    <mergeCell ref="F4:F5"/>
    <mergeCell ref="G4:G5"/>
    <mergeCell ref="H4:H5"/>
  </mergeCells>
  <phoneticPr fontId="2" type="noConversion"/>
  <pageMargins left="0.59055118110236227" right="0.23622047244094491" top="0.74803149606299213" bottom="0.74803149606299213" header="0.31496062992125984" footer="0.31496062992125984"/>
  <pageSetup paperSize="9" scale="42" fitToHeight="2" orientation="landscape" r:id="rId1"/>
  <rowBreaks count="1" manualBreakCount="1">
    <brk id="4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28</vt:i4>
      </vt:variant>
      <vt:variant>
        <vt:lpstr>이름이 지정된 범위</vt:lpstr>
      </vt:variant>
      <vt:variant>
        <vt:i4>27</vt:i4>
      </vt:variant>
    </vt:vector>
  </HeadingPairs>
  <TitlesOfParts>
    <vt:vector size="55" baseType="lpstr">
      <vt:lpstr>총괄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13</vt:lpstr>
      <vt:lpstr>14</vt:lpstr>
      <vt:lpstr>15</vt:lpstr>
      <vt:lpstr>16</vt:lpstr>
      <vt:lpstr>17</vt:lpstr>
      <vt:lpstr>20</vt:lpstr>
      <vt:lpstr>21</vt:lpstr>
      <vt:lpstr>22</vt:lpstr>
      <vt:lpstr>23</vt:lpstr>
      <vt:lpstr>24</vt:lpstr>
      <vt:lpstr>25</vt:lpstr>
      <vt:lpstr>27</vt:lpstr>
      <vt:lpstr>28</vt:lpstr>
      <vt:lpstr>29</vt:lpstr>
      <vt:lpstr>30</vt:lpstr>
      <vt:lpstr>31</vt:lpstr>
      <vt:lpstr>'01'!Print_Area</vt:lpstr>
      <vt:lpstr>'02'!Print_Area</vt:lpstr>
      <vt:lpstr>'03'!Print_Area</vt:lpstr>
      <vt:lpstr>'04'!Print_Area</vt:lpstr>
      <vt:lpstr>'05'!Print_Area</vt:lpstr>
      <vt:lpstr>'06'!Print_Area</vt:lpstr>
      <vt:lpstr>'07'!Print_Area</vt:lpstr>
      <vt:lpstr>'08'!Print_Area</vt:lpstr>
      <vt:lpstr>'09'!Print_Area</vt:lpstr>
      <vt:lpstr>'10'!Print_Area</vt:lpstr>
      <vt:lpstr>'11'!Print_Area</vt:lpstr>
      <vt:lpstr>'13'!Print_Area</vt:lpstr>
      <vt:lpstr>'14'!Print_Area</vt:lpstr>
      <vt:lpstr>'15'!Print_Area</vt:lpstr>
      <vt:lpstr>'16'!Print_Area</vt:lpstr>
      <vt:lpstr>'17'!Print_Area</vt:lpstr>
      <vt:lpstr>'20'!Print_Area</vt:lpstr>
      <vt:lpstr>'21'!Print_Area</vt:lpstr>
      <vt:lpstr>'22'!Print_Area</vt:lpstr>
      <vt:lpstr>'23'!Print_Area</vt:lpstr>
      <vt:lpstr>'24'!Print_Area</vt:lpstr>
      <vt:lpstr>'25'!Print_Area</vt:lpstr>
      <vt:lpstr>'27'!Print_Area</vt:lpstr>
      <vt:lpstr>'28'!Print_Area</vt:lpstr>
      <vt:lpstr>'29'!Print_Area</vt:lpstr>
      <vt:lpstr>'30'!Print_Area</vt:lpstr>
      <vt:lpstr>'31'!Print_Area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김성연</cp:lastModifiedBy>
  <cp:lastPrinted>2017-03-14T10:12:51Z</cp:lastPrinted>
  <dcterms:created xsi:type="dcterms:W3CDTF">2014-05-16T00:06:55Z</dcterms:created>
  <dcterms:modified xsi:type="dcterms:W3CDTF">2017-04-01T07:44:35Z</dcterms:modified>
</cp:coreProperties>
</file>