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drawings/drawing52.xml" ContentType="application/vnd.openxmlformats-officedocument.drawing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drawings/drawing55.xml" ContentType="application/vnd.openxmlformats-officedocument.drawingml.chartshapes+xml"/>
  <Override PartName="/xl/drawings/drawing56.xml" ContentType="application/vnd.openxmlformats-officedocument.drawing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drawings/drawing57.xml" ContentType="application/vnd.openxmlformats-officedocument.drawingml.chartshapes+xml"/>
  <Override PartName="/xl/drawings/drawing58.xml" ContentType="application/vnd.openxmlformats-officedocument.drawing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drawings/drawing5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9"/>
  </bookViews>
  <sheets>
    <sheet name="총괄" sheetId="16" r:id="rId1"/>
    <sheet name="01" sheetId="892" r:id="rId2"/>
    <sheet name="02" sheetId="893" r:id="rId3"/>
    <sheet name="03" sheetId="894" r:id="rId4"/>
    <sheet name="04" sheetId="895" r:id="rId5"/>
    <sheet name="05" sheetId="896" r:id="rId6"/>
    <sheet name="06" sheetId="897" r:id="rId7"/>
    <sheet name="07" sheetId="898" r:id="rId8"/>
    <sheet name="08" sheetId="899" r:id="rId9"/>
    <sheet name="09" sheetId="900" r:id="rId10"/>
    <sheet name="10" sheetId="901" r:id="rId11"/>
    <sheet name="11" sheetId="902" r:id="rId12"/>
    <sheet name="12" sheetId="903" r:id="rId13"/>
    <sheet name="13" sheetId="904" r:id="rId14"/>
    <sheet name="14" sheetId="905" r:id="rId15"/>
    <sheet name="15" sheetId="906" r:id="rId16"/>
    <sheet name="16" sheetId="907" r:id="rId17"/>
    <sheet name="17" sheetId="908" r:id="rId18"/>
    <sheet name="18" sheetId="909" r:id="rId19"/>
    <sheet name="19" sheetId="910" r:id="rId20"/>
    <sheet name="20" sheetId="911" r:id="rId21"/>
    <sheet name="21" sheetId="912" r:id="rId22"/>
    <sheet name="22" sheetId="913" r:id="rId23"/>
    <sheet name="24" sheetId="914" r:id="rId24"/>
    <sheet name="25" sheetId="915" r:id="rId25"/>
    <sheet name="26" sheetId="916" r:id="rId26"/>
    <sheet name="27" sheetId="917" r:id="rId27"/>
    <sheet name="28" sheetId="918" r:id="rId28"/>
    <sheet name="29" sheetId="919" r:id="rId29"/>
    <sheet name="30" sheetId="920" r:id="rId30"/>
  </sheets>
  <definedNames>
    <definedName name="_xlnm.Print_Area" localSheetId="1">'01'!$A$1:$AD$87</definedName>
    <definedName name="_xlnm.Print_Area" localSheetId="2">'02'!$A$1:$AD$86</definedName>
    <definedName name="_xlnm.Print_Area" localSheetId="3">'03'!$A$1:$AD$86</definedName>
    <definedName name="_xlnm.Print_Area" localSheetId="4">'04'!$A$1:$AD$86</definedName>
    <definedName name="_xlnm.Print_Area" localSheetId="5">'05'!$A$1:$AD$86</definedName>
    <definedName name="_xlnm.Print_Area" localSheetId="6">'06'!$A$1:$AD$86</definedName>
    <definedName name="_xlnm.Print_Area" localSheetId="7">'07'!$A$1:$AD$86</definedName>
    <definedName name="_xlnm.Print_Area" localSheetId="8">'08'!$A$1:$AD$86</definedName>
    <definedName name="_xlnm.Print_Area" localSheetId="9">'09'!$A$1:$AD$86</definedName>
    <definedName name="_xlnm.Print_Area" localSheetId="10">'10'!$A$1:$AD$86</definedName>
    <definedName name="_xlnm.Print_Area" localSheetId="11">'11'!$A$1:$AD$86</definedName>
    <definedName name="_xlnm.Print_Area" localSheetId="12">'12'!$A$1:$AD$86</definedName>
    <definedName name="_xlnm.Print_Area" localSheetId="13">'13'!$A$1:$AD$86</definedName>
    <definedName name="_xlnm.Print_Area" localSheetId="14">'14'!$A$1:$AD$86</definedName>
    <definedName name="_xlnm.Print_Area" localSheetId="15">'15'!$A$1:$AD$87</definedName>
    <definedName name="_xlnm.Print_Area" localSheetId="16">'16'!$A$1:$AD$87</definedName>
    <definedName name="_xlnm.Print_Area" localSheetId="17">'17'!$A$1:$AD$86</definedName>
    <definedName name="_xlnm.Print_Area" localSheetId="18">'18'!$A$1:$AD$87</definedName>
    <definedName name="_xlnm.Print_Area" localSheetId="19">'19'!$A$1:$AD$89</definedName>
    <definedName name="_xlnm.Print_Area" localSheetId="20">'20'!$A$1:$AD$87</definedName>
    <definedName name="_xlnm.Print_Area" localSheetId="21">'21'!$A$1:$AD$88</definedName>
    <definedName name="_xlnm.Print_Area" localSheetId="22">'22'!$A$1:$AD$86</definedName>
    <definedName name="_xlnm.Print_Area" localSheetId="23">'24'!$A$1:$AD$87</definedName>
    <definedName name="_xlnm.Print_Area" localSheetId="24">'25'!$A$1:$AD$86</definedName>
    <definedName name="_xlnm.Print_Area" localSheetId="25">'26'!$A$1:$AD$87</definedName>
    <definedName name="_xlnm.Print_Area" localSheetId="26">'27'!$A$1:$AD$86</definedName>
    <definedName name="_xlnm.Print_Area" localSheetId="27">'28'!$A$1:$AD$87</definedName>
    <definedName name="_xlnm.Print_Area" localSheetId="28">'29'!$A$1:$AD$86</definedName>
    <definedName name="_xlnm.Print_Area" localSheetId="29">'30'!$A$1:$AD$86</definedName>
  </definedNames>
  <calcPr calcId="144525"/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920"/>
  <c r="L19" i="920"/>
  <c r="K19" i="920" s="1"/>
  <c r="L18" i="920"/>
  <c r="L12" i="920"/>
  <c r="K12" i="920" s="1"/>
  <c r="L10" i="920"/>
  <c r="K10" i="920" s="1"/>
  <c r="L9" i="920"/>
  <c r="K9" i="920" s="1"/>
  <c r="L8" i="920"/>
  <c r="L7" i="920"/>
  <c r="K7" i="920"/>
  <c r="K20" i="920"/>
  <c r="K18" i="920"/>
  <c r="K17" i="920"/>
  <c r="K13" i="920"/>
  <c r="K8" i="920"/>
  <c r="A74" i="920"/>
  <c r="A75" i="920" s="1"/>
  <c r="A76" i="920" s="1"/>
  <c r="A77" i="920" s="1"/>
  <c r="A78" i="920" s="1"/>
  <c r="A79" i="920" s="1"/>
  <c r="A80" i="920" s="1"/>
  <c r="A81" i="920" s="1"/>
  <c r="AF60" i="920"/>
  <c r="AF62" i="920" s="1"/>
  <c r="AF59" i="920"/>
  <c r="AA21" i="920"/>
  <c r="Z21" i="920"/>
  <c r="Y21" i="920"/>
  <c r="X21" i="920"/>
  <c r="W21" i="920"/>
  <c r="V21" i="920"/>
  <c r="U21" i="920"/>
  <c r="T21" i="920"/>
  <c r="S21" i="920"/>
  <c r="R21" i="920"/>
  <c r="N21" i="920"/>
  <c r="J21" i="920"/>
  <c r="I21" i="920"/>
  <c r="AF20" i="920"/>
  <c r="AB20" i="920"/>
  <c r="Q20" i="920"/>
  <c r="O20" i="920"/>
  <c r="M20" i="920"/>
  <c r="P20" i="920"/>
  <c r="AC20" i="920" s="1"/>
  <c r="AF19" i="920"/>
  <c r="Q19" i="920"/>
  <c r="M19" i="920"/>
  <c r="AB19" i="920"/>
  <c r="AF18" i="920"/>
  <c r="Q18" i="920"/>
  <c r="P18" i="920"/>
  <c r="AC18" i="920" s="1"/>
  <c r="I18" i="920"/>
  <c r="AF17" i="920"/>
  <c r="Q17" i="920"/>
  <c r="P17" i="920"/>
  <c r="AC17" i="920" s="1"/>
  <c r="AF16" i="920"/>
  <c r="AB16" i="920"/>
  <c r="Q16" i="920"/>
  <c r="P16" i="920"/>
  <c r="AC16" i="920" s="1"/>
  <c r="AD16" i="920" s="1"/>
  <c r="O16" i="920"/>
  <c r="M16" i="920"/>
  <c r="K16" i="920"/>
  <c r="AF15" i="920"/>
  <c r="AB15" i="920"/>
  <c r="Q15" i="920"/>
  <c r="P15" i="920"/>
  <c r="AC15" i="920" s="1"/>
  <c r="O15" i="920"/>
  <c r="M15" i="920"/>
  <c r="K15" i="920"/>
  <c r="AF14" i="920"/>
  <c r="AC14" i="920"/>
  <c r="AB14" i="920"/>
  <c r="Q14" i="920"/>
  <c r="P14" i="920"/>
  <c r="O14" i="920"/>
  <c r="M14" i="920"/>
  <c r="K14" i="920"/>
  <c r="AF13" i="920"/>
  <c r="Q13" i="920"/>
  <c r="AB13" i="920"/>
  <c r="AF12" i="920"/>
  <c r="Q12" i="920"/>
  <c r="P12" i="920" s="1"/>
  <c r="AC12" i="920" s="1"/>
  <c r="O12" i="920"/>
  <c r="AF11" i="920"/>
  <c r="AC11" i="920"/>
  <c r="AB11" i="920"/>
  <c r="Q11" i="920"/>
  <c r="P11" i="920"/>
  <c r="O11" i="920"/>
  <c r="M11" i="920"/>
  <c r="K11" i="920"/>
  <c r="AF10" i="920"/>
  <c r="Q10" i="920"/>
  <c r="M10" i="920"/>
  <c r="AF9" i="920"/>
  <c r="Q9" i="920"/>
  <c r="P9" i="920" s="1"/>
  <c r="AC9" i="920" s="1"/>
  <c r="O9" i="920"/>
  <c r="AF8" i="920"/>
  <c r="Q8" i="920"/>
  <c r="P8" i="920"/>
  <c r="AC8" i="920" s="1"/>
  <c r="AD8" i="920" s="1"/>
  <c r="O8" i="920"/>
  <c r="M8" i="920"/>
  <c r="AB8" i="920"/>
  <c r="AF7" i="920"/>
  <c r="AB7" i="920"/>
  <c r="Q7" i="920"/>
  <c r="O7" i="920"/>
  <c r="M7" i="920"/>
  <c r="L21" i="920"/>
  <c r="O21" i="920" s="1"/>
  <c r="AF6" i="920"/>
  <c r="AB6" i="920"/>
  <c r="Q6" i="920"/>
  <c r="P6" i="920"/>
  <c r="O6" i="920"/>
  <c r="M6" i="920"/>
  <c r="K6" i="920"/>
  <c r="AD20" i="920" l="1"/>
  <c r="Q21" i="920"/>
  <c r="AD11" i="920"/>
  <c r="AD14" i="920"/>
  <c r="AD15" i="920"/>
  <c r="AB10" i="920"/>
  <c r="AC6" i="920"/>
  <c r="K21" i="920"/>
  <c r="P7" i="920"/>
  <c r="AC7" i="920" s="1"/>
  <c r="AD7" i="920" s="1"/>
  <c r="M9" i="920"/>
  <c r="AB9" i="920"/>
  <c r="O10" i="920"/>
  <c r="M12" i="920"/>
  <c r="AB12" i="920"/>
  <c r="AD12" i="920" s="1"/>
  <c r="O13" i="920"/>
  <c r="M17" i="920"/>
  <c r="AB17" i="920"/>
  <c r="M18" i="920"/>
  <c r="AB18" i="920"/>
  <c r="AD18" i="920" s="1"/>
  <c r="O19" i="920"/>
  <c r="M13" i="920"/>
  <c r="P10" i="920"/>
  <c r="AC10" i="920" s="1"/>
  <c r="P13" i="920"/>
  <c r="AC13" i="920" s="1"/>
  <c r="O17" i="920"/>
  <c r="O18" i="920"/>
  <c r="P19" i="920"/>
  <c r="AC19" i="920" s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0" i="919"/>
  <c r="L19" i="919"/>
  <c r="L18" i="919"/>
  <c r="K18" i="919" s="1"/>
  <c r="L17" i="919"/>
  <c r="AB17" i="919" s="1"/>
  <c r="L13" i="919"/>
  <c r="L12" i="919"/>
  <c r="L10" i="919"/>
  <c r="K10" i="919" s="1"/>
  <c r="L9" i="919"/>
  <c r="K9" i="919" s="1"/>
  <c r="L8" i="919"/>
  <c r="L7" i="919"/>
  <c r="K20" i="919"/>
  <c r="K19" i="919"/>
  <c r="K16" i="919"/>
  <c r="K13" i="919"/>
  <c r="K12" i="919"/>
  <c r="K11" i="919"/>
  <c r="K8" i="919"/>
  <c r="K7" i="919"/>
  <c r="A74" i="919"/>
  <c r="A75" i="919" s="1"/>
  <c r="A76" i="919" s="1"/>
  <c r="A77" i="919" s="1"/>
  <c r="A78" i="919" s="1"/>
  <c r="A79" i="919" s="1"/>
  <c r="A80" i="919" s="1"/>
  <c r="A81" i="919" s="1"/>
  <c r="AF60" i="919"/>
  <c r="AF59" i="919"/>
  <c r="AA21" i="919"/>
  <c r="Z21" i="919"/>
  <c r="Y21" i="919"/>
  <c r="X21" i="919"/>
  <c r="W21" i="919"/>
  <c r="V21" i="919"/>
  <c r="U21" i="919"/>
  <c r="T21" i="919"/>
  <c r="S21" i="919"/>
  <c r="R21" i="919"/>
  <c r="N21" i="919"/>
  <c r="J21" i="919"/>
  <c r="AF20" i="919"/>
  <c r="AB20" i="919"/>
  <c r="Q20" i="919"/>
  <c r="M20" i="919"/>
  <c r="O20" i="919"/>
  <c r="AF19" i="919"/>
  <c r="Q19" i="919"/>
  <c r="AB19" i="919"/>
  <c r="AF18" i="919"/>
  <c r="Q18" i="919"/>
  <c r="P18" i="919" s="1"/>
  <c r="AC18" i="919" s="1"/>
  <c r="O18" i="919"/>
  <c r="AB18" i="919"/>
  <c r="I18" i="919"/>
  <c r="I21" i="919" s="1"/>
  <c r="AF17" i="919"/>
  <c r="Q17" i="919"/>
  <c r="AF16" i="919"/>
  <c r="AB16" i="919"/>
  <c r="Q16" i="919"/>
  <c r="O16" i="919"/>
  <c r="M16" i="919"/>
  <c r="P16" i="919"/>
  <c r="AC16" i="919" s="1"/>
  <c r="AD16" i="919" s="1"/>
  <c r="AF15" i="919"/>
  <c r="AB15" i="919"/>
  <c r="Q15" i="919"/>
  <c r="P15" i="919"/>
  <c r="AC15" i="919" s="1"/>
  <c r="AD15" i="919" s="1"/>
  <c r="O15" i="919"/>
  <c r="M15" i="919"/>
  <c r="K15" i="919"/>
  <c r="AF14" i="919"/>
  <c r="AB14" i="919"/>
  <c r="Q14" i="919"/>
  <c r="P14" i="919"/>
  <c r="AC14" i="919" s="1"/>
  <c r="AD14" i="919" s="1"/>
  <c r="O14" i="919"/>
  <c r="M14" i="919"/>
  <c r="K14" i="919"/>
  <c r="AF13" i="919"/>
  <c r="Q13" i="919"/>
  <c r="AB13" i="919"/>
  <c r="AF12" i="919"/>
  <c r="AB12" i="919"/>
  <c r="Q12" i="919"/>
  <c r="P12" i="919" s="1"/>
  <c r="AC12" i="919" s="1"/>
  <c r="M12" i="919"/>
  <c r="O12" i="919"/>
  <c r="AF11" i="919"/>
  <c r="Q11" i="919"/>
  <c r="O11" i="919"/>
  <c r="P11" i="919"/>
  <c r="AC11" i="919" s="1"/>
  <c r="AF10" i="919"/>
  <c r="Q10" i="919"/>
  <c r="P10" i="919" s="1"/>
  <c r="AC10" i="919" s="1"/>
  <c r="AF9" i="919"/>
  <c r="Q9" i="919"/>
  <c r="AB9" i="919"/>
  <c r="AF8" i="919"/>
  <c r="AB8" i="919"/>
  <c r="Q8" i="919"/>
  <c r="P8" i="919"/>
  <c r="AC8" i="919" s="1"/>
  <c r="M8" i="919"/>
  <c r="O8" i="919"/>
  <c r="AF7" i="919"/>
  <c r="Q7" i="919"/>
  <c r="P7" i="919" s="1"/>
  <c r="AC7" i="919" s="1"/>
  <c r="O7" i="919"/>
  <c r="AF6" i="919"/>
  <c r="AB6" i="919"/>
  <c r="Q6" i="919"/>
  <c r="P6" i="919"/>
  <c r="AC6" i="919" s="1"/>
  <c r="O6" i="919"/>
  <c r="M6" i="919"/>
  <c r="K6" i="919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918"/>
  <c r="K21" i="918" s="1"/>
  <c r="L20" i="918"/>
  <c r="K20" i="918" s="1"/>
  <c r="AF19" i="918"/>
  <c r="Q19" i="918"/>
  <c r="P19" i="918"/>
  <c r="AC19" i="918" s="1"/>
  <c r="L19" i="918"/>
  <c r="AB19" i="918" s="1"/>
  <c r="K19" i="918"/>
  <c r="L18" i="918"/>
  <c r="L17" i="918"/>
  <c r="K17" i="918"/>
  <c r="L16" i="918"/>
  <c r="L13" i="918"/>
  <c r="L12" i="918"/>
  <c r="K12" i="918"/>
  <c r="L11" i="918"/>
  <c r="K11" i="918"/>
  <c r="L10" i="918"/>
  <c r="K10" i="918" s="1"/>
  <c r="L9" i="918"/>
  <c r="O9" i="918" s="1"/>
  <c r="L8" i="918"/>
  <c r="L7" i="918"/>
  <c r="K7" i="918"/>
  <c r="K18" i="918"/>
  <c r="K16" i="918"/>
  <c r="K13" i="918"/>
  <c r="K8" i="918"/>
  <c r="K6" i="918"/>
  <c r="A75" i="918"/>
  <c r="A76" i="918" s="1"/>
  <c r="A77" i="918" s="1"/>
  <c r="A78" i="918" s="1"/>
  <c r="A79" i="918" s="1"/>
  <c r="A80" i="918" s="1"/>
  <c r="A81" i="918" s="1"/>
  <c r="A82" i="918" s="1"/>
  <c r="AF61" i="918"/>
  <c r="AF63" i="918" s="1"/>
  <c r="AF60" i="918"/>
  <c r="AA22" i="918"/>
  <c r="Z22" i="918"/>
  <c r="Y22" i="918"/>
  <c r="X22" i="918"/>
  <c r="W22" i="918"/>
  <c r="V22" i="918"/>
  <c r="U22" i="918"/>
  <c r="T22" i="918"/>
  <c r="S22" i="918"/>
  <c r="R22" i="918"/>
  <c r="N22" i="918"/>
  <c r="J22" i="918"/>
  <c r="AF21" i="918"/>
  <c r="AB21" i="918"/>
  <c r="Q21" i="918"/>
  <c r="P21" i="918"/>
  <c r="AC21" i="918" s="1"/>
  <c r="O21" i="918"/>
  <c r="M21" i="918"/>
  <c r="AF20" i="918"/>
  <c r="Q20" i="918"/>
  <c r="P20" i="918" s="1"/>
  <c r="AC20" i="918" s="1"/>
  <c r="AF18" i="918"/>
  <c r="Q18" i="918"/>
  <c r="P18" i="918" s="1"/>
  <c r="AC18" i="918" s="1"/>
  <c r="O18" i="918"/>
  <c r="AB18" i="918"/>
  <c r="I18" i="918"/>
  <c r="I22" i="918" s="1"/>
  <c r="AF17" i="918"/>
  <c r="AB17" i="918"/>
  <c r="Q17" i="918"/>
  <c r="P17" i="918" s="1"/>
  <c r="AC17" i="918" s="1"/>
  <c r="O17" i="918"/>
  <c r="M17" i="918"/>
  <c r="AF16" i="918"/>
  <c r="AB16" i="918"/>
  <c r="Q16" i="918"/>
  <c r="P16" i="918" s="1"/>
  <c r="AC16" i="918" s="1"/>
  <c r="M16" i="918"/>
  <c r="AF15" i="918"/>
  <c r="AB15" i="918"/>
  <c r="Q15" i="918"/>
  <c r="P15" i="918"/>
  <c r="AC15" i="918" s="1"/>
  <c r="O15" i="918"/>
  <c r="M15" i="918"/>
  <c r="K15" i="918"/>
  <c r="AF14" i="918"/>
  <c r="AB14" i="918"/>
  <c r="Q14" i="918"/>
  <c r="P14" i="918"/>
  <c r="AC14" i="918" s="1"/>
  <c r="AD14" i="918" s="1"/>
  <c r="O14" i="918"/>
  <c r="M14" i="918"/>
  <c r="K14" i="918"/>
  <c r="AF13" i="918"/>
  <c r="Q13" i="918"/>
  <c r="P13" i="918"/>
  <c r="AC13" i="918" s="1"/>
  <c r="AF12" i="918"/>
  <c r="AB12" i="918"/>
  <c r="Q12" i="918"/>
  <c r="P12" i="918" s="1"/>
  <c r="AC12" i="918" s="1"/>
  <c r="O12" i="918"/>
  <c r="M12" i="918"/>
  <c r="AF11" i="918"/>
  <c r="AB11" i="918"/>
  <c r="Q11" i="918"/>
  <c r="P11" i="918" s="1"/>
  <c r="AC11" i="918" s="1"/>
  <c r="AD11" i="918" s="1"/>
  <c r="O11" i="918"/>
  <c r="M11" i="918"/>
  <c r="AF10" i="918"/>
  <c r="Q10" i="918"/>
  <c r="P10" i="918"/>
  <c r="AC10" i="918" s="1"/>
  <c r="O10" i="918"/>
  <c r="AB10" i="918"/>
  <c r="AF9" i="918"/>
  <c r="Q9" i="918"/>
  <c r="P9" i="918" s="1"/>
  <c r="AC9" i="918" s="1"/>
  <c r="AF8" i="918"/>
  <c r="AB8" i="918"/>
  <c r="Q8" i="918"/>
  <c r="P8" i="918" s="1"/>
  <c r="AC8" i="918" s="1"/>
  <c r="M8" i="918"/>
  <c r="AF7" i="918"/>
  <c r="Q7" i="918"/>
  <c r="P7" i="918" s="1"/>
  <c r="AC7" i="918" s="1"/>
  <c r="AF6" i="918"/>
  <c r="Q6" i="918"/>
  <c r="P6" i="918"/>
  <c r="O6" i="918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19" i="917"/>
  <c r="K19" i="917" s="1"/>
  <c r="L18" i="917"/>
  <c r="K18" i="917" s="1"/>
  <c r="L16" i="917"/>
  <c r="K16" i="917" s="1"/>
  <c r="L13" i="917"/>
  <c r="K13" i="917"/>
  <c r="L10" i="917"/>
  <c r="K10" i="917" s="1"/>
  <c r="L9" i="917"/>
  <c r="K9" i="917" s="1"/>
  <c r="L8" i="917"/>
  <c r="K8" i="917" s="1"/>
  <c r="L7" i="917"/>
  <c r="L6" i="917"/>
  <c r="K6" i="917" s="1"/>
  <c r="K12" i="917"/>
  <c r="K11" i="917"/>
  <c r="K7" i="917"/>
  <c r="A74" i="917"/>
  <c r="A75" i="917" s="1"/>
  <c r="A76" i="917" s="1"/>
  <c r="A77" i="917" s="1"/>
  <c r="A78" i="917" s="1"/>
  <c r="A79" i="917" s="1"/>
  <c r="A80" i="917" s="1"/>
  <c r="A81" i="917" s="1"/>
  <c r="AF60" i="917"/>
  <c r="AF59" i="917"/>
  <c r="AF62" i="917" s="1"/>
  <c r="AA21" i="917"/>
  <c r="Z21" i="917"/>
  <c r="Y21" i="917"/>
  <c r="X21" i="917"/>
  <c r="W21" i="917"/>
  <c r="V21" i="917"/>
  <c r="U21" i="917"/>
  <c r="T21" i="917"/>
  <c r="S21" i="917"/>
  <c r="R21" i="917"/>
  <c r="N21" i="917"/>
  <c r="J21" i="917"/>
  <c r="AF20" i="917"/>
  <c r="AB20" i="917"/>
  <c r="Q20" i="917"/>
  <c r="P20" i="917"/>
  <c r="AC20" i="917" s="1"/>
  <c r="O20" i="917"/>
  <c r="M20" i="917"/>
  <c r="K20" i="917"/>
  <c r="AF19" i="917"/>
  <c r="Q19" i="917"/>
  <c r="P19" i="917"/>
  <c r="AC19" i="917" s="1"/>
  <c r="M19" i="917"/>
  <c r="AB19" i="917"/>
  <c r="AF18" i="917"/>
  <c r="Q18" i="917"/>
  <c r="O18" i="917"/>
  <c r="I18" i="917"/>
  <c r="I21" i="917" s="1"/>
  <c r="AF17" i="917"/>
  <c r="AC17" i="917"/>
  <c r="AB17" i="917"/>
  <c r="Q17" i="917"/>
  <c r="P17" i="917"/>
  <c r="O17" i="917"/>
  <c r="M17" i="917"/>
  <c r="K17" i="917"/>
  <c r="AF16" i="917"/>
  <c r="Q16" i="917"/>
  <c r="AF15" i="917"/>
  <c r="AB15" i="917"/>
  <c r="Q15" i="917"/>
  <c r="P15" i="917"/>
  <c r="AC15" i="917" s="1"/>
  <c r="O15" i="917"/>
  <c r="M15" i="917"/>
  <c r="K15" i="917"/>
  <c r="AF14" i="917"/>
  <c r="AB14" i="917"/>
  <c r="Q14" i="917"/>
  <c r="P14" i="917"/>
  <c r="AC14" i="917" s="1"/>
  <c r="AD14" i="917" s="1"/>
  <c r="O14" i="917"/>
  <c r="M14" i="917"/>
  <c r="K14" i="917"/>
  <c r="AF13" i="917"/>
  <c r="AB13" i="917"/>
  <c r="Q13" i="917"/>
  <c r="P13" i="917"/>
  <c r="AC13" i="917" s="1"/>
  <c r="O13" i="917"/>
  <c r="M13" i="917"/>
  <c r="AF12" i="917"/>
  <c r="AB12" i="917"/>
  <c r="Q12" i="917"/>
  <c r="M12" i="917"/>
  <c r="O12" i="917"/>
  <c r="AF11" i="917"/>
  <c r="AB11" i="917"/>
  <c r="Q11" i="917"/>
  <c r="P11" i="917"/>
  <c r="AC11" i="917" s="1"/>
  <c r="O11" i="917"/>
  <c r="M11" i="917"/>
  <c r="AF10" i="917"/>
  <c r="Q10" i="917"/>
  <c r="M10" i="917"/>
  <c r="AF9" i="917"/>
  <c r="Q9" i="917"/>
  <c r="AB9" i="917"/>
  <c r="AF8" i="917"/>
  <c r="AB8" i="917"/>
  <c r="Q8" i="917"/>
  <c r="P8" i="917" s="1"/>
  <c r="AC8" i="917" s="1"/>
  <c r="O8" i="917"/>
  <c r="M8" i="917"/>
  <c r="AF7" i="917"/>
  <c r="AB7" i="917"/>
  <c r="Q7" i="917"/>
  <c r="M7" i="917"/>
  <c r="O7" i="917"/>
  <c r="AF6" i="917"/>
  <c r="AB6" i="917"/>
  <c r="Q6" i="917"/>
  <c r="P6" i="917" s="1"/>
  <c r="O6" i="917"/>
  <c r="M6" i="917"/>
  <c r="P21" i="920" l="1"/>
  <c r="AD17" i="920"/>
  <c r="AB21" i="920"/>
  <c r="AD19" i="920"/>
  <c r="AD10" i="920"/>
  <c r="M21" i="920"/>
  <c r="AD9" i="920"/>
  <c r="AC21" i="920"/>
  <c r="AD6" i="920"/>
  <c r="AD13" i="920"/>
  <c r="AF62" i="919"/>
  <c r="O17" i="919"/>
  <c r="AD17" i="919" s="1"/>
  <c r="P17" i="919"/>
  <c r="AC17" i="919" s="1"/>
  <c r="K17" i="919"/>
  <c r="O10" i="919"/>
  <c r="AB10" i="919"/>
  <c r="AD10" i="919" s="1"/>
  <c r="M10" i="919"/>
  <c r="Q21" i="919"/>
  <c r="AD6" i="919"/>
  <c r="AD12" i="919"/>
  <c r="AD18" i="919"/>
  <c r="AD8" i="919"/>
  <c r="O9" i="919"/>
  <c r="O13" i="919"/>
  <c r="O19" i="919"/>
  <c r="P20" i="919"/>
  <c r="AC20" i="919" s="1"/>
  <c r="AD20" i="919" s="1"/>
  <c r="M7" i="919"/>
  <c r="AB7" i="919"/>
  <c r="P9" i="919"/>
  <c r="AC9" i="919" s="1"/>
  <c r="M11" i="919"/>
  <c r="AB11" i="919"/>
  <c r="AD11" i="919" s="1"/>
  <c r="P13" i="919"/>
  <c r="AC13" i="919" s="1"/>
  <c r="M17" i="919"/>
  <c r="M18" i="919"/>
  <c r="P19" i="919"/>
  <c r="AC19" i="919" s="1"/>
  <c r="AD19" i="919" s="1"/>
  <c r="L21" i="919"/>
  <c r="O21" i="919" s="1"/>
  <c r="K21" i="919"/>
  <c r="M9" i="919"/>
  <c r="M13" i="919"/>
  <c r="M19" i="919"/>
  <c r="O19" i="918"/>
  <c r="AD19" i="918" s="1"/>
  <c r="M19" i="918"/>
  <c r="AD18" i="918"/>
  <c r="L22" i="918"/>
  <c r="O22" i="918" s="1"/>
  <c r="M9" i="918"/>
  <c r="AB9" i="918"/>
  <c r="K9" i="918"/>
  <c r="AD9" i="918"/>
  <c r="Q22" i="918"/>
  <c r="AD12" i="918"/>
  <c r="AD21" i="918"/>
  <c r="AD17" i="918"/>
  <c r="AD15" i="918"/>
  <c r="AD10" i="918"/>
  <c r="P22" i="918"/>
  <c r="M7" i="918"/>
  <c r="AB7" i="918"/>
  <c r="O8" i="918"/>
  <c r="AD8" i="918" s="1"/>
  <c r="M13" i="918"/>
  <c r="AB13" i="918"/>
  <c r="O16" i="918"/>
  <c r="AD16" i="918" s="1"/>
  <c r="M20" i="918"/>
  <c r="AB20" i="918"/>
  <c r="M6" i="918"/>
  <c r="AB6" i="918"/>
  <c r="O7" i="918"/>
  <c r="M10" i="918"/>
  <c r="O13" i="918"/>
  <c r="M18" i="918"/>
  <c r="O20" i="918"/>
  <c r="AC6" i="918"/>
  <c r="K22" i="918"/>
  <c r="O19" i="917"/>
  <c r="AD19" i="917"/>
  <c r="P18" i="917"/>
  <c r="AC18" i="917" s="1"/>
  <c r="AB18" i="917"/>
  <c r="AD18" i="917" s="1"/>
  <c r="M18" i="917"/>
  <c r="AB16" i="917"/>
  <c r="AB10" i="917"/>
  <c r="O10" i="917"/>
  <c r="Q21" i="917"/>
  <c r="AD8" i="917"/>
  <c r="AD13" i="917"/>
  <c r="AD15" i="917"/>
  <c r="AD17" i="917"/>
  <c r="AD11" i="917"/>
  <c r="AD20" i="917"/>
  <c r="AC6" i="917"/>
  <c r="P7" i="917"/>
  <c r="AC7" i="917" s="1"/>
  <c r="AD7" i="917" s="1"/>
  <c r="O9" i="917"/>
  <c r="P10" i="917"/>
  <c r="AC10" i="917" s="1"/>
  <c r="AD10" i="917" s="1"/>
  <c r="P12" i="917"/>
  <c r="AC12" i="917" s="1"/>
  <c r="AD12" i="917" s="1"/>
  <c r="O16" i="917"/>
  <c r="K21" i="917"/>
  <c r="P9" i="917"/>
  <c r="AC9" i="917" s="1"/>
  <c r="P16" i="917"/>
  <c r="AC16" i="917" s="1"/>
  <c r="L21" i="917"/>
  <c r="O21" i="917" s="1"/>
  <c r="M9" i="917"/>
  <c r="M16" i="917"/>
  <c r="L12" i="915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916"/>
  <c r="L19" i="916"/>
  <c r="L17" i="916"/>
  <c r="L13" i="916"/>
  <c r="L12" i="916"/>
  <c r="K12" i="916" s="1"/>
  <c r="AF12" i="916"/>
  <c r="AB12" i="916"/>
  <c r="Q12" i="916"/>
  <c r="P12" i="916" s="1"/>
  <c r="AC12" i="916" s="1"/>
  <c r="O12" i="916"/>
  <c r="L10" i="916"/>
  <c r="L9" i="916"/>
  <c r="L7" i="916"/>
  <c r="K20" i="916"/>
  <c r="K19" i="916"/>
  <c r="K17" i="916"/>
  <c r="K11" i="916"/>
  <c r="K10" i="916"/>
  <c r="K9" i="916"/>
  <c r="K8" i="916"/>
  <c r="K7" i="916"/>
  <c r="K6" i="916"/>
  <c r="A75" i="916"/>
  <c r="A76" i="916" s="1"/>
  <c r="A77" i="916" s="1"/>
  <c r="A78" i="916" s="1"/>
  <c r="A79" i="916" s="1"/>
  <c r="A80" i="916" s="1"/>
  <c r="A81" i="916" s="1"/>
  <c r="A82" i="916" s="1"/>
  <c r="AF61" i="916"/>
  <c r="AF63" i="916" s="1"/>
  <c r="AF60" i="916"/>
  <c r="AA22" i="916"/>
  <c r="Z22" i="916"/>
  <c r="Y22" i="916"/>
  <c r="X22" i="916"/>
  <c r="W22" i="916"/>
  <c r="V22" i="916"/>
  <c r="U22" i="916"/>
  <c r="T22" i="916"/>
  <c r="S22" i="916"/>
  <c r="R22" i="916"/>
  <c r="N22" i="916"/>
  <c r="J22" i="916"/>
  <c r="AF21" i="916"/>
  <c r="AB21" i="916"/>
  <c r="Q21" i="916"/>
  <c r="P21" i="916"/>
  <c r="AC21" i="916" s="1"/>
  <c r="AD21" i="916" s="1"/>
  <c r="O21" i="916"/>
  <c r="M21" i="916"/>
  <c r="K21" i="916"/>
  <c r="AF20" i="916"/>
  <c r="Q20" i="916"/>
  <c r="P20" i="916" s="1"/>
  <c r="AC20" i="916" s="1"/>
  <c r="O20" i="916"/>
  <c r="AF19" i="916"/>
  <c r="Q19" i="916"/>
  <c r="P19" i="916" s="1"/>
  <c r="AC19" i="916" s="1"/>
  <c r="O19" i="916"/>
  <c r="AB19" i="916"/>
  <c r="I19" i="916"/>
  <c r="I22" i="916" s="1"/>
  <c r="AF18" i="916"/>
  <c r="AB18" i="916"/>
  <c r="Q18" i="916"/>
  <c r="P18" i="916"/>
  <c r="AC18" i="916" s="1"/>
  <c r="O18" i="916"/>
  <c r="M18" i="916"/>
  <c r="K18" i="916"/>
  <c r="AF17" i="916"/>
  <c r="Q17" i="916"/>
  <c r="P17" i="916"/>
  <c r="AC17" i="916" s="1"/>
  <c r="AF16" i="916"/>
  <c r="AB16" i="916"/>
  <c r="Q16" i="916"/>
  <c r="P16" i="916"/>
  <c r="AC16" i="916" s="1"/>
  <c r="O16" i="916"/>
  <c r="M16" i="916"/>
  <c r="K16" i="916"/>
  <c r="AF15" i="916"/>
  <c r="AC15" i="916"/>
  <c r="AB15" i="916"/>
  <c r="Q15" i="916"/>
  <c r="P15" i="916"/>
  <c r="O15" i="916"/>
  <c r="M15" i="916"/>
  <c r="K15" i="916"/>
  <c r="AF14" i="916"/>
  <c r="AB14" i="916"/>
  <c r="Q14" i="916"/>
  <c r="P14" i="916"/>
  <c r="AC14" i="916" s="1"/>
  <c r="O14" i="916"/>
  <c r="M14" i="916"/>
  <c r="K14" i="916"/>
  <c r="AF13" i="916"/>
  <c r="AB13" i="916"/>
  <c r="Q13" i="916"/>
  <c r="P13" i="916"/>
  <c r="AC13" i="916" s="1"/>
  <c r="O13" i="916"/>
  <c r="M13" i="916"/>
  <c r="K13" i="916"/>
  <c r="AF11" i="916"/>
  <c r="Q11" i="916"/>
  <c r="P11" i="916" s="1"/>
  <c r="AC11" i="916" s="1"/>
  <c r="O11" i="916"/>
  <c r="AF10" i="916"/>
  <c r="Q10" i="916"/>
  <c r="P10" i="916"/>
  <c r="AC10" i="916" s="1"/>
  <c r="O10" i="916"/>
  <c r="AB10" i="916"/>
  <c r="AF9" i="916"/>
  <c r="AB9" i="916"/>
  <c r="Q9" i="916"/>
  <c r="P9" i="916" s="1"/>
  <c r="AC9" i="916" s="1"/>
  <c r="O9" i="916"/>
  <c r="M9" i="916"/>
  <c r="AF8" i="916"/>
  <c r="Q8" i="916"/>
  <c r="P8" i="916"/>
  <c r="AC8" i="916" s="1"/>
  <c r="AF7" i="916"/>
  <c r="Q7" i="916"/>
  <c r="P7" i="916"/>
  <c r="AC7" i="916" s="1"/>
  <c r="L22" i="916"/>
  <c r="O22" i="916" s="1"/>
  <c r="AF6" i="916"/>
  <c r="Q6" i="916"/>
  <c r="P6" i="916"/>
  <c r="AC6" i="916" s="1"/>
  <c r="O6" i="916"/>
  <c r="AB6" i="916"/>
  <c r="AD21" i="920" l="1"/>
  <c r="AE17" i="920" s="1"/>
  <c r="AD9" i="919"/>
  <c r="M21" i="919"/>
  <c r="AB21" i="919"/>
  <c r="AC21" i="919"/>
  <c r="AD7" i="919"/>
  <c r="AD13" i="919"/>
  <c r="P21" i="919"/>
  <c r="AD13" i="918"/>
  <c r="AD20" i="918"/>
  <c r="AB22" i="918"/>
  <c r="AD7" i="918"/>
  <c r="M22" i="918"/>
  <c r="AC22" i="918"/>
  <c r="AD6" i="918"/>
  <c r="AB21" i="917"/>
  <c r="AD16" i="917"/>
  <c r="M21" i="917"/>
  <c r="AD9" i="917"/>
  <c r="AC21" i="917"/>
  <c r="AD6" i="917"/>
  <c r="P21" i="917"/>
  <c r="AD12" i="916"/>
  <c r="M12" i="916"/>
  <c r="AD15" i="916"/>
  <c r="Q22" i="916"/>
  <c r="AD9" i="916"/>
  <c r="AD14" i="916"/>
  <c r="P22" i="916"/>
  <c r="AD13" i="916"/>
  <c r="AD16" i="916"/>
  <c r="AD18" i="916"/>
  <c r="AC22" i="916"/>
  <c r="AD10" i="916"/>
  <c r="AD19" i="916"/>
  <c r="AB8" i="916"/>
  <c r="M17" i="916"/>
  <c r="M7" i="916"/>
  <c r="AB7" i="916"/>
  <c r="O8" i="916"/>
  <c r="M11" i="916"/>
  <c r="AB11" i="916"/>
  <c r="AD11" i="916" s="1"/>
  <c r="O17" i="916"/>
  <c r="M20" i="916"/>
  <c r="AB20" i="916"/>
  <c r="AD20" i="916" s="1"/>
  <c r="AD6" i="916"/>
  <c r="M8" i="916"/>
  <c r="AB17" i="916"/>
  <c r="M6" i="916"/>
  <c r="O7" i="916"/>
  <c r="K22" i="916"/>
  <c r="M10" i="916"/>
  <c r="M19" i="916"/>
  <c r="Z17" i="16"/>
  <c r="Z16" i="16"/>
  <c r="Z15" i="16"/>
  <c r="Z14" i="16"/>
  <c r="Z13" i="16"/>
  <c r="Z12" i="16"/>
  <c r="Z11" i="16"/>
  <c r="Z10" i="16"/>
  <c r="Z8" i="16"/>
  <c r="Z7" i="16"/>
  <c r="Z6" i="16"/>
  <c r="Z5" i="16"/>
  <c r="Z4" i="16"/>
  <c r="Z3" i="16"/>
  <c r="L19" i="915"/>
  <c r="K19" i="915" s="1"/>
  <c r="L18" i="915"/>
  <c r="K18" i="915" s="1"/>
  <c r="I18" i="915"/>
  <c r="L16" i="915"/>
  <c r="K16" i="915" s="1"/>
  <c r="L11" i="915"/>
  <c r="K11" i="915" s="1"/>
  <c r="L10" i="915"/>
  <c r="L9" i="915"/>
  <c r="K9" i="915" s="1"/>
  <c r="L8" i="915"/>
  <c r="L7" i="915"/>
  <c r="L6" i="915"/>
  <c r="K6" i="915" s="1"/>
  <c r="K17" i="915"/>
  <c r="K13" i="915"/>
  <c r="K12" i="915"/>
  <c r="K8" i="915"/>
  <c r="K7" i="915"/>
  <c r="A74" i="915"/>
  <c r="A75" i="915" s="1"/>
  <c r="A76" i="915" s="1"/>
  <c r="A77" i="915" s="1"/>
  <c r="A78" i="915" s="1"/>
  <c r="A79" i="915" s="1"/>
  <c r="A80" i="915" s="1"/>
  <c r="A81" i="915" s="1"/>
  <c r="AF60" i="915"/>
  <c r="AF59" i="915"/>
  <c r="AA21" i="915"/>
  <c r="Z21" i="915"/>
  <c r="Y21" i="915"/>
  <c r="X21" i="915"/>
  <c r="W21" i="915"/>
  <c r="V21" i="915"/>
  <c r="U21" i="915"/>
  <c r="T21" i="915"/>
  <c r="S21" i="915"/>
  <c r="R21" i="915"/>
  <c r="N21" i="915"/>
  <c r="J21" i="915"/>
  <c r="I21" i="915"/>
  <c r="AF20" i="915"/>
  <c r="AB20" i="915"/>
  <c r="Q20" i="915"/>
  <c r="P20" i="915"/>
  <c r="AC20" i="915" s="1"/>
  <c r="AD20" i="915" s="1"/>
  <c r="O20" i="915"/>
  <c r="M20" i="915"/>
  <c r="K20" i="915"/>
  <c r="AF19" i="915"/>
  <c r="Q19" i="915"/>
  <c r="P19" i="915" s="1"/>
  <c r="AC19" i="915" s="1"/>
  <c r="AF18" i="915"/>
  <c r="AB18" i="915"/>
  <c r="Q18" i="915"/>
  <c r="P18" i="915" s="1"/>
  <c r="AC18" i="915" s="1"/>
  <c r="O18" i="915"/>
  <c r="M18" i="915"/>
  <c r="AF17" i="915"/>
  <c r="AB17" i="915"/>
  <c r="Q17" i="915"/>
  <c r="P17" i="915" s="1"/>
  <c r="AC17" i="915" s="1"/>
  <c r="AD17" i="915" s="1"/>
  <c r="O17" i="915"/>
  <c r="M17" i="915"/>
  <c r="AF16" i="915"/>
  <c r="Q16" i="915"/>
  <c r="P16" i="915" s="1"/>
  <c r="AC16" i="915" s="1"/>
  <c r="O16" i="915"/>
  <c r="AB16" i="915"/>
  <c r="AF15" i="915"/>
  <c r="AB15" i="915"/>
  <c r="Q15" i="915"/>
  <c r="P15" i="915"/>
  <c r="AC15" i="915" s="1"/>
  <c r="O15" i="915"/>
  <c r="M15" i="915"/>
  <c r="K15" i="915"/>
  <c r="AF14" i="915"/>
  <c r="AB14" i="915"/>
  <c r="Q14" i="915"/>
  <c r="P14" i="915"/>
  <c r="AC14" i="915" s="1"/>
  <c r="O14" i="915"/>
  <c r="M14" i="915"/>
  <c r="K14" i="915"/>
  <c r="AF13" i="915"/>
  <c r="AB13" i="915"/>
  <c r="Q13" i="915"/>
  <c r="P13" i="915"/>
  <c r="AC13" i="915" s="1"/>
  <c r="O13" i="915"/>
  <c r="M13" i="915"/>
  <c r="AF12" i="915"/>
  <c r="Q12" i="915"/>
  <c r="P12" i="915" s="1"/>
  <c r="AC12" i="915" s="1"/>
  <c r="AF11" i="915"/>
  <c r="AB11" i="915"/>
  <c r="Q11" i="915"/>
  <c r="P11" i="915" s="1"/>
  <c r="AC11" i="915" s="1"/>
  <c r="O11" i="915"/>
  <c r="M11" i="915"/>
  <c r="AF10" i="915"/>
  <c r="AB10" i="915"/>
  <c r="Q10" i="915"/>
  <c r="P10" i="915" s="1"/>
  <c r="AC10" i="915" s="1"/>
  <c r="O10" i="915"/>
  <c r="M10" i="915"/>
  <c r="K10" i="915"/>
  <c r="AF9" i="915"/>
  <c r="Q9" i="915"/>
  <c r="P9" i="915" s="1"/>
  <c r="AC9" i="915" s="1"/>
  <c r="O9" i="915"/>
  <c r="AB9" i="915"/>
  <c r="AF8" i="915"/>
  <c r="Q8" i="915"/>
  <c r="P8" i="915" s="1"/>
  <c r="AC8" i="915" s="1"/>
  <c r="AF7" i="915"/>
  <c r="Q7" i="915"/>
  <c r="P7" i="915"/>
  <c r="AC7" i="915" s="1"/>
  <c r="O7" i="915"/>
  <c r="AB7" i="915"/>
  <c r="AF6" i="915"/>
  <c r="AB6" i="915"/>
  <c r="Q6" i="915"/>
  <c r="O6" i="915"/>
  <c r="M6" i="915"/>
  <c r="L21" i="915"/>
  <c r="O21" i="915" s="1"/>
  <c r="AE18" i="920" l="1"/>
  <c r="AE15" i="920"/>
  <c r="AE8" i="920"/>
  <c r="AE10" i="920"/>
  <c r="AE11" i="920"/>
  <c r="AE7" i="920"/>
  <c r="AE19" i="920"/>
  <c r="AE9" i="920"/>
  <c r="AE14" i="920"/>
  <c r="AE20" i="920"/>
  <c r="AE6" i="920"/>
  <c r="AE12" i="920"/>
  <c r="AE16" i="920"/>
  <c r="AE13" i="920"/>
  <c r="AD21" i="919"/>
  <c r="AE8" i="919" s="1"/>
  <c r="AD22" i="918"/>
  <c r="AD21" i="917"/>
  <c r="AE13" i="917" s="1"/>
  <c r="AD8" i="916"/>
  <c r="AD7" i="916"/>
  <c r="AD17" i="916"/>
  <c r="M22" i="916"/>
  <c r="AB22" i="916"/>
  <c r="AD15" i="915"/>
  <c r="AD18" i="915"/>
  <c r="AF62" i="915"/>
  <c r="Q21" i="915"/>
  <c r="AD16" i="915"/>
  <c r="AD13" i="915"/>
  <c r="AD11" i="915"/>
  <c r="AD10" i="915"/>
  <c r="AD14" i="915"/>
  <c r="AD7" i="915"/>
  <c r="AD9" i="915"/>
  <c r="P6" i="915"/>
  <c r="M8" i="915"/>
  <c r="AB8" i="915"/>
  <c r="M12" i="915"/>
  <c r="AB12" i="915"/>
  <c r="M19" i="915"/>
  <c r="AB19" i="915"/>
  <c r="M7" i="915"/>
  <c r="O8" i="915"/>
  <c r="M9" i="915"/>
  <c r="O12" i="915"/>
  <c r="M16" i="915"/>
  <c r="O19" i="915"/>
  <c r="K21" i="915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914"/>
  <c r="L17" i="914"/>
  <c r="L13" i="914"/>
  <c r="AB13" i="914" s="1"/>
  <c r="L10" i="914"/>
  <c r="AF10" i="914"/>
  <c r="AB10" i="914"/>
  <c r="Q10" i="914"/>
  <c r="P10" i="914" s="1"/>
  <c r="AC10" i="914" s="1"/>
  <c r="O10" i="914"/>
  <c r="M10" i="914"/>
  <c r="K10" i="914"/>
  <c r="L8" i="914"/>
  <c r="K8" i="914" s="1"/>
  <c r="L7" i="914"/>
  <c r="K7" i="914" s="1"/>
  <c r="L6" i="914"/>
  <c r="K6" i="914" s="1"/>
  <c r="K21" i="914"/>
  <c r="K20" i="914"/>
  <c r="K19" i="914"/>
  <c r="K18" i="914"/>
  <c r="K17" i="914"/>
  <c r="K11" i="914"/>
  <c r="K9" i="914"/>
  <c r="A75" i="914"/>
  <c r="A76" i="914" s="1"/>
  <c r="A77" i="914" s="1"/>
  <c r="A78" i="914" s="1"/>
  <c r="A79" i="914" s="1"/>
  <c r="A80" i="914" s="1"/>
  <c r="A81" i="914" s="1"/>
  <c r="A82" i="914" s="1"/>
  <c r="AF63" i="914"/>
  <c r="AF61" i="914"/>
  <c r="AF60" i="914"/>
  <c r="AA22" i="914"/>
  <c r="Z22" i="914"/>
  <c r="Y22" i="914"/>
  <c r="X22" i="914"/>
  <c r="W22" i="914"/>
  <c r="V22" i="914"/>
  <c r="U22" i="914"/>
  <c r="T22" i="914"/>
  <c r="S22" i="914"/>
  <c r="R22" i="914"/>
  <c r="N22" i="914"/>
  <c r="J22" i="914"/>
  <c r="I22" i="914"/>
  <c r="AF21" i="914"/>
  <c r="Q21" i="914"/>
  <c r="O21" i="914"/>
  <c r="AB21" i="914"/>
  <c r="AF20" i="914"/>
  <c r="AB20" i="914"/>
  <c r="Q20" i="914"/>
  <c r="M20" i="914"/>
  <c r="P20" i="914"/>
  <c r="AC20" i="914" s="1"/>
  <c r="AF19" i="914"/>
  <c r="AB19" i="914"/>
  <c r="Q19" i="914"/>
  <c r="P19" i="914" s="1"/>
  <c r="AC19" i="914" s="1"/>
  <c r="O19" i="914"/>
  <c r="M19" i="914"/>
  <c r="AF18" i="914"/>
  <c r="Q18" i="914"/>
  <c r="O18" i="914"/>
  <c r="AB18" i="914"/>
  <c r="AF17" i="914"/>
  <c r="AB17" i="914"/>
  <c r="Q17" i="914"/>
  <c r="P17" i="914" s="1"/>
  <c r="AC17" i="914" s="1"/>
  <c r="M17" i="914"/>
  <c r="AF16" i="914"/>
  <c r="AB16" i="914"/>
  <c r="Q16" i="914"/>
  <c r="P16" i="914"/>
  <c r="AC16" i="914" s="1"/>
  <c r="O16" i="914"/>
  <c r="M16" i="914"/>
  <c r="K16" i="914"/>
  <c r="AF15" i="914"/>
  <c r="AB15" i="914"/>
  <c r="Q15" i="914"/>
  <c r="P15" i="914"/>
  <c r="AC15" i="914" s="1"/>
  <c r="O15" i="914"/>
  <c r="M15" i="914"/>
  <c r="K15" i="914"/>
  <c r="AF14" i="914"/>
  <c r="AB14" i="914"/>
  <c r="Q14" i="914"/>
  <c r="P14" i="914" s="1"/>
  <c r="AC14" i="914" s="1"/>
  <c r="O14" i="914"/>
  <c r="M14" i="914"/>
  <c r="K14" i="914"/>
  <c r="AF13" i="914"/>
  <c r="Q13" i="914"/>
  <c r="M13" i="914"/>
  <c r="AF12" i="914"/>
  <c r="AB12" i="914"/>
  <c r="Q12" i="914"/>
  <c r="P12" i="914"/>
  <c r="AC12" i="914" s="1"/>
  <c r="O12" i="914"/>
  <c r="M12" i="914"/>
  <c r="K12" i="914"/>
  <c r="AF11" i="914"/>
  <c r="Q11" i="914"/>
  <c r="O11" i="914"/>
  <c r="AB11" i="914"/>
  <c r="AF9" i="914"/>
  <c r="AB9" i="914"/>
  <c r="Q9" i="914"/>
  <c r="P9" i="914" s="1"/>
  <c r="AC9" i="914" s="1"/>
  <c r="M9" i="914"/>
  <c r="AF8" i="914"/>
  <c r="Q8" i="914"/>
  <c r="P8" i="914" s="1"/>
  <c r="AC8" i="914" s="1"/>
  <c r="AF7" i="914"/>
  <c r="AB7" i="914"/>
  <c r="Q7" i="914"/>
  <c r="P7" i="914" s="1"/>
  <c r="AC7" i="914" s="1"/>
  <c r="O7" i="914"/>
  <c r="M7" i="914"/>
  <c r="AF6" i="914"/>
  <c r="Q6" i="914"/>
  <c r="AE15" i="919" l="1"/>
  <c r="AE17" i="919"/>
  <c r="AE16" i="919"/>
  <c r="AE7" i="919"/>
  <c r="AE18" i="919"/>
  <c r="AE20" i="919"/>
  <c r="AE19" i="919"/>
  <c r="AE11" i="919"/>
  <c r="AE6" i="919"/>
  <c r="AE9" i="919"/>
  <c r="AE12" i="919"/>
  <c r="AE14" i="919"/>
  <c r="AE10" i="919"/>
  <c r="AE13" i="919"/>
  <c r="AE13" i="918"/>
  <c r="AE19" i="918"/>
  <c r="AE8" i="918"/>
  <c r="AE6" i="918"/>
  <c r="AE18" i="918"/>
  <c r="AE10" i="918"/>
  <c r="AE9" i="918"/>
  <c r="AE11" i="918"/>
  <c r="AE12" i="918"/>
  <c r="AE14" i="918"/>
  <c r="AE15" i="918"/>
  <c r="AE17" i="918"/>
  <c r="AE21" i="918"/>
  <c r="AE20" i="918"/>
  <c r="AE16" i="918"/>
  <c r="AE7" i="918"/>
  <c r="AE6" i="917"/>
  <c r="AE7" i="917"/>
  <c r="AE8" i="917"/>
  <c r="AE20" i="917"/>
  <c r="AE10" i="917"/>
  <c r="AE15" i="917"/>
  <c r="AE17" i="917"/>
  <c r="AE16" i="917"/>
  <c r="AE12" i="917"/>
  <c r="AE19" i="917"/>
  <c r="AE11" i="917"/>
  <c r="AE9" i="917"/>
  <c r="AE18" i="917"/>
  <c r="AE14" i="917"/>
  <c r="AD22" i="916"/>
  <c r="AD12" i="915"/>
  <c r="Z9" i="16" s="1"/>
  <c r="M21" i="915"/>
  <c r="AD19" i="915"/>
  <c r="AD8" i="915"/>
  <c r="AB21" i="915"/>
  <c r="P21" i="915"/>
  <c r="AC6" i="915"/>
  <c r="O13" i="914"/>
  <c r="K13" i="914"/>
  <c r="P13" i="914"/>
  <c r="AC13" i="914" s="1"/>
  <c r="L22" i="914"/>
  <c r="O22" i="914" s="1"/>
  <c r="AD10" i="914"/>
  <c r="AD15" i="914"/>
  <c r="AD16" i="914"/>
  <c r="Q22" i="914"/>
  <c r="O6" i="914"/>
  <c r="AD12" i="914"/>
  <c r="AD19" i="914"/>
  <c r="AD14" i="914"/>
  <c r="AD7" i="914"/>
  <c r="P6" i="914"/>
  <c r="M8" i="914"/>
  <c r="AB8" i="914"/>
  <c r="O9" i="914"/>
  <c r="AD9" i="914" s="1"/>
  <c r="P11" i="914"/>
  <c r="AC11" i="914" s="1"/>
  <c r="AD11" i="914" s="1"/>
  <c r="O17" i="914"/>
  <c r="AD17" i="914" s="1"/>
  <c r="P18" i="914"/>
  <c r="AC18" i="914" s="1"/>
  <c r="AD18" i="914" s="1"/>
  <c r="O20" i="914"/>
  <c r="AD20" i="914" s="1"/>
  <c r="P21" i="914"/>
  <c r="AC21" i="914" s="1"/>
  <c r="AD21" i="914" s="1"/>
  <c r="O8" i="914"/>
  <c r="M6" i="914"/>
  <c r="AB6" i="914"/>
  <c r="M11" i="914"/>
  <c r="M18" i="914"/>
  <c r="M21" i="914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0" i="913"/>
  <c r="K20" i="913" s="1"/>
  <c r="L19" i="913"/>
  <c r="L17" i="913"/>
  <c r="L16" i="913"/>
  <c r="K13" i="913"/>
  <c r="L10" i="913"/>
  <c r="K10" i="913" s="1"/>
  <c r="L9" i="913"/>
  <c r="K9" i="913" s="1"/>
  <c r="L8" i="913"/>
  <c r="K8" i="913" s="1"/>
  <c r="L7" i="913"/>
  <c r="K7" i="913" s="1"/>
  <c r="L6" i="913"/>
  <c r="K6" i="913" s="1"/>
  <c r="K18" i="913"/>
  <c r="K17" i="913"/>
  <c r="K16" i="913"/>
  <c r="K12" i="913"/>
  <c r="A74" i="913"/>
  <c r="A75" i="913" s="1"/>
  <c r="A76" i="913" s="1"/>
  <c r="A77" i="913" s="1"/>
  <c r="A78" i="913" s="1"/>
  <c r="A79" i="913" s="1"/>
  <c r="A80" i="913" s="1"/>
  <c r="A81" i="913" s="1"/>
  <c r="AF60" i="913"/>
  <c r="AF59" i="913"/>
  <c r="AA21" i="913"/>
  <c r="Z21" i="913"/>
  <c r="Y21" i="913"/>
  <c r="X21" i="913"/>
  <c r="W21" i="913"/>
  <c r="V21" i="913"/>
  <c r="U21" i="913"/>
  <c r="T21" i="913"/>
  <c r="S21" i="913"/>
  <c r="R21" i="913"/>
  <c r="N21" i="913"/>
  <c r="J21" i="913"/>
  <c r="I21" i="913"/>
  <c r="AF20" i="913"/>
  <c r="AB20" i="913"/>
  <c r="Q20" i="913"/>
  <c r="O20" i="913"/>
  <c r="M20" i="913"/>
  <c r="P20" i="913"/>
  <c r="AC20" i="913" s="1"/>
  <c r="AD20" i="913" s="1"/>
  <c r="AF19" i="913"/>
  <c r="AB19" i="913"/>
  <c r="Q19" i="913"/>
  <c r="P19" i="913" s="1"/>
  <c r="AC19" i="913" s="1"/>
  <c r="O19" i="913"/>
  <c r="M19" i="913"/>
  <c r="K19" i="913"/>
  <c r="AF18" i="913"/>
  <c r="AB18" i="913"/>
  <c r="Q18" i="913"/>
  <c r="P18" i="913" s="1"/>
  <c r="AC18" i="913" s="1"/>
  <c r="O18" i="913"/>
  <c r="M18" i="913"/>
  <c r="AF17" i="913"/>
  <c r="AB17" i="913"/>
  <c r="Q17" i="913"/>
  <c r="P17" i="913" s="1"/>
  <c r="AC17" i="913" s="1"/>
  <c r="O17" i="913"/>
  <c r="M17" i="913"/>
  <c r="AF16" i="913"/>
  <c r="Q16" i="913"/>
  <c r="AB16" i="913"/>
  <c r="AF15" i="913"/>
  <c r="AB15" i="913"/>
  <c r="Q15" i="913"/>
  <c r="P15" i="913"/>
  <c r="AC15" i="913" s="1"/>
  <c r="O15" i="913"/>
  <c r="M15" i="913"/>
  <c r="K15" i="913"/>
  <c r="AF14" i="913"/>
  <c r="AC14" i="913"/>
  <c r="AB14" i="913"/>
  <c r="Q14" i="913"/>
  <c r="P14" i="913"/>
  <c r="O14" i="913"/>
  <c r="M14" i="913"/>
  <c r="K14" i="913"/>
  <c r="AF13" i="913"/>
  <c r="Q13" i="913"/>
  <c r="AB13" i="913"/>
  <c r="AF12" i="913"/>
  <c r="Q12" i="913"/>
  <c r="P12" i="913" s="1"/>
  <c r="AC12" i="913" s="1"/>
  <c r="O12" i="913"/>
  <c r="AF11" i="913"/>
  <c r="AB11" i="913"/>
  <c r="Q11" i="913"/>
  <c r="P11" i="913"/>
  <c r="AC11" i="913" s="1"/>
  <c r="O11" i="913"/>
  <c r="M11" i="913"/>
  <c r="K11" i="913"/>
  <c r="AF10" i="913"/>
  <c r="Q10" i="913"/>
  <c r="AB10" i="913"/>
  <c r="AF9" i="913"/>
  <c r="Q9" i="913"/>
  <c r="P9" i="913"/>
  <c r="AC9" i="913" s="1"/>
  <c r="O9" i="913"/>
  <c r="AF8" i="913"/>
  <c r="AB8" i="913"/>
  <c r="Q8" i="913"/>
  <c r="P8" i="913" s="1"/>
  <c r="AC8" i="913" s="1"/>
  <c r="O8" i="913"/>
  <c r="M8" i="913"/>
  <c r="AF7" i="913"/>
  <c r="AB7" i="913"/>
  <c r="Q7" i="913"/>
  <c r="O7" i="913"/>
  <c r="M7" i="913"/>
  <c r="P7" i="913"/>
  <c r="AC7" i="913" s="1"/>
  <c r="AF6" i="913"/>
  <c r="Q6" i="913"/>
  <c r="AB6" i="913"/>
  <c r="AE17" i="916" l="1"/>
  <c r="AE12" i="916"/>
  <c r="AE7" i="916"/>
  <c r="AE19" i="916"/>
  <c r="AE6" i="916"/>
  <c r="AE21" i="916"/>
  <c r="AE18" i="916"/>
  <c r="AE15" i="916"/>
  <c r="AE20" i="916"/>
  <c r="AE11" i="916"/>
  <c r="AE9" i="916"/>
  <c r="AE8" i="916"/>
  <c r="AE16" i="916"/>
  <c r="AE10" i="916"/>
  <c r="AE14" i="916"/>
  <c r="AE13" i="916"/>
  <c r="AC21" i="915"/>
  <c r="AD6" i="915"/>
  <c r="AD21" i="915" s="1"/>
  <c r="Z18" i="16" s="1"/>
  <c r="AD13" i="914"/>
  <c r="AD8" i="914"/>
  <c r="AB22" i="914"/>
  <c r="M22" i="914"/>
  <c r="P22" i="914"/>
  <c r="AC6" i="914"/>
  <c r="K22" i="914"/>
  <c r="AD19" i="913"/>
  <c r="AF62" i="913"/>
  <c r="AD11" i="913"/>
  <c r="AD17" i="913"/>
  <c r="AD18" i="913"/>
  <c r="Q21" i="913"/>
  <c r="AD7" i="913"/>
  <c r="AD14" i="913"/>
  <c r="AD15" i="913"/>
  <c r="AD8" i="913"/>
  <c r="O6" i="913"/>
  <c r="M9" i="913"/>
  <c r="AB9" i="913"/>
  <c r="AD9" i="913" s="1"/>
  <c r="O10" i="913"/>
  <c r="M12" i="913"/>
  <c r="AB12" i="913"/>
  <c r="AD12" i="913" s="1"/>
  <c r="O13" i="913"/>
  <c r="O16" i="913"/>
  <c r="P6" i="913"/>
  <c r="P10" i="913"/>
  <c r="AC10" i="913" s="1"/>
  <c r="P13" i="913"/>
  <c r="AC13" i="913" s="1"/>
  <c r="AD13" i="913" s="1"/>
  <c r="P16" i="913"/>
  <c r="AC16" i="913" s="1"/>
  <c r="AD16" i="913" s="1"/>
  <c r="L21" i="913"/>
  <c r="O21" i="913" s="1"/>
  <c r="M6" i="913"/>
  <c r="M10" i="913"/>
  <c r="M13" i="913"/>
  <c r="M16" i="913"/>
  <c r="AE17" i="915" l="1"/>
  <c r="AE10" i="915"/>
  <c r="AE20" i="915"/>
  <c r="AE15" i="915"/>
  <c r="AE13" i="915"/>
  <c r="AE6" i="915"/>
  <c r="AE14" i="915"/>
  <c r="AE12" i="915"/>
  <c r="AE18" i="915"/>
  <c r="AE16" i="915"/>
  <c r="AE11" i="915"/>
  <c r="AE9" i="915"/>
  <c r="AE7" i="915"/>
  <c r="AE19" i="915"/>
  <c r="AE8" i="915"/>
  <c r="AC22" i="914"/>
  <c r="AD6" i="914"/>
  <c r="AD22" i="914" s="1"/>
  <c r="AE10" i="914" s="1"/>
  <c r="AD10" i="913"/>
  <c r="AB21" i="913"/>
  <c r="K21" i="913"/>
  <c r="M21" i="913"/>
  <c r="P21" i="913"/>
  <c r="AC6" i="913"/>
  <c r="AE19" i="914" l="1"/>
  <c r="AE16" i="914"/>
  <c r="AE20" i="914"/>
  <c r="AE17" i="914"/>
  <c r="AE9" i="914"/>
  <c r="AE14" i="914"/>
  <c r="AE21" i="914"/>
  <c r="AE18" i="914"/>
  <c r="AE15" i="914"/>
  <c r="AE13" i="914"/>
  <c r="AE11" i="914"/>
  <c r="AE6" i="914"/>
  <c r="AE8" i="914"/>
  <c r="AE7" i="914"/>
  <c r="AE12" i="914"/>
  <c r="AC21" i="913"/>
  <c r="AD6" i="913"/>
  <c r="AD21" i="913" s="1"/>
  <c r="AE15" i="913" l="1"/>
  <c r="AE12" i="913"/>
  <c r="AE9" i="913"/>
  <c r="AE19" i="913"/>
  <c r="AE16" i="913"/>
  <c r="AE13" i="913"/>
  <c r="AE10" i="913"/>
  <c r="AE6" i="913"/>
  <c r="AE20" i="913"/>
  <c r="AE17" i="913"/>
  <c r="AE14" i="913"/>
  <c r="AE7" i="913"/>
  <c r="AE18" i="913"/>
  <c r="AE11" i="913"/>
  <c r="AE8" i="913"/>
  <c r="V18" i="16" l="1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AE18" i="906"/>
  <c r="AE19" i="906"/>
  <c r="AE18" i="907"/>
  <c r="AE17" i="908"/>
  <c r="AE17" i="909"/>
  <c r="AE18" i="909"/>
  <c r="AE20" i="910"/>
  <c r="AE21" i="910"/>
  <c r="AE18" i="911"/>
  <c r="AE19" i="911"/>
  <c r="AE19" i="912"/>
  <c r="L22" i="912"/>
  <c r="K22" i="912" s="1"/>
  <c r="L20" i="912"/>
  <c r="L19" i="912"/>
  <c r="L18" i="912"/>
  <c r="L14" i="912"/>
  <c r="K14" i="912" s="1"/>
  <c r="K15" i="912"/>
  <c r="AF15" i="912"/>
  <c r="AB15" i="912"/>
  <c r="Q15" i="912"/>
  <c r="P15" i="912" s="1"/>
  <c r="AC15" i="912" s="1"/>
  <c r="M15" i="912"/>
  <c r="AF14" i="912"/>
  <c r="Q14" i="912"/>
  <c r="P14" i="912" s="1"/>
  <c r="AC14" i="912" s="1"/>
  <c r="L13" i="912"/>
  <c r="L12" i="912"/>
  <c r="L10" i="912"/>
  <c r="K10" i="912" s="1"/>
  <c r="L9" i="912"/>
  <c r="L8" i="912"/>
  <c r="L7" i="912"/>
  <c r="K7" i="912" s="1"/>
  <c r="L6" i="912"/>
  <c r="K6" i="912" s="1"/>
  <c r="K20" i="912"/>
  <c r="K19" i="912"/>
  <c r="K18" i="912"/>
  <c r="K13" i="912"/>
  <c r="K12" i="912"/>
  <c r="K9" i="912"/>
  <c r="A76" i="912"/>
  <c r="A77" i="912" s="1"/>
  <c r="A78" i="912" s="1"/>
  <c r="A79" i="912" s="1"/>
  <c r="A80" i="912" s="1"/>
  <c r="A81" i="912" s="1"/>
  <c r="A82" i="912" s="1"/>
  <c r="A83" i="912" s="1"/>
  <c r="AF62" i="912"/>
  <c r="AF61" i="912"/>
  <c r="AF64" i="912" s="1"/>
  <c r="AA23" i="912"/>
  <c r="Z23" i="912"/>
  <c r="Y23" i="912"/>
  <c r="X23" i="912"/>
  <c r="W23" i="912"/>
  <c r="V23" i="912"/>
  <c r="U23" i="912"/>
  <c r="T23" i="912"/>
  <c r="S23" i="912"/>
  <c r="R23" i="912"/>
  <c r="N23" i="912"/>
  <c r="J23" i="912"/>
  <c r="I23" i="912"/>
  <c r="AF22" i="912"/>
  <c r="Q22" i="912"/>
  <c r="O22" i="912"/>
  <c r="AF21" i="912"/>
  <c r="AB21" i="912"/>
  <c r="Q21" i="912"/>
  <c r="P21" i="912"/>
  <c r="AC21" i="912" s="1"/>
  <c r="AD21" i="912" s="1"/>
  <c r="O21" i="912"/>
  <c r="M21" i="912"/>
  <c r="K21" i="912"/>
  <c r="AF20" i="912"/>
  <c r="AB20" i="912"/>
  <c r="Q20" i="912"/>
  <c r="M20" i="912"/>
  <c r="P20" i="912"/>
  <c r="AC20" i="912" s="1"/>
  <c r="AF19" i="912"/>
  <c r="Q19" i="912"/>
  <c r="O19" i="912"/>
  <c r="AF18" i="912"/>
  <c r="Q18" i="912"/>
  <c r="P18" i="912" s="1"/>
  <c r="AC18" i="912" s="1"/>
  <c r="O18" i="912"/>
  <c r="AB18" i="912"/>
  <c r="AF17" i="912"/>
  <c r="AB17" i="912"/>
  <c r="Q17" i="912"/>
  <c r="P17" i="912"/>
  <c r="AC17" i="912" s="1"/>
  <c r="O17" i="912"/>
  <c r="M17" i="912"/>
  <c r="K17" i="912"/>
  <c r="AF16" i="912"/>
  <c r="AB16" i="912"/>
  <c r="Q16" i="912"/>
  <c r="P16" i="912"/>
  <c r="AC16" i="912" s="1"/>
  <c r="O16" i="912"/>
  <c r="M16" i="912"/>
  <c r="K16" i="912"/>
  <c r="AF13" i="912"/>
  <c r="Q13" i="912"/>
  <c r="O13" i="912"/>
  <c r="AF12" i="912"/>
  <c r="Q12" i="912"/>
  <c r="P12" i="912" s="1"/>
  <c r="AC12" i="912" s="1"/>
  <c r="O12" i="912"/>
  <c r="AB12" i="912"/>
  <c r="AF11" i="912"/>
  <c r="AC11" i="912"/>
  <c r="AB11" i="912"/>
  <c r="Q11" i="912"/>
  <c r="P11" i="912"/>
  <c r="O11" i="912"/>
  <c r="M11" i="912"/>
  <c r="K11" i="912"/>
  <c r="AF10" i="912"/>
  <c r="Q10" i="912"/>
  <c r="O10" i="912"/>
  <c r="AF9" i="912"/>
  <c r="Q9" i="912"/>
  <c r="P9" i="912"/>
  <c r="AC9" i="912" s="1"/>
  <c r="O9" i="912"/>
  <c r="AB9" i="912"/>
  <c r="AF8" i="912"/>
  <c r="AB8" i="912"/>
  <c r="Q8" i="912"/>
  <c r="P8" i="912" s="1"/>
  <c r="AC8" i="912" s="1"/>
  <c r="O8" i="912"/>
  <c r="M8" i="912"/>
  <c r="K8" i="912"/>
  <c r="AF7" i="912"/>
  <c r="Q7" i="912"/>
  <c r="O7" i="912"/>
  <c r="AF6" i="912"/>
  <c r="Q6" i="912"/>
  <c r="P6" i="912" s="1"/>
  <c r="O6" i="912"/>
  <c r="AB6" i="912"/>
  <c r="AD15" i="912" l="1"/>
  <c r="M14" i="912"/>
  <c r="AB14" i="912"/>
  <c r="AD14" i="912" s="1"/>
  <c r="O15" i="912"/>
  <c r="O14" i="912"/>
  <c r="AD9" i="912"/>
  <c r="AD8" i="912"/>
  <c r="Q23" i="912"/>
  <c r="AD11" i="912"/>
  <c r="AD17" i="912"/>
  <c r="AD16" i="912"/>
  <c r="AD12" i="912"/>
  <c r="AD18" i="912"/>
  <c r="AC6" i="912"/>
  <c r="K23" i="912"/>
  <c r="P7" i="912"/>
  <c r="AC7" i="912" s="1"/>
  <c r="P10" i="912"/>
  <c r="AC10" i="912" s="1"/>
  <c r="P13" i="912"/>
  <c r="AC13" i="912" s="1"/>
  <c r="P19" i="912"/>
  <c r="AC19" i="912" s="1"/>
  <c r="P22" i="912"/>
  <c r="AC22" i="912" s="1"/>
  <c r="M7" i="912"/>
  <c r="AB7" i="912"/>
  <c r="M10" i="912"/>
  <c r="AB10" i="912"/>
  <c r="M13" i="912"/>
  <c r="AB13" i="912"/>
  <c r="M19" i="912"/>
  <c r="AB19" i="912"/>
  <c r="O20" i="912"/>
  <c r="AD20" i="912" s="1"/>
  <c r="M22" i="912"/>
  <c r="AB22" i="912"/>
  <c r="L23" i="912"/>
  <c r="O23" i="912" s="1"/>
  <c r="M6" i="912"/>
  <c r="M9" i="912"/>
  <c r="M12" i="912"/>
  <c r="M18" i="912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911"/>
  <c r="O21" i="911" s="1"/>
  <c r="L19" i="911"/>
  <c r="L18" i="911"/>
  <c r="L17" i="911"/>
  <c r="K17" i="911" s="1"/>
  <c r="AF17" i="911"/>
  <c r="AB17" i="911"/>
  <c r="Q17" i="911"/>
  <c r="P17" i="911" s="1"/>
  <c r="AC17" i="911" s="1"/>
  <c r="O17" i="911"/>
  <c r="M17" i="911"/>
  <c r="L13" i="911"/>
  <c r="K13" i="911" s="1"/>
  <c r="L12" i="911"/>
  <c r="K12" i="911" s="1"/>
  <c r="L10" i="911"/>
  <c r="K10" i="911" s="1"/>
  <c r="L9" i="911"/>
  <c r="K9" i="911" s="1"/>
  <c r="L7" i="911"/>
  <c r="K7" i="911" s="1"/>
  <c r="L6" i="911"/>
  <c r="K6" i="911" s="1"/>
  <c r="K20" i="911"/>
  <c r="K18" i="911"/>
  <c r="K16" i="911"/>
  <c r="K15" i="911"/>
  <c r="K14" i="911"/>
  <c r="K11" i="911"/>
  <c r="K8" i="911"/>
  <c r="A76" i="911"/>
  <c r="A77" i="911" s="1"/>
  <c r="A78" i="911" s="1"/>
  <c r="A79" i="911" s="1"/>
  <c r="A80" i="911" s="1"/>
  <c r="A81" i="911" s="1"/>
  <c r="A82" i="911" s="1"/>
  <c r="A75" i="911"/>
  <c r="AF61" i="911"/>
  <c r="AF60" i="911"/>
  <c r="AA22" i="911"/>
  <c r="Z22" i="911"/>
  <c r="Y22" i="911"/>
  <c r="X22" i="911"/>
  <c r="W22" i="911"/>
  <c r="V22" i="911"/>
  <c r="U22" i="911"/>
  <c r="T22" i="911"/>
  <c r="S22" i="911"/>
  <c r="R22" i="911"/>
  <c r="N22" i="911"/>
  <c r="J22" i="911"/>
  <c r="I22" i="911"/>
  <c r="AF21" i="911"/>
  <c r="Q21" i="911"/>
  <c r="AF20" i="911"/>
  <c r="Q20" i="911"/>
  <c r="P20" i="911"/>
  <c r="AC20" i="911" s="1"/>
  <c r="AB20" i="911"/>
  <c r="AF19" i="911"/>
  <c r="Q19" i="911"/>
  <c r="AF18" i="911"/>
  <c r="AB18" i="911"/>
  <c r="Q18" i="911"/>
  <c r="P18" i="911"/>
  <c r="AC18" i="911" s="1"/>
  <c r="O18" i="911"/>
  <c r="M18" i="911"/>
  <c r="AF16" i="911"/>
  <c r="Q16" i="911"/>
  <c r="O16" i="911"/>
  <c r="AF15" i="911"/>
  <c r="Q15" i="911"/>
  <c r="P15" i="911"/>
  <c r="AC15" i="911" s="1"/>
  <c r="AB15" i="911"/>
  <c r="AF14" i="911"/>
  <c r="Q14" i="911"/>
  <c r="P14" i="911"/>
  <c r="AC14" i="911" s="1"/>
  <c r="O14" i="911"/>
  <c r="AB14" i="911"/>
  <c r="AF13" i="911"/>
  <c r="AB13" i="911"/>
  <c r="Q13" i="911"/>
  <c r="P13" i="911" s="1"/>
  <c r="AC13" i="911" s="1"/>
  <c r="O13" i="911"/>
  <c r="M13" i="911"/>
  <c r="AF12" i="911"/>
  <c r="Q12" i="911"/>
  <c r="O12" i="911"/>
  <c r="AF11" i="911"/>
  <c r="Q11" i="911"/>
  <c r="P11" i="911"/>
  <c r="AC11" i="911" s="1"/>
  <c r="AB11" i="911"/>
  <c r="AF10" i="911"/>
  <c r="Q10" i="911"/>
  <c r="P10" i="911" s="1"/>
  <c r="AC10" i="911" s="1"/>
  <c r="O10" i="911"/>
  <c r="AB10" i="911"/>
  <c r="AF9" i="911"/>
  <c r="AB9" i="911"/>
  <c r="Q9" i="911"/>
  <c r="P9" i="911" s="1"/>
  <c r="AC9" i="911" s="1"/>
  <c r="O9" i="911"/>
  <c r="M9" i="911"/>
  <c r="AF8" i="911"/>
  <c r="Q8" i="911"/>
  <c r="O8" i="911"/>
  <c r="AF7" i="911"/>
  <c r="Q7" i="911"/>
  <c r="P7" i="911" s="1"/>
  <c r="AC7" i="911" s="1"/>
  <c r="AB7" i="911"/>
  <c r="AF6" i="911"/>
  <c r="Q6" i="911"/>
  <c r="P6" i="911"/>
  <c r="AC6" i="911" s="1"/>
  <c r="O6" i="911"/>
  <c r="L22" i="911"/>
  <c r="O22" i="911" s="1"/>
  <c r="AD10" i="912" l="1"/>
  <c r="AB23" i="912"/>
  <c r="AD19" i="912"/>
  <c r="AC23" i="912"/>
  <c r="AD6" i="912"/>
  <c r="M23" i="912"/>
  <c r="AD22" i="912"/>
  <c r="AD13" i="912"/>
  <c r="AD7" i="912"/>
  <c r="P23" i="912"/>
  <c r="K21" i="911"/>
  <c r="P19" i="911"/>
  <c r="AC19" i="911" s="1"/>
  <c r="AB19" i="911"/>
  <c r="K19" i="911"/>
  <c r="O19" i="911"/>
  <c r="AD19" i="911" s="1"/>
  <c r="AD17" i="911"/>
  <c r="AD18" i="911"/>
  <c r="AF63" i="911"/>
  <c r="AD13" i="911"/>
  <c r="AD9" i="911"/>
  <c r="Q22" i="911"/>
  <c r="AD10" i="911"/>
  <c r="AD14" i="911"/>
  <c r="AB12" i="911"/>
  <c r="M6" i="911"/>
  <c r="AB6" i="911"/>
  <c r="O7" i="911"/>
  <c r="AD7" i="911" s="1"/>
  <c r="K22" i="911"/>
  <c r="P8" i="911"/>
  <c r="AC8" i="911" s="1"/>
  <c r="M10" i="911"/>
  <c r="O11" i="911"/>
  <c r="AD11" i="911" s="1"/>
  <c r="P12" i="911"/>
  <c r="AC12" i="911" s="1"/>
  <c r="M14" i="911"/>
  <c r="O15" i="911"/>
  <c r="AD15" i="911" s="1"/>
  <c r="P16" i="911"/>
  <c r="AC16" i="911" s="1"/>
  <c r="M19" i="911"/>
  <c r="O20" i="911"/>
  <c r="AD20" i="911" s="1"/>
  <c r="P21" i="911"/>
  <c r="AC21" i="911" s="1"/>
  <c r="AB8" i="911"/>
  <c r="M16" i="911"/>
  <c r="AB16" i="911"/>
  <c r="M21" i="911"/>
  <c r="AB21" i="911"/>
  <c r="M8" i="911"/>
  <c r="M12" i="911"/>
  <c r="M7" i="911"/>
  <c r="M11" i="911"/>
  <c r="M15" i="911"/>
  <c r="M20" i="911"/>
  <c r="S18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3" i="910"/>
  <c r="O23" i="910" s="1"/>
  <c r="L22" i="910"/>
  <c r="O22" i="910" s="1"/>
  <c r="L21" i="910"/>
  <c r="K21" i="910" s="1"/>
  <c r="L20" i="910"/>
  <c r="K20" i="910" s="1"/>
  <c r="L19" i="910"/>
  <c r="L18" i="910"/>
  <c r="K18" i="910" s="1"/>
  <c r="L17" i="910"/>
  <c r="L16" i="910"/>
  <c r="K16" i="910" s="1"/>
  <c r="L15" i="910"/>
  <c r="K15" i="910" s="1"/>
  <c r="K14" i="910"/>
  <c r="AF16" i="910"/>
  <c r="AB16" i="910"/>
  <c r="Q16" i="910"/>
  <c r="P16" i="910" s="1"/>
  <c r="AC16" i="910" s="1"/>
  <c r="M16" i="910"/>
  <c r="AF15" i="910"/>
  <c r="Q15" i="910"/>
  <c r="AF14" i="910"/>
  <c r="Q14" i="910"/>
  <c r="P14" i="910" s="1"/>
  <c r="AC14" i="910" s="1"/>
  <c r="O14" i="910"/>
  <c r="L13" i="910"/>
  <c r="L12" i="910"/>
  <c r="K12" i="910" s="1"/>
  <c r="L11" i="910"/>
  <c r="K11" i="910" s="1"/>
  <c r="L10" i="910"/>
  <c r="K10" i="910" s="1"/>
  <c r="L9" i="910"/>
  <c r="K9" i="910" s="1"/>
  <c r="L8" i="910"/>
  <c r="K8" i="910" s="1"/>
  <c r="L7" i="910"/>
  <c r="K7" i="910" s="1"/>
  <c r="L6" i="910"/>
  <c r="K21" i="909"/>
  <c r="K22" i="910"/>
  <c r="K19" i="910"/>
  <c r="K17" i="910"/>
  <c r="K13" i="910"/>
  <c r="K6" i="910"/>
  <c r="A78" i="910"/>
  <c r="A79" i="910" s="1"/>
  <c r="A80" i="910" s="1"/>
  <c r="A81" i="910" s="1"/>
  <c r="A82" i="910" s="1"/>
  <c r="A83" i="910" s="1"/>
  <c r="A84" i="910" s="1"/>
  <c r="A77" i="910"/>
  <c r="AF63" i="910"/>
  <c r="AF62" i="910"/>
  <c r="AF65" i="910" s="1"/>
  <c r="AA24" i="910"/>
  <c r="Z24" i="910"/>
  <c r="Y24" i="910"/>
  <c r="X24" i="910"/>
  <c r="W24" i="910"/>
  <c r="V24" i="910"/>
  <c r="U24" i="910"/>
  <c r="T24" i="910"/>
  <c r="S24" i="910"/>
  <c r="R24" i="910"/>
  <c r="N24" i="910"/>
  <c r="I24" i="910"/>
  <c r="AF23" i="910"/>
  <c r="Q23" i="910"/>
  <c r="AF22" i="910"/>
  <c r="Q22" i="910"/>
  <c r="P22" i="910"/>
  <c r="AC22" i="910" s="1"/>
  <c r="AF21" i="910"/>
  <c r="AB21" i="910"/>
  <c r="Q21" i="910"/>
  <c r="M21" i="910"/>
  <c r="AF20" i="910"/>
  <c r="Q20" i="910"/>
  <c r="AF19" i="910"/>
  <c r="Q19" i="910"/>
  <c r="P19" i="910"/>
  <c r="AC19" i="910" s="1"/>
  <c r="AB19" i="910"/>
  <c r="AF18" i="910"/>
  <c r="Q18" i="910"/>
  <c r="AF17" i="910"/>
  <c r="AB17" i="910"/>
  <c r="Q17" i="910"/>
  <c r="P17" i="910"/>
  <c r="AC17" i="910" s="1"/>
  <c r="O17" i="910"/>
  <c r="M17" i="910"/>
  <c r="AF13" i="910"/>
  <c r="Q13" i="910"/>
  <c r="O13" i="910"/>
  <c r="AF12" i="910"/>
  <c r="Q12" i="910"/>
  <c r="AF11" i="910"/>
  <c r="Q11" i="910"/>
  <c r="AF10" i="910"/>
  <c r="AB10" i="910"/>
  <c r="Q10" i="910"/>
  <c r="P10" i="910" s="1"/>
  <c r="AC10" i="910" s="1"/>
  <c r="O10" i="910"/>
  <c r="M10" i="910"/>
  <c r="AF9" i="910"/>
  <c r="Q9" i="910"/>
  <c r="AF8" i="910"/>
  <c r="Q8" i="910"/>
  <c r="AF7" i="910"/>
  <c r="Q7" i="910"/>
  <c r="J24" i="910"/>
  <c r="AF6" i="910"/>
  <c r="AB6" i="910"/>
  <c r="Q6" i="910"/>
  <c r="P6" i="910"/>
  <c r="AC6" i="910" s="1"/>
  <c r="O6" i="910"/>
  <c r="M6" i="910"/>
  <c r="AD23" i="912" l="1"/>
  <c r="AD16" i="911"/>
  <c r="AD21" i="911"/>
  <c r="P22" i="911"/>
  <c r="AC22" i="911"/>
  <c r="AB22" i="911"/>
  <c r="AD6" i="911"/>
  <c r="AD12" i="911"/>
  <c r="AD8" i="911"/>
  <c r="M22" i="911"/>
  <c r="AB22" i="910"/>
  <c r="AD22" i="910" s="1"/>
  <c r="K23" i="910"/>
  <c r="K24" i="910" s="1"/>
  <c r="O21" i="910"/>
  <c r="AD21" i="910" s="1"/>
  <c r="P21" i="910"/>
  <c r="AC21" i="910" s="1"/>
  <c r="O20" i="910"/>
  <c r="AB18" i="910"/>
  <c r="O18" i="910"/>
  <c r="P18" i="910"/>
  <c r="AC18" i="910" s="1"/>
  <c r="P15" i="910"/>
  <c r="AC15" i="910" s="1"/>
  <c r="AD16" i="910"/>
  <c r="M15" i="910"/>
  <c r="AB15" i="910"/>
  <c r="O16" i="910"/>
  <c r="M14" i="910"/>
  <c r="AB14" i="910"/>
  <c r="AD14" i="910" s="1"/>
  <c r="O15" i="910"/>
  <c r="AB12" i="910"/>
  <c r="P12" i="910"/>
  <c r="AC12" i="910" s="1"/>
  <c r="O11" i="910"/>
  <c r="AB11" i="910"/>
  <c r="P11" i="910"/>
  <c r="AC11" i="910" s="1"/>
  <c r="Q24" i="910"/>
  <c r="O9" i="910"/>
  <c r="AB8" i="910"/>
  <c r="L24" i="910"/>
  <c r="O24" i="910" s="1"/>
  <c r="P8" i="910"/>
  <c r="AC8" i="910" s="1"/>
  <c r="M7" i="910"/>
  <c r="O7" i="910"/>
  <c r="P7" i="910"/>
  <c r="AC7" i="910" s="1"/>
  <c r="AD10" i="910"/>
  <c r="AD17" i="910"/>
  <c r="M9" i="910"/>
  <c r="M20" i="910"/>
  <c r="AB7" i="910"/>
  <c r="O8" i="910"/>
  <c r="P9" i="910"/>
  <c r="AC9" i="910" s="1"/>
  <c r="M11" i="910"/>
  <c r="O12" i="910"/>
  <c r="AD12" i="910" s="1"/>
  <c r="P13" i="910"/>
  <c r="AC13" i="910" s="1"/>
  <c r="M18" i="910"/>
  <c r="O19" i="910"/>
  <c r="AD19" i="910" s="1"/>
  <c r="P20" i="910"/>
  <c r="AC20" i="910" s="1"/>
  <c r="M22" i="910"/>
  <c r="P23" i="910"/>
  <c r="AC23" i="910" s="1"/>
  <c r="M13" i="910"/>
  <c r="AB20" i="910"/>
  <c r="M23" i="910"/>
  <c r="AB23" i="910"/>
  <c r="AB9" i="910"/>
  <c r="AB13" i="910"/>
  <c r="AD6" i="910"/>
  <c r="M8" i="910"/>
  <c r="M12" i="910"/>
  <c r="M19" i="910"/>
  <c r="S17" i="16"/>
  <c r="S16" i="16"/>
  <c r="S15" i="16"/>
  <c r="S14" i="16"/>
  <c r="S13" i="16"/>
  <c r="S12" i="16"/>
  <c r="S11" i="16"/>
  <c r="S10" i="16"/>
  <c r="S8" i="16"/>
  <c r="S7" i="16"/>
  <c r="S6" i="16"/>
  <c r="S5" i="16"/>
  <c r="S4" i="16"/>
  <c r="S3" i="16"/>
  <c r="L20" i="909"/>
  <c r="L21" i="909"/>
  <c r="AF20" i="909"/>
  <c r="AB20" i="909"/>
  <c r="Q20" i="909"/>
  <c r="M20" i="909"/>
  <c r="K20" i="909"/>
  <c r="L19" i="909"/>
  <c r="K19" i="909" s="1"/>
  <c r="L18" i="909"/>
  <c r="L17" i="909"/>
  <c r="L16" i="909"/>
  <c r="L15" i="909"/>
  <c r="K15" i="909" s="1"/>
  <c r="L14" i="909"/>
  <c r="L13" i="909"/>
  <c r="K13" i="909" s="1"/>
  <c r="L12" i="909"/>
  <c r="L11" i="909"/>
  <c r="K11" i="909" s="1"/>
  <c r="L10" i="909"/>
  <c r="L9" i="909"/>
  <c r="K9" i="909" s="1"/>
  <c r="L8" i="909"/>
  <c r="L6" i="909"/>
  <c r="K18" i="909"/>
  <c r="K17" i="909"/>
  <c r="K16" i="909"/>
  <c r="K14" i="909"/>
  <c r="K12" i="909"/>
  <c r="K10" i="909"/>
  <c r="K8" i="909"/>
  <c r="K7" i="909"/>
  <c r="K6" i="909"/>
  <c r="A75" i="909"/>
  <c r="A76" i="909" s="1"/>
  <c r="A77" i="909" s="1"/>
  <c r="A78" i="909" s="1"/>
  <c r="A79" i="909" s="1"/>
  <c r="A80" i="909" s="1"/>
  <c r="A81" i="909" s="1"/>
  <c r="A82" i="909" s="1"/>
  <c r="AF61" i="909"/>
  <c r="AF63" i="909" s="1"/>
  <c r="AF60" i="909"/>
  <c r="AA22" i="909"/>
  <c r="Z22" i="909"/>
  <c r="Y22" i="909"/>
  <c r="X22" i="909"/>
  <c r="W22" i="909"/>
  <c r="V22" i="909"/>
  <c r="U22" i="909"/>
  <c r="T22" i="909"/>
  <c r="S22" i="909"/>
  <c r="R22" i="909"/>
  <c r="N22" i="909"/>
  <c r="I22" i="909"/>
  <c r="AF21" i="909"/>
  <c r="Q21" i="909"/>
  <c r="AF19" i="909"/>
  <c r="Q19" i="909"/>
  <c r="AB19" i="909"/>
  <c r="AF18" i="909"/>
  <c r="Q18" i="909"/>
  <c r="P18" i="909" s="1"/>
  <c r="AC18" i="909" s="1"/>
  <c r="O18" i="909"/>
  <c r="AF17" i="909"/>
  <c r="Q17" i="909"/>
  <c r="P17" i="909" s="1"/>
  <c r="AC17" i="909" s="1"/>
  <c r="O17" i="909"/>
  <c r="AB17" i="909"/>
  <c r="AF16" i="909"/>
  <c r="AB16" i="909"/>
  <c r="Q16" i="909"/>
  <c r="P16" i="909"/>
  <c r="AC16" i="909" s="1"/>
  <c r="O16" i="909"/>
  <c r="M16" i="909"/>
  <c r="AF15" i="909"/>
  <c r="Q15" i="909"/>
  <c r="AB15" i="909"/>
  <c r="AF14" i="909"/>
  <c r="Q14" i="909"/>
  <c r="P14" i="909"/>
  <c r="AC14" i="909" s="1"/>
  <c r="O14" i="909"/>
  <c r="AF13" i="909"/>
  <c r="Q13" i="909"/>
  <c r="P13" i="909" s="1"/>
  <c r="AC13" i="909" s="1"/>
  <c r="O13" i="909"/>
  <c r="AB13" i="909"/>
  <c r="AF12" i="909"/>
  <c r="AB12" i="909"/>
  <c r="Q12" i="909"/>
  <c r="P12" i="909" s="1"/>
  <c r="AC12" i="909" s="1"/>
  <c r="O12" i="909"/>
  <c r="M12" i="909"/>
  <c r="AF11" i="909"/>
  <c r="AB11" i="909"/>
  <c r="Q11" i="909"/>
  <c r="P11" i="909" s="1"/>
  <c r="AC11" i="909" s="1"/>
  <c r="O11" i="909"/>
  <c r="M11" i="909"/>
  <c r="AF10" i="909"/>
  <c r="Q10" i="909"/>
  <c r="P10" i="909" s="1"/>
  <c r="AC10" i="909" s="1"/>
  <c r="O10" i="909"/>
  <c r="M10" i="909"/>
  <c r="AF9" i="909"/>
  <c r="AB9" i="909"/>
  <c r="Q9" i="909"/>
  <c r="M9" i="909"/>
  <c r="O9" i="909"/>
  <c r="AF8" i="909"/>
  <c r="Q8" i="909"/>
  <c r="AB8" i="909"/>
  <c r="AF7" i="909"/>
  <c r="Q7" i="909"/>
  <c r="P7" i="909"/>
  <c r="AC7" i="909" s="1"/>
  <c r="O7" i="909"/>
  <c r="M7" i="909"/>
  <c r="J7" i="909"/>
  <c r="J22" i="909" s="1"/>
  <c r="AF6" i="909"/>
  <c r="AB6" i="909"/>
  <c r="Q6" i="909"/>
  <c r="P6" i="909"/>
  <c r="O6" i="909"/>
  <c r="M6" i="909"/>
  <c r="AE14" i="912" l="1"/>
  <c r="AE15" i="912"/>
  <c r="AE16" i="912"/>
  <c r="AE11" i="912"/>
  <c r="AE8" i="912"/>
  <c r="AE17" i="912"/>
  <c r="AE21" i="912"/>
  <c r="AE18" i="912"/>
  <c r="AE12" i="912"/>
  <c r="AE9" i="912"/>
  <c r="AE6" i="912"/>
  <c r="AE7" i="912"/>
  <c r="AE22" i="912"/>
  <c r="AE13" i="912"/>
  <c r="AE10" i="912"/>
  <c r="AE20" i="912"/>
  <c r="AD22" i="911"/>
  <c r="AE17" i="911" s="1"/>
  <c r="AD18" i="910"/>
  <c r="AD15" i="910"/>
  <c r="M24" i="910"/>
  <c r="AD11" i="910"/>
  <c r="AD8" i="910"/>
  <c r="AB24" i="910"/>
  <c r="AD13" i="910"/>
  <c r="AD20" i="910"/>
  <c r="AD7" i="910"/>
  <c r="AD23" i="910"/>
  <c r="AD9" i="910"/>
  <c r="P24" i="910"/>
  <c r="AC24" i="910"/>
  <c r="P20" i="909"/>
  <c r="AC20" i="909" s="1"/>
  <c r="O20" i="909"/>
  <c r="P21" i="909"/>
  <c r="AC21" i="909" s="1"/>
  <c r="AB21" i="909"/>
  <c r="M21" i="909"/>
  <c r="L22" i="909"/>
  <c r="O22" i="909" s="1"/>
  <c r="O21" i="909"/>
  <c r="AD16" i="909"/>
  <c r="AD12" i="909"/>
  <c r="S9" i="16" s="1"/>
  <c r="AD11" i="909"/>
  <c r="Q22" i="909"/>
  <c r="AD13" i="909"/>
  <c r="AD17" i="909"/>
  <c r="AB7" i="909"/>
  <c r="AD7" i="909" s="1"/>
  <c r="O8" i="909"/>
  <c r="P9" i="909"/>
  <c r="AC9" i="909" s="1"/>
  <c r="AD9" i="909" s="1"/>
  <c r="M14" i="909"/>
  <c r="AB14" i="909"/>
  <c r="AD14" i="909" s="1"/>
  <c r="O15" i="909"/>
  <c r="M18" i="909"/>
  <c r="AB18" i="909"/>
  <c r="AD18" i="909" s="1"/>
  <c r="O19" i="909"/>
  <c r="AC6" i="909"/>
  <c r="K22" i="909"/>
  <c r="P8" i="909"/>
  <c r="AC8" i="909" s="1"/>
  <c r="AB10" i="909"/>
  <c r="AD10" i="909" s="1"/>
  <c r="M13" i="909"/>
  <c r="P15" i="909"/>
  <c r="AC15" i="909" s="1"/>
  <c r="M17" i="909"/>
  <c r="P19" i="909"/>
  <c r="AC19" i="909" s="1"/>
  <c r="AD19" i="909" s="1"/>
  <c r="M8" i="909"/>
  <c r="M15" i="909"/>
  <c r="M19" i="909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908"/>
  <c r="K20" i="908" s="1"/>
  <c r="L19" i="908"/>
  <c r="L18" i="908"/>
  <c r="L17" i="908"/>
  <c r="K17" i="908" s="1"/>
  <c r="L16" i="908"/>
  <c r="K16" i="908" s="1"/>
  <c r="L15" i="908"/>
  <c r="K15" i="908" s="1"/>
  <c r="L14" i="908"/>
  <c r="K14" i="908" s="1"/>
  <c r="L13" i="908"/>
  <c r="L12" i="908"/>
  <c r="L10" i="908"/>
  <c r="O10" i="908" s="1"/>
  <c r="L9" i="908"/>
  <c r="J7" i="908"/>
  <c r="J21" i="908" s="1"/>
  <c r="L8" i="908"/>
  <c r="O8" i="908" s="1"/>
  <c r="AF8" i="908"/>
  <c r="Q8" i="908"/>
  <c r="L7" i="908"/>
  <c r="L6" i="908"/>
  <c r="K19" i="908"/>
  <c r="K18" i="908"/>
  <c r="K13" i="908"/>
  <c r="K12" i="908"/>
  <c r="K9" i="908"/>
  <c r="K7" i="908"/>
  <c r="K6" i="908"/>
  <c r="A75" i="908"/>
  <c r="A76" i="908" s="1"/>
  <c r="A77" i="908" s="1"/>
  <c r="A78" i="908" s="1"/>
  <c r="A79" i="908" s="1"/>
  <c r="A80" i="908" s="1"/>
  <c r="A81" i="908" s="1"/>
  <c r="A74" i="908"/>
  <c r="AF60" i="908"/>
  <c r="AF59" i="908"/>
  <c r="AF62" i="908" s="1"/>
  <c r="AA21" i="908"/>
  <c r="Z21" i="908"/>
  <c r="Y21" i="908"/>
  <c r="X21" i="908"/>
  <c r="W21" i="908"/>
  <c r="V21" i="908"/>
  <c r="U21" i="908"/>
  <c r="T21" i="908"/>
  <c r="S21" i="908"/>
  <c r="R21" i="908"/>
  <c r="N21" i="908"/>
  <c r="I21" i="908"/>
  <c r="AF20" i="908"/>
  <c r="Q20" i="908"/>
  <c r="O20" i="908"/>
  <c r="AF19" i="908"/>
  <c r="Q19" i="908"/>
  <c r="P19" i="908"/>
  <c r="AC19" i="908" s="1"/>
  <c r="AB19" i="908"/>
  <c r="AF18" i="908"/>
  <c r="Q18" i="908"/>
  <c r="P18" i="908"/>
  <c r="AC18" i="908" s="1"/>
  <c r="O18" i="908"/>
  <c r="AB18" i="908"/>
  <c r="AF17" i="908"/>
  <c r="AB17" i="908"/>
  <c r="Q17" i="908"/>
  <c r="P17" i="908"/>
  <c r="AC17" i="908" s="1"/>
  <c r="O17" i="908"/>
  <c r="M17" i="908"/>
  <c r="AF16" i="908"/>
  <c r="Q16" i="908"/>
  <c r="AF15" i="908"/>
  <c r="Q15" i="908"/>
  <c r="AF14" i="908"/>
  <c r="AB14" i="908"/>
  <c r="Q14" i="908"/>
  <c r="P14" i="908" s="1"/>
  <c r="AC14" i="908" s="1"/>
  <c r="O14" i="908"/>
  <c r="M14" i="908"/>
  <c r="AF13" i="908"/>
  <c r="Q13" i="908"/>
  <c r="O13" i="908"/>
  <c r="AF12" i="908"/>
  <c r="Q12" i="908"/>
  <c r="P12" i="908" s="1"/>
  <c r="AC12" i="908" s="1"/>
  <c r="AB12" i="908"/>
  <c r="AF11" i="908"/>
  <c r="AB11" i="908"/>
  <c r="Q11" i="908"/>
  <c r="P11" i="908"/>
  <c r="AC11" i="908" s="1"/>
  <c r="O11" i="908"/>
  <c r="M11" i="908"/>
  <c r="K11" i="908"/>
  <c r="AF10" i="908"/>
  <c r="Q10" i="908"/>
  <c r="AF9" i="908"/>
  <c r="Q9" i="908"/>
  <c r="P9" i="908" s="1"/>
  <c r="AC9" i="908" s="1"/>
  <c r="AB9" i="908"/>
  <c r="AF7" i="908"/>
  <c r="Q7" i="908"/>
  <c r="P7" i="908" s="1"/>
  <c r="AC7" i="908" s="1"/>
  <c r="AB7" i="908"/>
  <c r="AF6" i="908"/>
  <c r="Q6" i="908"/>
  <c r="P6" i="908"/>
  <c r="AC6" i="908" s="1"/>
  <c r="O6" i="908"/>
  <c r="AE14" i="911" l="1"/>
  <c r="AE10" i="911"/>
  <c r="AE6" i="911"/>
  <c r="AE7" i="911"/>
  <c r="AE8" i="911"/>
  <c r="AE20" i="911"/>
  <c r="AE15" i="911"/>
  <c r="AE21" i="911"/>
  <c r="AE13" i="911"/>
  <c r="AE9" i="911"/>
  <c r="AE11" i="911"/>
  <c r="AE16" i="911"/>
  <c r="AE12" i="911"/>
  <c r="AD24" i="910"/>
  <c r="AD20" i="909"/>
  <c r="AD21" i="909"/>
  <c r="AD8" i="909"/>
  <c r="AD15" i="909"/>
  <c r="AB22" i="909"/>
  <c r="M22" i="909"/>
  <c r="AC22" i="909"/>
  <c r="AD6" i="909"/>
  <c r="P22" i="909"/>
  <c r="O16" i="908"/>
  <c r="AB15" i="908"/>
  <c r="P15" i="908"/>
  <c r="AC15" i="908" s="1"/>
  <c r="K10" i="908"/>
  <c r="AD14" i="908"/>
  <c r="AD11" i="908"/>
  <c r="P8" i="908"/>
  <c r="AC8" i="908" s="1"/>
  <c r="K8" i="908"/>
  <c r="K21" i="908" s="1"/>
  <c r="M8" i="908"/>
  <c r="AB8" i="908"/>
  <c r="L21" i="908"/>
  <c r="O21" i="908" s="1"/>
  <c r="Q21" i="908"/>
  <c r="AD17" i="908"/>
  <c r="AD18" i="908"/>
  <c r="M6" i="908"/>
  <c r="AB6" i="908"/>
  <c r="O7" i="908"/>
  <c r="AD7" i="908" s="1"/>
  <c r="O9" i="908"/>
  <c r="AD9" i="908" s="1"/>
  <c r="P10" i="908"/>
  <c r="AC10" i="908" s="1"/>
  <c r="O12" i="908"/>
  <c r="AD12" i="908" s="1"/>
  <c r="P13" i="908"/>
  <c r="AC13" i="908" s="1"/>
  <c r="O15" i="908"/>
  <c r="P16" i="908"/>
  <c r="AC16" i="908" s="1"/>
  <c r="M18" i="908"/>
  <c r="O19" i="908"/>
  <c r="AD19" i="908" s="1"/>
  <c r="P20" i="908"/>
  <c r="AC20" i="908" s="1"/>
  <c r="AD6" i="908"/>
  <c r="M16" i="908"/>
  <c r="AB16" i="908"/>
  <c r="M20" i="908"/>
  <c r="AB20" i="908"/>
  <c r="M10" i="908"/>
  <c r="AB10" i="908"/>
  <c r="M13" i="908"/>
  <c r="AB13" i="908"/>
  <c r="M7" i="908"/>
  <c r="M9" i="908"/>
  <c r="M12" i="908"/>
  <c r="M15" i="908"/>
  <c r="M19" i="908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1" i="907"/>
  <c r="K21" i="907" s="1"/>
  <c r="L20" i="907"/>
  <c r="L19" i="907"/>
  <c r="K19" i="907" s="1"/>
  <c r="L18" i="907"/>
  <c r="O18" i="907" s="1"/>
  <c r="L17" i="907"/>
  <c r="K17" i="907" s="1"/>
  <c r="L16" i="907"/>
  <c r="K16" i="907" s="1"/>
  <c r="L14" i="907"/>
  <c r="K14" i="907" s="1"/>
  <c r="L13" i="907"/>
  <c r="L11" i="907"/>
  <c r="L10" i="907"/>
  <c r="K10" i="907" s="1"/>
  <c r="AF10" i="907"/>
  <c r="Q10" i="907"/>
  <c r="P10" i="907" s="1"/>
  <c r="AC10" i="907" s="1"/>
  <c r="L8" i="907"/>
  <c r="L7" i="907"/>
  <c r="K7" i="907" s="1"/>
  <c r="L6" i="907"/>
  <c r="AB6" i="907" s="1"/>
  <c r="K20" i="907"/>
  <c r="K11" i="907"/>
  <c r="K9" i="907"/>
  <c r="K8" i="907"/>
  <c r="A75" i="907"/>
  <c r="A76" i="907" s="1"/>
  <c r="A77" i="907" s="1"/>
  <c r="A78" i="907" s="1"/>
  <c r="A79" i="907" s="1"/>
  <c r="A80" i="907" s="1"/>
  <c r="A81" i="907" s="1"/>
  <c r="A82" i="907" s="1"/>
  <c r="AF61" i="907"/>
  <c r="AF60" i="907"/>
  <c r="AF63" i="907" s="1"/>
  <c r="AA22" i="907"/>
  <c r="Z22" i="907"/>
  <c r="Y22" i="907"/>
  <c r="X22" i="907"/>
  <c r="W22" i="907"/>
  <c r="V22" i="907"/>
  <c r="U22" i="907"/>
  <c r="T22" i="907"/>
  <c r="S22" i="907"/>
  <c r="R22" i="907"/>
  <c r="N22" i="907"/>
  <c r="J22" i="907"/>
  <c r="I22" i="907"/>
  <c r="AF21" i="907"/>
  <c r="Q21" i="907"/>
  <c r="O21" i="907"/>
  <c r="M21" i="907"/>
  <c r="AB21" i="907"/>
  <c r="AF20" i="907"/>
  <c r="AB20" i="907"/>
  <c r="Q20" i="907"/>
  <c r="M20" i="907"/>
  <c r="P20" i="907"/>
  <c r="AC20" i="907" s="1"/>
  <c r="AF19" i="907"/>
  <c r="AB19" i="907"/>
  <c r="Q19" i="907"/>
  <c r="P19" i="907"/>
  <c r="AC19" i="907" s="1"/>
  <c r="O19" i="907"/>
  <c r="M19" i="907"/>
  <c r="AF18" i="907"/>
  <c r="Q18" i="907"/>
  <c r="AF17" i="907"/>
  <c r="AB17" i="907"/>
  <c r="Q17" i="907"/>
  <c r="P17" i="907" s="1"/>
  <c r="AC17" i="907" s="1"/>
  <c r="M17" i="907"/>
  <c r="O17" i="907"/>
  <c r="AF16" i="907"/>
  <c r="Q16" i="907"/>
  <c r="AF15" i="907"/>
  <c r="AB15" i="907"/>
  <c r="Q15" i="907"/>
  <c r="P15" i="907"/>
  <c r="AC15" i="907" s="1"/>
  <c r="O15" i="907"/>
  <c r="M15" i="907"/>
  <c r="K15" i="907"/>
  <c r="AF14" i="907"/>
  <c r="AB14" i="907"/>
  <c r="Q14" i="907"/>
  <c r="P14" i="907" s="1"/>
  <c r="AC14" i="907" s="1"/>
  <c r="O14" i="907"/>
  <c r="M14" i="907"/>
  <c r="AF13" i="907"/>
  <c r="AB13" i="907"/>
  <c r="Q13" i="907"/>
  <c r="P13" i="907" s="1"/>
  <c r="AC13" i="907" s="1"/>
  <c r="O13" i="907"/>
  <c r="M13" i="907"/>
  <c r="K13" i="907"/>
  <c r="AF12" i="907"/>
  <c r="AB12" i="907"/>
  <c r="Q12" i="907"/>
  <c r="P12" i="907"/>
  <c r="AC12" i="907" s="1"/>
  <c r="O12" i="907"/>
  <c r="M12" i="907"/>
  <c r="K12" i="907"/>
  <c r="AF11" i="907"/>
  <c r="AB11" i="907"/>
  <c r="Q11" i="907"/>
  <c r="P11" i="907"/>
  <c r="AC11" i="907" s="1"/>
  <c r="O11" i="907"/>
  <c r="M11" i="907"/>
  <c r="AF9" i="907"/>
  <c r="Q9" i="907"/>
  <c r="O9" i="907"/>
  <c r="AB9" i="907"/>
  <c r="AF8" i="907"/>
  <c r="AB8" i="907"/>
  <c r="Q8" i="907"/>
  <c r="P8" i="907"/>
  <c r="AC8" i="907" s="1"/>
  <c r="M8" i="907"/>
  <c r="O8" i="907"/>
  <c r="AF7" i="907"/>
  <c r="Q7" i="907"/>
  <c r="P7" i="907"/>
  <c r="AC7" i="907" s="1"/>
  <c r="AF6" i="907"/>
  <c r="Q6" i="907"/>
  <c r="O6" i="907"/>
  <c r="AE22" i="910" l="1"/>
  <c r="AE15" i="910"/>
  <c r="AE16" i="910"/>
  <c r="AE14" i="910"/>
  <c r="AE10" i="910"/>
  <c r="AE23" i="910"/>
  <c r="AE7" i="910"/>
  <c r="AE13" i="910"/>
  <c r="AE17" i="910"/>
  <c r="AE8" i="910"/>
  <c r="AE11" i="910"/>
  <c r="AE12" i="910"/>
  <c r="AE19" i="910"/>
  <c r="AE18" i="910"/>
  <c r="AE6" i="910"/>
  <c r="AE9" i="910"/>
  <c r="AD22" i="909"/>
  <c r="AE20" i="909" s="1"/>
  <c r="AE14" i="909"/>
  <c r="AE6" i="909"/>
  <c r="AE11" i="909"/>
  <c r="AE19" i="909"/>
  <c r="AE8" i="909"/>
  <c r="AE21" i="909"/>
  <c r="AE16" i="909"/>
  <c r="AE12" i="909"/>
  <c r="AE9" i="909"/>
  <c r="AE13" i="909"/>
  <c r="AE10" i="909"/>
  <c r="AD16" i="908"/>
  <c r="AD15" i="908"/>
  <c r="AD8" i="908"/>
  <c r="AD13" i="908"/>
  <c r="P21" i="908"/>
  <c r="AD20" i="908"/>
  <c r="AB21" i="908"/>
  <c r="M21" i="908"/>
  <c r="AD10" i="908"/>
  <c r="AC21" i="908"/>
  <c r="K18" i="907"/>
  <c r="P16" i="907"/>
  <c r="AC16" i="907" s="1"/>
  <c r="O16" i="907"/>
  <c r="AB10" i="907"/>
  <c r="M10" i="907"/>
  <c r="O10" i="907"/>
  <c r="AD10" i="907" s="1"/>
  <c r="Q22" i="907"/>
  <c r="P6" i="907"/>
  <c r="AC6" i="907" s="1"/>
  <c r="L22" i="907"/>
  <c r="O22" i="907" s="1"/>
  <c r="K6" i="907"/>
  <c r="M6" i="907"/>
  <c r="AD12" i="907"/>
  <c r="AD6" i="907"/>
  <c r="AD8" i="907"/>
  <c r="AD13" i="907"/>
  <c r="AD11" i="907"/>
  <c r="AD15" i="907"/>
  <c r="AD19" i="907"/>
  <c r="AD14" i="907"/>
  <c r="AD17" i="907"/>
  <c r="M7" i="907"/>
  <c r="AB7" i="907"/>
  <c r="K22" i="907"/>
  <c r="P9" i="907"/>
  <c r="AC9" i="907" s="1"/>
  <c r="AD9" i="907" s="1"/>
  <c r="M16" i="907"/>
  <c r="AB16" i="907"/>
  <c r="AD16" i="907" s="1"/>
  <c r="P18" i="907"/>
  <c r="AC18" i="907" s="1"/>
  <c r="O20" i="907"/>
  <c r="AD20" i="907" s="1"/>
  <c r="P21" i="907"/>
  <c r="AC21" i="907" s="1"/>
  <c r="AD21" i="907" s="1"/>
  <c r="O7" i="907"/>
  <c r="M9" i="907"/>
  <c r="M18" i="907"/>
  <c r="AB18" i="907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906"/>
  <c r="K21" i="906" s="1"/>
  <c r="L20" i="906"/>
  <c r="K20" i="906" s="1"/>
  <c r="L18" i="906"/>
  <c r="K18" i="906" s="1"/>
  <c r="AF18" i="906"/>
  <c r="Q18" i="906"/>
  <c r="L17" i="906"/>
  <c r="K17" i="906" s="1"/>
  <c r="L16" i="906"/>
  <c r="K16" i="906" s="1"/>
  <c r="L11" i="906"/>
  <c r="L10" i="906"/>
  <c r="L9" i="906"/>
  <c r="L8" i="906"/>
  <c r="L7" i="906"/>
  <c r="K7" i="906" s="1"/>
  <c r="AF7" i="906"/>
  <c r="AB7" i="906"/>
  <c r="Q7" i="906"/>
  <c r="P7" i="906" s="1"/>
  <c r="AC7" i="906" s="1"/>
  <c r="M7" i="906"/>
  <c r="K15" i="906"/>
  <c r="K12" i="906"/>
  <c r="K11" i="906"/>
  <c r="K10" i="906"/>
  <c r="K9" i="906"/>
  <c r="K6" i="906"/>
  <c r="A76" i="906"/>
  <c r="A77" i="906" s="1"/>
  <c r="A78" i="906" s="1"/>
  <c r="A79" i="906" s="1"/>
  <c r="A80" i="906" s="1"/>
  <c r="A81" i="906" s="1"/>
  <c r="A82" i="906" s="1"/>
  <c r="A75" i="906"/>
  <c r="AF61" i="906"/>
  <c r="AF60" i="906"/>
  <c r="AF63" i="906" s="1"/>
  <c r="AA22" i="906"/>
  <c r="Z22" i="906"/>
  <c r="Y22" i="906"/>
  <c r="X22" i="906"/>
  <c r="W22" i="906"/>
  <c r="V22" i="906"/>
  <c r="U22" i="906"/>
  <c r="T22" i="906"/>
  <c r="S22" i="906"/>
  <c r="R22" i="906"/>
  <c r="N22" i="906"/>
  <c r="J22" i="906"/>
  <c r="I22" i="906"/>
  <c r="AF21" i="906"/>
  <c r="Q21" i="906"/>
  <c r="O21" i="906"/>
  <c r="AF20" i="906"/>
  <c r="Q20" i="906"/>
  <c r="P20" i="906" s="1"/>
  <c r="AC20" i="906" s="1"/>
  <c r="AB20" i="906"/>
  <c r="AF19" i="906"/>
  <c r="AC19" i="906"/>
  <c r="AB19" i="906"/>
  <c r="Q19" i="906"/>
  <c r="P19" i="906"/>
  <c r="O19" i="906"/>
  <c r="M19" i="906"/>
  <c r="K19" i="906"/>
  <c r="AF17" i="906"/>
  <c r="Q17" i="906"/>
  <c r="P17" i="906"/>
  <c r="AC17" i="906" s="1"/>
  <c r="AB17" i="906"/>
  <c r="AF16" i="906"/>
  <c r="Q16" i="906"/>
  <c r="AB16" i="906"/>
  <c r="AF15" i="906"/>
  <c r="AB15" i="906"/>
  <c r="Q15" i="906"/>
  <c r="P15" i="906"/>
  <c r="AC15" i="906" s="1"/>
  <c r="O15" i="906"/>
  <c r="M15" i="906"/>
  <c r="AF14" i="906"/>
  <c r="AB14" i="906"/>
  <c r="Q14" i="906"/>
  <c r="P14" i="906"/>
  <c r="AC14" i="906" s="1"/>
  <c r="AD14" i="906" s="1"/>
  <c r="O14" i="906"/>
  <c r="M14" i="906"/>
  <c r="K14" i="906"/>
  <c r="AF13" i="906"/>
  <c r="AB13" i="906"/>
  <c r="Q13" i="906"/>
  <c r="P13" i="906"/>
  <c r="AC13" i="906" s="1"/>
  <c r="AD13" i="906" s="1"/>
  <c r="O13" i="906"/>
  <c r="M13" i="906"/>
  <c r="K13" i="906"/>
  <c r="AF12" i="906"/>
  <c r="Q12" i="906"/>
  <c r="P12" i="906"/>
  <c r="AC12" i="906" s="1"/>
  <c r="AB12" i="906"/>
  <c r="AF11" i="906"/>
  <c r="Q11" i="906"/>
  <c r="P11" i="906" s="1"/>
  <c r="AC11" i="906" s="1"/>
  <c r="O11" i="906"/>
  <c r="M11" i="906"/>
  <c r="AB11" i="906"/>
  <c r="AF10" i="906"/>
  <c r="AB10" i="906"/>
  <c r="Q10" i="906"/>
  <c r="O10" i="906"/>
  <c r="M10" i="906"/>
  <c r="P10" i="906"/>
  <c r="AC10" i="906" s="1"/>
  <c r="AF9" i="906"/>
  <c r="Q9" i="906"/>
  <c r="O9" i="906"/>
  <c r="AF8" i="906"/>
  <c r="AB8" i="906"/>
  <c r="Q8" i="906"/>
  <c r="P8" i="906" s="1"/>
  <c r="AC8" i="906" s="1"/>
  <c r="O8" i="906"/>
  <c r="M8" i="906"/>
  <c r="K8" i="906"/>
  <c r="AF6" i="906"/>
  <c r="AB6" i="906"/>
  <c r="Q6" i="906"/>
  <c r="O6" i="906"/>
  <c r="M6" i="906"/>
  <c r="AE15" i="909" l="1"/>
  <c r="AE7" i="909"/>
  <c r="AD21" i="908"/>
  <c r="AE6" i="908" s="1"/>
  <c r="AB22" i="907"/>
  <c r="M22" i="907"/>
  <c r="AD18" i="907"/>
  <c r="P22" i="907"/>
  <c r="AD7" i="907"/>
  <c r="AB18" i="906"/>
  <c r="M18" i="906"/>
  <c r="P18" i="906"/>
  <c r="AC18" i="906" s="1"/>
  <c r="AD18" i="906" s="1"/>
  <c r="O18" i="906"/>
  <c r="O16" i="906"/>
  <c r="L22" i="906"/>
  <c r="O22" i="906" s="1"/>
  <c r="P16" i="906"/>
  <c r="AC16" i="906" s="1"/>
  <c r="Q22" i="906"/>
  <c r="O7" i="906"/>
  <c r="AD7" i="906"/>
  <c r="P6" i="906"/>
  <c r="AC6" i="906" s="1"/>
  <c r="AD10" i="906"/>
  <c r="AD15" i="906"/>
  <c r="AD8" i="906"/>
  <c r="AD19" i="906"/>
  <c r="AD11" i="906"/>
  <c r="P9" i="906"/>
  <c r="AC9" i="906" s="1"/>
  <c r="O12" i="906"/>
  <c r="AD12" i="906" s="1"/>
  <c r="M16" i="906"/>
  <c r="O17" i="906"/>
  <c r="AD17" i="906" s="1"/>
  <c r="O20" i="906"/>
  <c r="AD20" i="906" s="1"/>
  <c r="P21" i="906"/>
  <c r="AC21" i="906" s="1"/>
  <c r="M9" i="906"/>
  <c r="M21" i="906"/>
  <c r="AB21" i="906"/>
  <c r="AB9" i="906"/>
  <c r="AD6" i="906"/>
  <c r="M12" i="906"/>
  <c r="M17" i="906"/>
  <c r="M20" i="90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0" i="905"/>
  <c r="L19" i="905"/>
  <c r="K19" i="905" s="1"/>
  <c r="L17" i="905"/>
  <c r="K17" i="905"/>
  <c r="L16" i="905"/>
  <c r="L15" i="905"/>
  <c r="K14" i="905"/>
  <c r="K12" i="905"/>
  <c r="L11" i="905"/>
  <c r="L10" i="905"/>
  <c r="K10" i="905" s="1"/>
  <c r="L9" i="905"/>
  <c r="L8" i="905"/>
  <c r="K8" i="905" s="1"/>
  <c r="L6" i="905"/>
  <c r="K20" i="905"/>
  <c r="K16" i="905"/>
  <c r="K15" i="905"/>
  <c r="K11" i="905"/>
  <c r="K9" i="905"/>
  <c r="K7" i="905"/>
  <c r="K6" i="905"/>
  <c r="A74" i="905"/>
  <c r="A75" i="905" s="1"/>
  <c r="A76" i="905" s="1"/>
  <c r="A77" i="905" s="1"/>
  <c r="A78" i="905" s="1"/>
  <c r="A79" i="905" s="1"/>
  <c r="A80" i="905" s="1"/>
  <c r="A81" i="905" s="1"/>
  <c r="AF60" i="905"/>
  <c r="AF62" i="905" s="1"/>
  <c r="AF59" i="905"/>
  <c r="AA21" i="905"/>
  <c r="Z21" i="905"/>
  <c r="Y21" i="905"/>
  <c r="X21" i="905"/>
  <c r="W21" i="905"/>
  <c r="V21" i="905"/>
  <c r="U21" i="905"/>
  <c r="T21" i="905"/>
  <c r="S21" i="905"/>
  <c r="R21" i="905"/>
  <c r="N21" i="905"/>
  <c r="J21" i="905"/>
  <c r="I21" i="905"/>
  <c r="AF20" i="905"/>
  <c r="AB20" i="905"/>
  <c r="Q20" i="905"/>
  <c r="O20" i="905"/>
  <c r="M20" i="905"/>
  <c r="P20" i="905"/>
  <c r="AC20" i="905" s="1"/>
  <c r="AF19" i="905"/>
  <c r="Q19" i="905"/>
  <c r="AB19" i="905"/>
  <c r="AF18" i="905"/>
  <c r="AB18" i="905"/>
  <c r="Q18" i="905"/>
  <c r="P18" i="905"/>
  <c r="AC18" i="905" s="1"/>
  <c r="O18" i="905"/>
  <c r="M18" i="905"/>
  <c r="K18" i="905"/>
  <c r="AF17" i="905"/>
  <c r="AB17" i="905"/>
  <c r="Q17" i="905"/>
  <c r="P17" i="905" s="1"/>
  <c r="AC17" i="905" s="1"/>
  <c r="O17" i="905"/>
  <c r="M17" i="905"/>
  <c r="AF16" i="905"/>
  <c r="Q16" i="905"/>
  <c r="AB16" i="905"/>
  <c r="AF15" i="905"/>
  <c r="Q15" i="905"/>
  <c r="P15" i="905"/>
  <c r="AC15" i="905" s="1"/>
  <c r="O15" i="905"/>
  <c r="AF14" i="905"/>
  <c r="AB14" i="905"/>
  <c r="Q14" i="905"/>
  <c r="P14" i="905" s="1"/>
  <c r="AC14" i="905" s="1"/>
  <c r="O14" i="905"/>
  <c r="M14" i="905"/>
  <c r="AF13" i="905"/>
  <c r="AC13" i="905"/>
  <c r="AD13" i="905" s="1"/>
  <c r="AB13" i="905"/>
  <c r="Q13" i="905"/>
  <c r="P13" i="905"/>
  <c r="O13" i="905"/>
  <c r="M13" i="905"/>
  <c r="K13" i="905"/>
  <c r="AF12" i="905"/>
  <c r="AB12" i="905"/>
  <c r="Q12" i="905"/>
  <c r="P12" i="905"/>
  <c r="AC12" i="905" s="1"/>
  <c r="O12" i="905"/>
  <c r="M12" i="905"/>
  <c r="AF11" i="905"/>
  <c r="AB11" i="905"/>
  <c r="Q11" i="905"/>
  <c r="O11" i="905"/>
  <c r="M11" i="905"/>
  <c r="P11" i="905"/>
  <c r="AC11" i="905" s="1"/>
  <c r="AD11" i="905" s="1"/>
  <c r="AF10" i="905"/>
  <c r="Q10" i="905"/>
  <c r="P10" i="905" s="1"/>
  <c r="AC10" i="905" s="1"/>
  <c r="AF9" i="905"/>
  <c r="Q9" i="905"/>
  <c r="P9" i="905" s="1"/>
  <c r="AC9" i="905" s="1"/>
  <c r="O9" i="905"/>
  <c r="AF8" i="905"/>
  <c r="AB8" i="905"/>
  <c r="Q8" i="905"/>
  <c r="P8" i="905"/>
  <c r="AC8" i="905" s="1"/>
  <c r="AD8" i="905" s="1"/>
  <c r="O8" i="905"/>
  <c r="M8" i="905"/>
  <c r="AF7" i="905"/>
  <c r="AB7" i="905"/>
  <c r="Q7" i="905"/>
  <c r="O7" i="905"/>
  <c r="M7" i="905"/>
  <c r="P7" i="905"/>
  <c r="AC7" i="905" s="1"/>
  <c r="AD7" i="905" s="1"/>
  <c r="AF6" i="905"/>
  <c r="Q6" i="905"/>
  <c r="L21" i="905"/>
  <c r="O21" i="905" s="1"/>
  <c r="AE18" i="908" l="1"/>
  <c r="AE7" i="908"/>
  <c r="AE14" i="908"/>
  <c r="AE8" i="908"/>
  <c r="AE13" i="908"/>
  <c r="AE10" i="908"/>
  <c r="AE19" i="908"/>
  <c r="AE9" i="908"/>
  <c r="AE11" i="908"/>
  <c r="AE15" i="908"/>
  <c r="AE20" i="908"/>
  <c r="AE16" i="908"/>
  <c r="AE12" i="908"/>
  <c r="AC22" i="907"/>
  <c r="AD22" i="907"/>
  <c r="AE10" i="907" s="1"/>
  <c r="AD16" i="906"/>
  <c r="M22" i="906"/>
  <c r="AD21" i="906"/>
  <c r="AB22" i="906"/>
  <c r="AD9" i="906"/>
  <c r="K22" i="906"/>
  <c r="P22" i="906"/>
  <c r="AC22" i="906"/>
  <c r="AD20" i="905"/>
  <c r="AD17" i="905"/>
  <c r="Q21" i="905"/>
  <c r="AD14" i="905"/>
  <c r="AD12" i="905"/>
  <c r="AD18" i="905"/>
  <c r="M6" i="905"/>
  <c r="M10" i="905"/>
  <c r="AB10" i="905"/>
  <c r="O6" i="905"/>
  <c r="M9" i="905"/>
  <c r="AB9" i="905"/>
  <c r="AD9" i="905" s="1"/>
  <c r="O10" i="905"/>
  <c r="M15" i="905"/>
  <c r="AB15" i="905"/>
  <c r="AD15" i="905" s="1"/>
  <c r="O16" i="905"/>
  <c r="O19" i="905"/>
  <c r="AB6" i="905"/>
  <c r="P6" i="905"/>
  <c r="P16" i="905"/>
  <c r="AC16" i="905" s="1"/>
  <c r="AD16" i="905" s="1"/>
  <c r="P19" i="905"/>
  <c r="AC19" i="905" s="1"/>
  <c r="AD19" i="905" s="1"/>
  <c r="M16" i="905"/>
  <c r="M19" i="905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0" i="904"/>
  <c r="K20" i="904" s="1"/>
  <c r="L19" i="904"/>
  <c r="L17" i="904"/>
  <c r="K17" i="904"/>
  <c r="L16" i="904"/>
  <c r="L15" i="904"/>
  <c r="L14" i="904"/>
  <c r="K14" i="904" s="1"/>
  <c r="L11" i="904"/>
  <c r="L10" i="904"/>
  <c r="L9" i="904"/>
  <c r="L8" i="904"/>
  <c r="K8" i="904" s="1"/>
  <c r="L7" i="904"/>
  <c r="K7" i="904" s="1"/>
  <c r="L6" i="904"/>
  <c r="K19" i="904"/>
  <c r="K18" i="904"/>
  <c r="K16" i="904"/>
  <c r="K15" i="904"/>
  <c r="K11" i="904"/>
  <c r="K10" i="904"/>
  <c r="K9" i="904"/>
  <c r="K6" i="904"/>
  <c r="A74" i="904"/>
  <c r="A75" i="904" s="1"/>
  <c r="A76" i="904" s="1"/>
  <c r="A77" i="904" s="1"/>
  <c r="A78" i="904" s="1"/>
  <c r="A79" i="904" s="1"/>
  <c r="A80" i="904" s="1"/>
  <c r="A81" i="904" s="1"/>
  <c r="AF60" i="904"/>
  <c r="AF62" i="904" s="1"/>
  <c r="AF59" i="904"/>
  <c r="AA21" i="904"/>
  <c r="Z21" i="904"/>
  <c r="Y21" i="904"/>
  <c r="X21" i="904"/>
  <c r="W21" i="904"/>
  <c r="V21" i="904"/>
  <c r="U21" i="904"/>
  <c r="T21" i="904"/>
  <c r="S21" i="904"/>
  <c r="R21" i="904"/>
  <c r="N21" i="904"/>
  <c r="J21" i="904"/>
  <c r="I21" i="904"/>
  <c r="AF20" i="904"/>
  <c r="AB20" i="904"/>
  <c r="Q20" i="904"/>
  <c r="P20" i="904" s="1"/>
  <c r="AC20" i="904" s="1"/>
  <c r="O20" i="904"/>
  <c r="M20" i="904"/>
  <c r="AF19" i="904"/>
  <c r="Q19" i="904"/>
  <c r="AB19" i="904"/>
  <c r="AF18" i="904"/>
  <c r="Q18" i="904"/>
  <c r="P18" i="904"/>
  <c r="AC18" i="904" s="1"/>
  <c r="O18" i="904"/>
  <c r="AF17" i="904"/>
  <c r="AB17" i="904"/>
  <c r="Q17" i="904"/>
  <c r="P17" i="904" s="1"/>
  <c r="AC17" i="904" s="1"/>
  <c r="O17" i="904"/>
  <c r="M17" i="904"/>
  <c r="AF16" i="904"/>
  <c r="Q16" i="904"/>
  <c r="AB16" i="904"/>
  <c r="AF15" i="904"/>
  <c r="Q15" i="904"/>
  <c r="P15" i="904"/>
  <c r="AC15" i="904" s="1"/>
  <c r="O15" i="904"/>
  <c r="AF14" i="904"/>
  <c r="AB14" i="904"/>
  <c r="Q14" i="904"/>
  <c r="P14" i="904"/>
  <c r="AC14" i="904" s="1"/>
  <c r="O14" i="904"/>
  <c r="M14" i="904"/>
  <c r="AF13" i="904"/>
  <c r="AB13" i="904"/>
  <c r="Q13" i="904"/>
  <c r="P13" i="904"/>
  <c r="AC13" i="904" s="1"/>
  <c r="AD13" i="904" s="1"/>
  <c r="O13" i="904"/>
  <c r="M13" i="904"/>
  <c r="K13" i="904"/>
  <c r="AF12" i="904"/>
  <c r="AB12" i="904"/>
  <c r="Q12" i="904"/>
  <c r="P12" i="904"/>
  <c r="AC12" i="904" s="1"/>
  <c r="AD12" i="904" s="1"/>
  <c r="O12" i="904"/>
  <c r="M12" i="904"/>
  <c r="K12" i="904"/>
  <c r="AF11" i="904"/>
  <c r="Q11" i="904"/>
  <c r="M11" i="904"/>
  <c r="AF10" i="904"/>
  <c r="Q10" i="904"/>
  <c r="P10" i="904" s="1"/>
  <c r="AC10" i="904" s="1"/>
  <c r="O10" i="904"/>
  <c r="AF9" i="904"/>
  <c r="Q9" i="904"/>
  <c r="P9" i="904" s="1"/>
  <c r="AC9" i="904" s="1"/>
  <c r="O9" i="904"/>
  <c r="AB9" i="904"/>
  <c r="AF8" i="904"/>
  <c r="AB8" i="904"/>
  <c r="Q8" i="904"/>
  <c r="O8" i="904"/>
  <c r="M8" i="904"/>
  <c r="P8" i="904"/>
  <c r="AC8" i="904" s="1"/>
  <c r="AF7" i="904"/>
  <c r="Q7" i="904"/>
  <c r="M7" i="904"/>
  <c r="AF6" i="904"/>
  <c r="Q6" i="904"/>
  <c r="L21" i="904"/>
  <c r="O21" i="904" s="1"/>
  <c r="AE19" i="907" l="1"/>
  <c r="AE16" i="907"/>
  <c r="AE20" i="907"/>
  <c r="AE17" i="907"/>
  <c r="AE14" i="907"/>
  <c r="AE12" i="907"/>
  <c r="AE8" i="907"/>
  <c r="AE21" i="907"/>
  <c r="AE9" i="907"/>
  <c r="AE15" i="907"/>
  <c r="AE13" i="907"/>
  <c r="AE11" i="907"/>
  <c r="AE6" i="907"/>
  <c r="AE7" i="907"/>
  <c r="AD22" i="906"/>
  <c r="AE7" i="906" s="1"/>
  <c r="AE16" i="906"/>
  <c r="AE11" i="906"/>
  <c r="AE12" i="906"/>
  <c r="AE8" i="906"/>
  <c r="AE9" i="906"/>
  <c r="AE20" i="906"/>
  <c r="AE17" i="906"/>
  <c r="AE14" i="906"/>
  <c r="AE21" i="906"/>
  <c r="AE15" i="906"/>
  <c r="AE13" i="906"/>
  <c r="AE10" i="906"/>
  <c r="AE6" i="906"/>
  <c r="AD10" i="905"/>
  <c r="P21" i="905"/>
  <c r="AC6" i="905"/>
  <c r="K21" i="905"/>
  <c r="M21" i="905"/>
  <c r="AB21" i="905"/>
  <c r="AD17" i="904"/>
  <c r="Q21" i="904"/>
  <c r="P6" i="904"/>
  <c r="AD8" i="904"/>
  <c r="AD14" i="904"/>
  <c r="AD20" i="904"/>
  <c r="AD9" i="904"/>
  <c r="M6" i="904"/>
  <c r="AB6" i="904"/>
  <c r="O7" i="904"/>
  <c r="M10" i="904"/>
  <c r="AB10" i="904"/>
  <c r="AD10" i="904" s="1"/>
  <c r="O11" i="904"/>
  <c r="M15" i="904"/>
  <c r="AB15" i="904"/>
  <c r="AD15" i="904" s="1"/>
  <c r="O16" i="904"/>
  <c r="M18" i="904"/>
  <c r="AB18" i="904"/>
  <c r="AD18" i="904" s="1"/>
  <c r="O19" i="904"/>
  <c r="AB7" i="904"/>
  <c r="AB11" i="904"/>
  <c r="O6" i="904"/>
  <c r="AC6" i="904"/>
  <c r="K21" i="904"/>
  <c r="P7" i="904"/>
  <c r="AC7" i="904" s="1"/>
  <c r="M9" i="904"/>
  <c r="P11" i="904"/>
  <c r="AC11" i="904" s="1"/>
  <c r="P16" i="904"/>
  <c r="AC16" i="904" s="1"/>
  <c r="AD16" i="904" s="1"/>
  <c r="P19" i="904"/>
  <c r="AC19" i="904" s="1"/>
  <c r="AD19" i="904" s="1"/>
  <c r="M16" i="904"/>
  <c r="M19" i="904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903"/>
  <c r="L19" i="903"/>
  <c r="K19" i="903" s="1"/>
  <c r="L18" i="903"/>
  <c r="K18" i="903" s="1"/>
  <c r="L16" i="903"/>
  <c r="L15" i="903"/>
  <c r="K15" i="903" s="1"/>
  <c r="L11" i="903"/>
  <c r="K11" i="903" s="1"/>
  <c r="L10" i="903"/>
  <c r="O10" i="903" s="1"/>
  <c r="AF10" i="903"/>
  <c r="Q10" i="903"/>
  <c r="P10" i="903"/>
  <c r="AC10" i="903" s="1"/>
  <c r="M10" i="903"/>
  <c r="L9" i="903"/>
  <c r="K9" i="903" s="1"/>
  <c r="L8" i="903"/>
  <c r="K8" i="903" s="1"/>
  <c r="L7" i="903"/>
  <c r="L6" i="903"/>
  <c r="K6" i="903" s="1"/>
  <c r="K20" i="903"/>
  <c r="K17" i="903"/>
  <c r="K7" i="903"/>
  <c r="A75" i="903"/>
  <c r="A76" i="903" s="1"/>
  <c r="A77" i="903" s="1"/>
  <c r="A78" i="903" s="1"/>
  <c r="A79" i="903" s="1"/>
  <c r="A80" i="903" s="1"/>
  <c r="A81" i="903" s="1"/>
  <c r="A74" i="903"/>
  <c r="AF60" i="903"/>
  <c r="AF59" i="903"/>
  <c r="AF62" i="903" s="1"/>
  <c r="AA21" i="903"/>
  <c r="Z21" i="903"/>
  <c r="Y21" i="903"/>
  <c r="X21" i="903"/>
  <c r="W21" i="903"/>
  <c r="V21" i="903"/>
  <c r="U21" i="903"/>
  <c r="T21" i="903"/>
  <c r="S21" i="903"/>
  <c r="R21" i="903"/>
  <c r="N21" i="903"/>
  <c r="J21" i="903"/>
  <c r="I21" i="903"/>
  <c r="AF20" i="903"/>
  <c r="Q20" i="903"/>
  <c r="O20" i="903"/>
  <c r="AF19" i="903"/>
  <c r="Q19" i="903"/>
  <c r="P19" i="903" s="1"/>
  <c r="AC19" i="903" s="1"/>
  <c r="AB19" i="903"/>
  <c r="AF18" i="903"/>
  <c r="AB18" i="903"/>
  <c r="Q18" i="903"/>
  <c r="P18" i="903" s="1"/>
  <c r="AC18" i="903" s="1"/>
  <c r="O18" i="903"/>
  <c r="M18" i="903"/>
  <c r="AF17" i="903"/>
  <c r="AB17" i="903"/>
  <c r="Q17" i="903"/>
  <c r="P17" i="903" s="1"/>
  <c r="AC17" i="903" s="1"/>
  <c r="O17" i="903"/>
  <c r="M17" i="903"/>
  <c r="AF16" i="903"/>
  <c r="AB16" i="903"/>
  <c r="Q16" i="903"/>
  <c r="P16" i="903"/>
  <c r="AC16" i="903" s="1"/>
  <c r="O16" i="903"/>
  <c r="M16" i="903"/>
  <c r="K16" i="903"/>
  <c r="AF15" i="903"/>
  <c r="Q15" i="903"/>
  <c r="O15" i="903"/>
  <c r="AF14" i="903"/>
  <c r="AB14" i="903"/>
  <c r="Q14" i="903"/>
  <c r="P14" i="903"/>
  <c r="AC14" i="903" s="1"/>
  <c r="O14" i="903"/>
  <c r="M14" i="903"/>
  <c r="K14" i="903"/>
  <c r="AF13" i="903"/>
  <c r="AB13" i="903"/>
  <c r="Q13" i="903"/>
  <c r="P13" i="903"/>
  <c r="AC13" i="903" s="1"/>
  <c r="AD13" i="903" s="1"/>
  <c r="O13" i="903"/>
  <c r="M13" i="903"/>
  <c r="K13" i="903"/>
  <c r="AF12" i="903"/>
  <c r="AB12" i="903"/>
  <c r="Q12" i="903"/>
  <c r="P12" i="903"/>
  <c r="AC12" i="903" s="1"/>
  <c r="AD12" i="903" s="1"/>
  <c r="O12" i="903"/>
  <c r="M12" i="903"/>
  <c r="K12" i="903"/>
  <c r="AF11" i="903"/>
  <c r="AB11" i="903"/>
  <c r="Q11" i="903"/>
  <c r="O11" i="903"/>
  <c r="M11" i="903"/>
  <c r="P11" i="903"/>
  <c r="AC11" i="903" s="1"/>
  <c r="AF9" i="903"/>
  <c r="AB9" i="903"/>
  <c r="Q9" i="903"/>
  <c r="P9" i="903"/>
  <c r="AC9" i="903" s="1"/>
  <c r="O9" i="903"/>
  <c r="M9" i="903"/>
  <c r="AF8" i="903"/>
  <c r="AB8" i="903"/>
  <c r="Q8" i="903"/>
  <c r="O8" i="903"/>
  <c r="M8" i="903"/>
  <c r="P8" i="903"/>
  <c r="AC8" i="903" s="1"/>
  <c r="AF7" i="903"/>
  <c r="Q7" i="903"/>
  <c r="O7" i="903"/>
  <c r="AF6" i="903"/>
  <c r="AB6" i="903"/>
  <c r="Q6" i="903"/>
  <c r="O6" i="903"/>
  <c r="M6" i="903"/>
  <c r="L20" i="902"/>
  <c r="K20" i="902" s="1"/>
  <c r="L19" i="902"/>
  <c r="K19" i="902" s="1"/>
  <c r="L15" i="902"/>
  <c r="K15" i="902" s="1"/>
  <c r="L11" i="902"/>
  <c r="K11" i="902" s="1"/>
  <c r="L9" i="902"/>
  <c r="K9" i="902" s="1"/>
  <c r="L8" i="902"/>
  <c r="K8" i="902" s="1"/>
  <c r="L7" i="902"/>
  <c r="K7" i="902" s="1"/>
  <c r="K18" i="902"/>
  <c r="K17" i="902"/>
  <c r="K16" i="902"/>
  <c r="A76" i="902"/>
  <c r="A77" i="902" s="1"/>
  <c r="A78" i="902" s="1"/>
  <c r="A79" i="902" s="1"/>
  <c r="A80" i="902" s="1"/>
  <c r="A81" i="902" s="1"/>
  <c r="A75" i="902"/>
  <c r="A74" i="902"/>
  <c r="AF60" i="902"/>
  <c r="AF59" i="902"/>
  <c r="AF62" i="902" s="1"/>
  <c r="AA21" i="902"/>
  <c r="Z21" i="902"/>
  <c r="Y21" i="902"/>
  <c r="X21" i="902"/>
  <c r="W21" i="902"/>
  <c r="V21" i="902"/>
  <c r="U21" i="902"/>
  <c r="T21" i="902"/>
  <c r="S21" i="902"/>
  <c r="R21" i="902"/>
  <c r="N21" i="902"/>
  <c r="J21" i="902"/>
  <c r="I21" i="902"/>
  <c r="AF20" i="902"/>
  <c r="AB20" i="902"/>
  <c r="Q20" i="902"/>
  <c r="P20" i="902" s="1"/>
  <c r="AC20" i="902" s="1"/>
  <c r="O20" i="902"/>
  <c r="M20" i="902"/>
  <c r="AF19" i="902"/>
  <c r="Q19" i="902"/>
  <c r="P19" i="902"/>
  <c r="AC19" i="902" s="1"/>
  <c r="AF18" i="902"/>
  <c r="AB18" i="902"/>
  <c r="Q18" i="902"/>
  <c r="P18" i="902"/>
  <c r="AC18" i="902" s="1"/>
  <c r="AD18" i="902" s="1"/>
  <c r="O18" i="902"/>
  <c r="M18" i="902"/>
  <c r="AF17" i="902"/>
  <c r="AB17" i="902"/>
  <c r="Q17" i="902"/>
  <c r="P17" i="902" s="1"/>
  <c r="AC17" i="902" s="1"/>
  <c r="M17" i="902"/>
  <c r="AF16" i="902"/>
  <c r="Q16" i="902"/>
  <c r="P16" i="902"/>
  <c r="AC16" i="902" s="1"/>
  <c r="AF15" i="902"/>
  <c r="AB15" i="902"/>
  <c r="Q15" i="902"/>
  <c r="P15" i="902" s="1"/>
  <c r="AC15" i="902" s="1"/>
  <c r="O15" i="902"/>
  <c r="M15" i="902"/>
  <c r="AF14" i="902"/>
  <c r="AB14" i="902"/>
  <c r="Q14" i="902"/>
  <c r="P14" i="902"/>
  <c r="AC14" i="902" s="1"/>
  <c r="AD14" i="902" s="1"/>
  <c r="O14" i="902"/>
  <c r="M14" i="902"/>
  <c r="K14" i="902"/>
  <c r="AF13" i="902"/>
  <c r="AB13" i="902"/>
  <c r="Q13" i="902"/>
  <c r="P13" i="902"/>
  <c r="AC13" i="902" s="1"/>
  <c r="O13" i="902"/>
  <c r="M13" i="902"/>
  <c r="K13" i="902"/>
  <c r="AF12" i="902"/>
  <c r="AC12" i="902"/>
  <c r="AD12" i="902" s="1"/>
  <c r="AB12" i="902"/>
  <c r="Q12" i="902"/>
  <c r="P12" i="902"/>
  <c r="O12" i="902"/>
  <c r="M12" i="902"/>
  <c r="K12" i="902"/>
  <c r="AF11" i="902"/>
  <c r="Q11" i="902"/>
  <c r="P11" i="902"/>
  <c r="AC11" i="902" s="1"/>
  <c r="AF10" i="902"/>
  <c r="AB10" i="902"/>
  <c r="Q10" i="902"/>
  <c r="P10" i="902"/>
  <c r="AC10" i="902" s="1"/>
  <c r="O10" i="902"/>
  <c r="M10" i="902"/>
  <c r="K10" i="902"/>
  <c r="AF9" i="902"/>
  <c r="AB9" i="902"/>
  <c r="Q9" i="902"/>
  <c r="M9" i="902"/>
  <c r="P9" i="902"/>
  <c r="AC9" i="902" s="1"/>
  <c r="AF8" i="902"/>
  <c r="Q8" i="902"/>
  <c r="P8" i="902"/>
  <c r="AC8" i="902" s="1"/>
  <c r="AF7" i="902"/>
  <c r="AB7" i="902"/>
  <c r="Q7" i="902"/>
  <c r="P7" i="902"/>
  <c r="AC7" i="902" s="1"/>
  <c r="AD7" i="902" s="1"/>
  <c r="O7" i="902"/>
  <c r="M7" i="902"/>
  <c r="L21" i="902"/>
  <c r="O21" i="902" s="1"/>
  <c r="AF6" i="902"/>
  <c r="AB6" i="902"/>
  <c r="Q6" i="902"/>
  <c r="P6" i="902"/>
  <c r="O6" i="902"/>
  <c r="M6" i="902"/>
  <c r="K6" i="902"/>
  <c r="AC21" i="905" l="1"/>
  <c r="AD6" i="905"/>
  <c r="AD21" i="905" s="1"/>
  <c r="AD11" i="904"/>
  <c r="AC21" i="904"/>
  <c r="AD6" i="904"/>
  <c r="AB21" i="904"/>
  <c r="P21" i="904"/>
  <c r="M21" i="904"/>
  <c r="AD7" i="904"/>
  <c r="K10" i="903"/>
  <c r="AB10" i="903"/>
  <c r="AD10" i="903" s="1"/>
  <c r="Q21" i="903"/>
  <c r="AD9" i="903"/>
  <c r="P6" i="903"/>
  <c r="AC6" i="903" s="1"/>
  <c r="AD8" i="903"/>
  <c r="AD11" i="903"/>
  <c r="AD14" i="903"/>
  <c r="AD16" i="903"/>
  <c r="AD17" i="903"/>
  <c r="AD18" i="903"/>
  <c r="M7" i="903"/>
  <c r="AB7" i="903"/>
  <c r="P7" i="903"/>
  <c r="AC7" i="903" s="1"/>
  <c r="P15" i="903"/>
  <c r="AC15" i="903" s="1"/>
  <c r="O19" i="903"/>
  <c r="AD19" i="903" s="1"/>
  <c r="P20" i="903"/>
  <c r="AC20" i="903" s="1"/>
  <c r="M15" i="903"/>
  <c r="AB15" i="903"/>
  <c r="M20" i="903"/>
  <c r="AB20" i="903"/>
  <c r="L21" i="903"/>
  <c r="O21" i="903" s="1"/>
  <c r="K21" i="903"/>
  <c r="M19" i="903"/>
  <c r="Q21" i="902"/>
  <c r="P21" i="902"/>
  <c r="AC6" i="902"/>
  <c r="AD6" i="902" s="1"/>
  <c r="AD10" i="902"/>
  <c r="AD15" i="902"/>
  <c r="AD13" i="902"/>
  <c r="AD20" i="902"/>
  <c r="AC21" i="902"/>
  <c r="M8" i="902"/>
  <c r="AB8" i="902"/>
  <c r="O9" i="902"/>
  <c r="AD9" i="902" s="1"/>
  <c r="M11" i="902"/>
  <c r="AB11" i="902"/>
  <c r="M16" i="902"/>
  <c r="AB16" i="902"/>
  <c r="AD16" i="902" s="1"/>
  <c r="O17" i="902"/>
  <c r="AD17" i="902" s="1"/>
  <c r="M19" i="902"/>
  <c r="AB19" i="902"/>
  <c r="O8" i="902"/>
  <c r="O11" i="902"/>
  <c r="O16" i="902"/>
  <c r="O19" i="902"/>
  <c r="K21" i="902"/>
  <c r="K17" i="16"/>
  <c r="K16" i="16"/>
  <c r="K15" i="16"/>
  <c r="K14" i="16"/>
  <c r="K13" i="16"/>
  <c r="K12" i="16"/>
  <c r="K11" i="16"/>
  <c r="K10" i="16"/>
  <c r="K9" i="16"/>
  <c r="K8" i="16"/>
  <c r="K7" i="16"/>
  <c r="K5" i="16"/>
  <c r="K4" i="16"/>
  <c r="K3" i="16"/>
  <c r="L19" i="901"/>
  <c r="K19" i="901" s="1"/>
  <c r="K18" i="901"/>
  <c r="L17" i="901"/>
  <c r="L16" i="901"/>
  <c r="K16" i="901"/>
  <c r="L15" i="901"/>
  <c r="K15" i="901" s="1"/>
  <c r="L11" i="901"/>
  <c r="K11" i="901" s="1"/>
  <c r="L9" i="901"/>
  <c r="K9" i="901" s="1"/>
  <c r="L8" i="901"/>
  <c r="K8" i="901" s="1"/>
  <c r="L7" i="901"/>
  <c r="K17" i="901"/>
  <c r="A75" i="901"/>
  <c r="A76" i="901" s="1"/>
  <c r="A77" i="901" s="1"/>
  <c r="A78" i="901" s="1"/>
  <c r="A79" i="901" s="1"/>
  <c r="A80" i="901" s="1"/>
  <c r="A81" i="901" s="1"/>
  <c r="A74" i="901"/>
  <c r="AF60" i="901"/>
  <c r="AF59" i="901"/>
  <c r="AF62" i="901" s="1"/>
  <c r="AA21" i="901"/>
  <c r="Z21" i="901"/>
  <c r="Y21" i="901"/>
  <c r="X21" i="901"/>
  <c r="W21" i="901"/>
  <c r="V21" i="901"/>
  <c r="U21" i="901"/>
  <c r="T21" i="901"/>
  <c r="S21" i="901"/>
  <c r="R21" i="901"/>
  <c r="N21" i="901"/>
  <c r="J21" i="901"/>
  <c r="I21" i="901"/>
  <c r="AF20" i="901"/>
  <c r="AB20" i="901"/>
  <c r="Q20" i="901"/>
  <c r="P20" i="901"/>
  <c r="AC20" i="901" s="1"/>
  <c r="AD20" i="901" s="1"/>
  <c r="O20" i="901"/>
  <c r="M20" i="901"/>
  <c r="K20" i="901"/>
  <c r="AF19" i="901"/>
  <c r="AB19" i="901"/>
  <c r="Q19" i="901"/>
  <c r="P19" i="901" s="1"/>
  <c r="AC19" i="901" s="1"/>
  <c r="AD19" i="901" s="1"/>
  <c r="O19" i="901"/>
  <c r="M19" i="901"/>
  <c r="AF18" i="901"/>
  <c r="AB18" i="901"/>
  <c r="Q18" i="901"/>
  <c r="P18" i="901" s="1"/>
  <c r="AC18" i="901" s="1"/>
  <c r="O18" i="901"/>
  <c r="M18" i="901"/>
  <c r="AF17" i="901"/>
  <c r="Q17" i="901"/>
  <c r="P17" i="901"/>
  <c r="AC17" i="901" s="1"/>
  <c r="AF16" i="901"/>
  <c r="AB16" i="901"/>
  <c r="Q16" i="901"/>
  <c r="P16" i="901"/>
  <c r="AC16" i="901" s="1"/>
  <c r="O16" i="901"/>
  <c r="M16" i="901"/>
  <c r="AF15" i="901"/>
  <c r="AB15" i="901"/>
  <c r="Q15" i="901"/>
  <c r="P15" i="901" s="1"/>
  <c r="AC15" i="901" s="1"/>
  <c r="AD15" i="901" s="1"/>
  <c r="O15" i="901"/>
  <c r="M15" i="901"/>
  <c r="AF14" i="901"/>
  <c r="AC14" i="901"/>
  <c r="AD14" i="901" s="1"/>
  <c r="AB14" i="901"/>
  <c r="Q14" i="901"/>
  <c r="P14" i="901"/>
  <c r="O14" i="901"/>
  <c r="M14" i="901"/>
  <c r="K14" i="901"/>
  <c r="AF13" i="901"/>
  <c r="AC13" i="901"/>
  <c r="AD13" i="901" s="1"/>
  <c r="AB13" i="901"/>
  <c r="Q13" i="901"/>
  <c r="P13" i="901"/>
  <c r="O13" i="901"/>
  <c r="M13" i="901"/>
  <c r="K13" i="901"/>
  <c r="AF12" i="901"/>
  <c r="AC12" i="901"/>
  <c r="AB12" i="901"/>
  <c r="Q12" i="901"/>
  <c r="P12" i="901"/>
  <c r="O12" i="901"/>
  <c r="M12" i="901"/>
  <c r="K12" i="901"/>
  <c r="AF11" i="901"/>
  <c r="AB11" i="901"/>
  <c r="Q11" i="901"/>
  <c r="P11" i="901" s="1"/>
  <c r="AC11" i="901" s="1"/>
  <c r="O11" i="901"/>
  <c r="M11" i="901"/>
  <c r="AF10" i="901"/>
  <c r="AC10" i="901"/>
  <c r="AD10" i="901" s="1"/>
  <c r="AB10" i="901"/>
  <c r="Q10" i="901"/>
  <c r="P10" i="901"/>
  <c r="O10" i="901"/>
  <c r="M10" i="901"/>
  <c r="K10" i="901"/>
  <c r="AF9" i="901"/>
  <c r="Q9" i="901"/>
  <c r="O9" i="901"/>
  <c r="AB9" i="901"/>
  <c r="AF8" i="901"/>
  <c r="AB8" i="901"/>
  <c r="Q8" i="901"/>
  <c r="P8" i="901" s="1"/>
  <c r="AC8" i="901" s="1"/>
  <c r="O8" i="901"/>
  <c r="M8" i="901"/>
  <c r="AF7" i="901"/>
  <c r="Q7" i="901"/>
  <c r="AF6" i="901"/>
  <c r="AB6" i="901"/>
  <c r="Q6" i="901"/>
  <c r="P6" i="901"/>
  <c r="AC6" i="901" s="1"/>
  <c r="O6" i="901"/>
  <c r="M6" i="901"/>
  <c r="K6" i="901"/>
  <c r="AE18" i="905" l="1"/>
  <c r="AE15" i="905"/>
  <c r="AE6" i="905"/>
  <c r="AE20" i="905"/>
  <c r="AE17" i="905"/>
  <c r="AE13" i="905"/>
  <c r="AE11" i="905"/>
  <c r="AE7" i="905"/>
  <c r="AE9" i="905"/>
  <c r="AE19" i="905"/>
  <c r="AE16" i="905"/>
  <c r="AE10" i="905"/>
  <c r="AE14" i="905"/>
  <c r="AE8" i="905"/>
  <c r="AE12" i="905"/>
  <c r="AD21" i="904"/>
  <c r="AD7" i="903"/>
  <c r="AB21" i="903"/>
  <c r="AD15" i="903"/>
  <c r="M21" i="903"/>
  <c r="AC21" i="903"/>
  <c r="AD6" i="903"/>
  <c r="AD20" i="903"/>
  <c r="P21" i="903"/>
  <c r="AD19" i="902"/>
  <c r="M21" i="902"/>
  <c r="AB21" i="902"/>
  <c r="AD11" i="902"/>
  <c r="AD8" i="902"/>
  <c r="AD18" i="901"/>
  <c r="AD11" i="901"/>
  <c r="Q21" i="901"/>
  <c r="P7" i="901"/>
  <c r="AC7" i="901" s="1"/>
  <c r="AB7" i="901"/>
  <c r="L21" i="901"/>
  <c r="O21" i="901" s="1"/>
  <c r="M7" i="901"/>
  <c r="K7" i="901"/>
  <c r="AD16" i="901"/>
  <c r="AD12" i="901"/>
  <c r="AD8" i="901"/>
  <c r="K21" i="901"/>
  <c r="AD6" i="901"/>
  <c r="P9" i="901"/>
  <c r="AC9" i="901" s="1"/>
  <c r="AD9" i="901" s="1"/>
  <c r="K6" i="16" s="1"/>
  <c r="M17" i="901"/>
  <c r="AB17" i="901"/>
  <c r="O17" i="901"/>
  <c r="O7" i="901"/>
  <c r="M9" i="901"/>
  <c r="M21" i="901" s="1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7" i="900"/>
  <c r="L15" i="900"/>
  <c r="K15" i="900" s="1"/>
  <c r="L9" i="900"/>
  <c r="L7" i="900"/>
  <c r="K18" i="900"/>
  <c r="K16" i="900"/>
  <c r="K9" i="900"/>
  <c r="A74" i="900"/>
  <c r="A75" i="900" s="1"/>
  <c r="A76" i="900" s="1"/>
  <c r="A77" i="900" s="1"/>
  <c r="A78" i="900" s="1"/>
  <c r="A79" i="900" s="1"/>
  <c r="A80" i="900" s="1"/>
  <c r="A81" i="900" s="1"/>
  <c r="AF60" i="900"/>
  <c r="AF62" i="900" s="1"/>
  <c r="AF59" i="900"/>
  <c r="AA21" i="900"/>
  <c r="Z21" i="900"/>
  <c r="Y21" i="900"/>
  <c r="X21" i="900"/>
  <c r="W21" i="900"/>
  <c r="V21" i="900"/>
  <c r="U21" i="900"/>
  <c r="T21" i="900"/>
  <c r="S21" i="900"/>
  <c r="R21" i="900"/>
  <c r="N21" i="900"/>
  <c r="J21" i="900"/>
  <c r="I21" i="900"/>
  <c r="AF20" i="900"/>
  <c r="AB20" i="900"/>
  <c r="Q20" i="900"/>
  <c r="P20" i="900"/>
  <c r="AC20" i="900" s="1"/>
  <c r="O20" i="900"/>
  <c r="M20" i="900"/>
  <c r="K20" i="900"/>
  <c r="AF19" i="900"/>
  <c r="AB19" i="900"/>
  <c r="Q19" i="900"/>
  <c r="P19" i="900"/>
  <c r="AC19" i="900" s="1"/>
  <c r="AD19" i="900" s="1"/>
  <c r="O19" i="900"/>
  <c r="M19" i="900"/>
  <c r="K19" i="900"/>
  <c r="AF18" i="900"/>
  <c r="AB18" i="900"/>
  <c r="Q18" i="900"/>
  <c r="P18" i="900"/>
  <c r="AC18" i="900" s="1"/>
  <c r="O18" i="900"/>
  <c r="M18" i="900"/>
  <c r="AF17" i="900"/>
  <c r="AB17" i="900"/>
  <c r="Q17" i="900"/>
  <c r="P17" i="900"/>
  <c r="AC17" i="900" s="1"/>
  <c r="O17" i="900"/>
  <c r="M17" i="900"/>
  <c r="K17" i="900"/>
  <c r="AF16" i="900"/>
  <c r="Q16" i="900"/>
  <c r="P16" i="900"/>
  <c r="AC16" i="900" s="1"/>
  <c r="AF15" i="900"/>
  <c r="AB15" i="900"/>
  <c r="Q15" i="900"/>
  <c r="P15" i="900" s="1"/>
  <c r="AC15" i="900" s="1"/>
  <c r="AD15" i="900" s="1"/>
  <c r="O15" i="900"/>
  <c r="M15" i="900"/>
  <c r="AF14" i="900"/>
  <c r="AC14" i="900"/>
  <c r="AD14" i="900" s="1"/>
  <c r="AB14" i="900"/>
  <c r="Q14" i="900"/>
  <c r="P14" i="900"/>
  <c r="O14" i="900"/>
  <c r="M14" i="900"/>
  <c r="K14" i="900"/>
  <c r="AF13" i="900"/>
  <c r="AC13" i="900"/>
  <c r="AB13" i="900"/>
  <c r="Q13" i="900"/>
  <c r="P13" i="900"/>
  <c r="O13" i="900"/>
  <c r="M13" i="900"/>
  <c r="K13" i="900"/>
  <c r="AF12" i="900"/>
  <c r="AC12" i="900"/>
  <c r="AD12" i="900" s="1"/>
  <c r="AB12" i="900"/>
  <c r="Q12" i="900"/>
  <c r="P12" i="900"/>
  <c r="O12" i="900"/>
  <c r="M12" i="900"/>
  <c r="K12" i="900"/>
  <c r="AF11" i="900"/>
  <c r="AC11" i="900"/>
  <c r="AD11" i="900" s="1"/>
  <c r="AB11" i="900"/>
  <c r="Q11" i="900"/>
  <c r="P11" i="900"/>
  <c r="O11" i="900"/>
  <c r="M11" i="900"/>
  <c r="K11" i="900"/>
  <c r="AF10" i="900"/>
  <c r="AC10" i="900"/>
  <c r="AD10" i="900" s="1"/>
  <c r="AB10" i="900"/>
  <c r="Q10" i="900"/>
  <c r="P10" i="900"/>
  <c r="O10" i="900"/>
  <c r="M10" i="900"/>
  <c r="K10" i="900"/>
  <c r="AF9" i="900"/>
  <c r="Q9" i="900"/>
  <c r="P9" i="900"/>
  <c r="AC9" i="900" s="1"/>
  <c r="AF8" i="900"/>
  <c r="AB8" i="900"/>
  <c r="Q8" i="900"/>
  <c r="P8" i="900"/>
  <c r="AC8" i="900" s="1"/>
  <c r="O8" i="900"/>
  <c r="M8" i="900"/>
  <c r="K8" i="900"/>
  <c r="AF7" i="900"/>
  <c r="AB7" i="900"/>
  <c r="Q7" i="900"/>
  <c r="P7" i="900"/>
  <c r="AC7" i="900" s="1"/>
  <c r="AD7" i="900" s="1"/>
  <c r="O7" i="900"/>
  <c r="M7" i="900"/>
  <c r="K7" i="900"/>
  <c r="AF6" i="900"/>
  <c r="AB6" i="900"/>
  <c r="Q6" i="900"/>
  <c r="P6" i="900"/>
  <c r="AC6" i="900" s="1"/>
  <c r="O6" i="900"/>
  <c r="M6" i="900"/>
  <c r="K6" i="900"/>
  <c r="AE18" i="904" l="1"/>
  <c r="AE15" i="904"/>
  <c r="AE6" i="904"/>
  <c r="AE16" i="904"/>
  <c r="AE19" i="904"/>
  <c r="AE20" i="904"/>
  <c r="AE8" i="904"/>
  <c r="AE17" i="904"/>
  <c r="AE14" i="904"/>
  <c r="AE12" i="904"/>
  <c r="AE9" i="904"/>
  <c r="AE10" i="904"/>
  <c r="AE13" i="904"/>
  <c r="AE11" i="904"/>
  <c r="AE7" i="904"/>
  <c r="AD21" i="903"/>
  <c r="AE10" i="903" s="1"/>
  <c r="AD21" i="902"/>
  <c r="AE9" i="902" s="1"/>
  <c r="AC21" i="901"/>
  <c r="AD7" i="901"/>
  <c r="AD17" i="901"/>
  <c r="AB21" i="901"/>
  <c r="P21" i="901"/>
  <c r="Q21" i="900"/>
  <c r="AD8" i="900"/>
  <c r="AD20" i="900"/>
  <c r="AD13" i="900"/>
  <c r="AD18" i="900"/>
  <c r="AD17" i="900"/>
  <c r="AC21" i="900"/>
  <c r="AD6" i="900"/>
  <c r="K21" i="900"/>
  <c r="M9" i="900"/>
  <c r="M21" i="900" s="1"/>
  <c r="AB9" i="900"/>
  <c r="AB21" i="900" s="1"/>
  <c r="M16" i="900"/>
  <c r="AB16" i="900"/>
  <c r="O16" i="900"/>
  <c r="L21" i="900"/>
  <c r="O21" i="900" s="1"/>
  <c r="P21" i="900"/>
  <c r="O9" i="900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8" i="899"/>
  <c r="K18" i="899" s="1"/>
  <c r="L16" i="899"/>
  <c r="K16" i="899" s="1"/>
  <c r="L15" i="899"/>
  <c r="K15" i="899" s="1"/>
  <c r="L9" i="899"/>
  <c r="K9" i="899" s="1"/>
  <c r="K20" i="899"/>
  <c r="K19" i="899"/>
  <c r="K7" i="899"/>
  <c r="A75" i="899"/>
  <c r="A76" i="899" s="1"/>
  <c r="A77" i="899" s="1"/>
  <c r="A78" i="899" s="1"/>
  <c r="A79" i="899" s="1"/>
  <c r="A80" i="899" s="1"/>
  <c r="A81" i="899" s="1"/>
  <c r="A74" i="899"/>
  <c r="AF60" i="899"/>
  <c r="AF59" i="899"/>
  <c r="AF62" i="899" s="1"/>
  <c r="AA21" i="899"/>
  <c r="Z21" i="899"/>
  <c r="Y21" i="899"/>
  <c r="X21" i="899"/>
  <c r="W21" i="899"/>
  <c r="V21" i="899"/>
  <c r="U21" i="899"/>
  <c r="T21" i="899"/>
  <c r="S21" i="899"/>
  <c r="R21" i="899"/>
  <c r="N21" i="899"/>
  <c r="J21" i="899"/>
  <c r="I21" i="899"/>
  <c r="AF20" i="899"/>
  <c r="Q20" i="899"/>
  <c r="O20" i="899"/>
  <c r="AF19" i="899"/>
  <c r="Q19" i="899"/>
  <c r="P19" i="899"/>
  <c r="AC19" i="899" s="1"/>
  <c r="AB19" i="899"/>
  <c r="AF18" i="899"/>
  <c r="Q18" i="899"/>
  <c r="P18" i="899" s="1"/>
  <c r="AC18" i="899" s="1"/>
  <c r="O18" i="899"/>
  <c r="AB18" i="899"/>
  <c r="AF17" i="899"/>
  <c r="AC17" i="899"/>
  <c r="AB17" i="899"/>
  <c r="Q17" i="899"/>
  <c r="P17" i="899"/>
  <c r="O17" i="899"/>
  <c r="M17" i="899"/>
  <c r="K17" i="899"/>
  <c r="AF16" i="899"/>
  <c r="Q16" i="899"/>
  <c r="P16" i="899" s="1"/>
  <c r="AC16" i="899" s="1"/>
  <c r="AB16" i="899"/>
  <c r="AF15" i="899"/>
  <c r="Q15" i="899"/>
  <c r="P15" i="899" s="1"/>
  <c r="AC15" i="899" s="1"/>
  <c r="O15" i="899"/>
  <c r="AB15" i="899"/>
  <c r="AF14" i="899"/>
  <c r="AC14" i="899"/>
  <c r="AB14" i="899"/>
  <c r="Q14" i="899"/>
  <c r="P14" i="899"/>
  <c r="O14" i="899"/>
  <c r="M14" i="899"/>
  <c r="K14" i="899"/>
  <c r="AF13" i="899"/>
  <c r="AB13" i="899"/>
  <c r="Q13" i="899"/>
  <c r="P13" i="899"/>
  <c r="AC13" i="899" s="1"/>
  <c r="AD13" i="899" s="1"/>
  <c r="O13" i="899"/>
  <c r="M13" i="899"/>
  <c r="K13" i="899"/>
  <c r="AF12" i="899"/>
  <c r="AB12" i="899"/>
  <c r="Q12" i="899"/>
  <c r="P12" i="899"/>
  <c r="AC12" i="899" s="1"/>
  <c r="AD12" i="899" s="1"/>
  <c r="O12" i="899"/>
  <c r="M12" i="899"/>
  <c r="K12" i="899"/>
  <c r="AF11" i="899"/>
  <c r="AB11" i="899"/>
  <c r="Q11" i="899"/>
  <c r="P11" i="899"/>
  <c r="AC11" i="899" s="1"/>
  <c r="O11" i="899"/>
  <c r="M11" i="899"/>
  <c r="K11" i="899"/>
  <c r="AF10" i="899"/>
  <c r="AC10" i="899"/>
  <c r="AB10" i="899"/>
  <c r="Q10" i="899"/>
  <c r="P10" i="899"/>
  <c r="O10" i="899"/>
  <c r="M10" i="899"/>
  <c r="K10" i="899"/>
  <c r="AF9" i="899"/>
  <c r="Q9" i="899"/>
  <c r="AB9" i="899"/>
  <c r="AF8" i="899"/>
  <c r="AB8" i="899"/>
  <c r="Q8" i="899"/>
  <c r="P8" i="899"/>
  <c r="AC8" i="899" s="1"/>
  <c r="O8" i="899"/>
  <c r="M8" i="899"/>
  <c r="K8" i="899"/>
  <c r="AF7" i="899"/>
  <c r="Q7" i="899"/>
  <c r="AB7" i="899"/>
  <c r="AF6" i="899"/>
  <c r="AB6" i="899"/>
  <c r="Q6" i="899"/>
  <c r="P6" i="899"/>
  <c r="O6" i="899"/>
  <c r="M6" i="899"/>
  <c r="K6" i="899"/>
  <c r="AE18" i="903" l="1"/>
  <c r="AE16" i="903"/>
  <c r="AE9" i="903"/>
  <c r="AE6" i="903"/>
  <c r="AE19" i="903"/>
  <c r="AE14" i="903"/>
  <c r="AE20" i="903"/>
  <c r="AE17" i="903"/>
  <c r="AE15" i="903"/>
  <c r="AE7" i="903"/>
  <c r="AE13" i="903"/>
  <c r="AE11" i="903"/>
  <c r="AE8" i="903"/>
  <c r="AE12" i="903"/>
  <c r="AE7" i="902"/>
  <c r="AE20" i="902"/>
  <c r="AE13" i="902"/>
  <c r="AE17" i="902"/>
  <c r="AE16" i="902"/>
  <c r="AE15" i="902"/>
  <c r="AE12" i="902"/>
  <c r="AE11" i="902"/>
  <c r="AE10" i="902"/>
  <c r="AE6" i="902"/>
  <c r="AE8" i="902"/>
  <c r="AE19" i="902"/>
  <c r="AE18" i="902"/>
  <c r="AE14" i="902"/>
  <c r="AD21" i="901"/>
  <c r="AD9" i="900"/>
  <c r="AD16" i="900"/>
  <c r="AD21" i="900"/>
  <c r="Q21" i="899"/>
  <c r="AD11" i="899"/>
  <c r="AD8" i="899"/>
  <c r="AD10" i="899"/>
  <c r="AD17" i="899"/>
  <c r="AD14" i="899"/>
  <c r="AD18" i="899"/>
  <c r="AD15" i="899"/>
  <c r="O7" i="899"/>
  <c r="AC6" i="899"/>
  <c r="K21" i="899"/>
  <c r="P7" i="899"/>
  <c r="AC7" i="899" s="1"/>
  <c r="AD7" i="899" s="1"/>
  <c r="O9" i="899"/>
  <c r="M15" i="899"/>
  <c r="O16" i="899"/>
  <c r="AD16" i="899" s="1"/>
  <c r="M18" i="899"/>
  <c r="O19" i="899"/>
  <c r="AD19" i="899" s="1"/>
  <c r="P20" i="899"/>
  <c r="AC20" i="899" s="1"/>
  <c r="AD20" i="899" s="1"/>
  <c r="P9" i="899"/>
  <c r="AC9" i="899" s="1"/>
  <c r="AD9" i="899" s="1"/>
  <c r="M20" i="899"/>
  <c r="AB20" i="899"/>
  <c r="AB21" i="899" s="1"/>
  <c r="L21" i="899"/>
  <c r="O21" i="899" s="1"/>
  <c r="M7" i="899"/>
  <c r="M9" i="899"/>
  <c r="M16" i="899"/>
  <c r="M19" i="899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0" i="898"/>
  <c r="P20" i="898" s="1"/>
  <c r="AC20" i="898" s="1"/>
  <c r="L19" i="898"/>
  <c r="K19" i="898" s="1"/>
  <c r="L18" i="898"/>
  <c r="K17" i="898"/>
  <c r="L16" i="898"/>
  <c r="K16" i="898" s="1"/>
  <c r="L15" i="898"/>
  <c r="K15" i="898" s="1"/>
  <c r="L9" i="898"/>
  <c r="K9" i="898" s="1"/>
  <c r="L7" i="898"/>
  <c r="K7" i="898" s="1"/>
  <c r="K20" i="898"/>
  <c r="K18" i="898"/>
  <c r="K11" i="898"/>
  <c r="A74" i="898"/>
  <c r="A75" i="898" s="1"/>
  <c r="A76" i="898" s="1"/>
  <c r="A77" i="898" s="1"/>
  <c r="A78" i="898" s="1"/>
  <c r="A79" i="898" s="1"/>
  <c r="A80" i="898" s="1"/>
  <c r="A81" i="898" s="1"/>
  <c r="AF62" i="898"/>
  <c r="AF60" i="898"/>
  <c r="AF59" i="898"/>
  <c r="AA21" i="898"/>
  <c r="Z21" i="898"/>
  <c r="Y21" i="898"/>
  <c r="X21" i="898"/>
  <c r="W21" i="898"/>
  <c r="V21" i="898"/>
  <c r="U21" i="898"/>
  <c r="T21" i="898"/>
  <c r="S21" i="898"/>
  <c r="R21" i="898"/>
  <c r="N21" i="898"/>
  <c r="J21" i="898"/>
  <c r="I21" i="898"/>
  <c r="AF20" i="898"/>
  <c r="Q20" i="898"/>
  <c r="AB20" i="898"/>
  <c r="AF19" i="898"/>
  <c r="AB19" i="898"/>
  <c r="Q19" i="898"/>
  <c r="P19" i="898"/>
  <c r="AC19" i="898" s="1"/>
  <c r="O19" i="898"/>
  <c r="M19" i="898"/>
  <c r="AF18" i="898"/>
  <c r="AB18" i="898"/>
  <c r="Q18" i="898"/>
  <c r="P18" i="898" s="1"/>
  <c r="AC18" i="898" s="1"/>
  <c r="M18" i="898"/>
  <c r="AF17" i="898"/>
  <c r="AB17" i="898"/>
  <c r="Q17" i="898"/>
  <c r="P17" i="898"/>
  <c r="AC17" i="898" s="1"/>
  <c r="O17" i="898"/>
  <c r="M17" i="898"/>
  <c r="AF16" i="898"/>
  <c r="AB16" i="898"/>
  <c r="Q16" i="898"/>
  <c r="P16" i="898" s="1"/>
  <c r="AC16" i="898" s="1"/>
  <c r="O16" i="898"/>
  <c r="M16" i="898"/>
  <c r="AF15" i="898"/>
  <c r="Q15" i="898"/>
  <c r="P15" i="898"/>
  <c r="AC15" i="898" s="1"/>
  <c r="AF14" i="898"/>
  <c r="AB14" i="898"/>
  <c r="Q14" i="898"/>
  <c r="P14" i="898"/>
  <c r="AC14" i="898" s="1"/>
  <c r="AD14" i="898" s="1"/>
  <c r="O14" i="898"/>
  <c r="M14" i="898"/>
  <c r="K14" i="898"/>
  <c r="AF13" i="898"/>
  <c r="AB13" i="898"/>
  <c r="Q13" i="898"/>
  <c r="P13" i="898"/>
  <c r="AC13" i="898" s="1"/>
  <c r="O13" i="898"/>
  <c r="M13" i="898"/>
  <c r="K13" i="898"/>
  <c r="AF12" i="898"/>
  <c r="AB12" i="898"/>
  <c r="Q12" i="898"/>
  <c r="P12" i="898"/>
  <c r="AC12" i="898" s="1"/>
  <c r="O12" i="898"/>
  <c r="M12" i="898"/>
  <c r="K12" i="898"/>
  <c r="AF11" i="898"/>
  <c r="AB11" i="898"/>
  <c r="Q11" i="898"/>
  <c r="M11" i="898"/>
  <c r="P11" i="898"/>
  <c r="AC11" i="898" s="1"/>
  <c r="AF10" i="898"/>
  <c r="AB10" i="898"/>
  <c r="Q10" i="898"/>
  <c r="P10" i="898"/>
  <c r="AC10" i="898" s="1"/>
  <c r="O10" i="898"/>
  <c r="M10" i="898"/>
  <c r="K10" i="898"/>
  <c r="AF9" i="898"/>
  <c r="AB9" i="898"/>
  <c r="Q9" i="898"/>
  <c r="O9" i="898"/>
  <c r="M9" i="898"/>
  <c r="P9" i="898"/>
  <c r="AC9" i="898" s="1"/>
  <c r="AF8" i="898"/>
  <c r="AB8" i="898"/>
  <c r="Q8" i="898"/>
  <c r="P8" i="898"/>
  <c r="AC8" i="898" s="1"/>
  <c r="O8" i="898"/>
  <c r="M8" i="898"/>
  <c r="K8" i="898"/>
  <c r="AF7" i="898"/>
  <c r="AB7" i="898"/>
  <c r="Q7" i="898"/>
  <c r="P7" i="898"/>
  <c r="AC7" i="898" s="1"/>
  <c r="O7" i="898"/>
  <c r="M7" i="898"/>
  <c r="L21" i="898"/>
  <c r="O21" i="898" s="1"/>
  <c r="AF6" i="898"/>
  <c r="AB6" i="898"/>
  <c r="Q6" i="898"/>
  <c r="P6" i="898"/>
  <c r="O6" i="898"/>
  <c r="M6" i="898"/>
  <c r="K6" i="898"/>
  <c r="AE14" i="901" l="1"/>
  <c r="K18" i="16"/>
  <c r="AE10" i="901"/>
  <c r="AE7" i="901"/>
  <c r="AE6" i="901"/>
  <c r="AE8" i="901"/>
  <c r="AE19" i="901"/>
  <c r="AE20" i="901"/>
  <c r="AE12" i="901"/>
  <c r="AE16" i="901"/>
  <c r="AE9" i="901"/>
  <c r="AE15" i="901"/>
  <c r="AE18" i="901"/>
  <c r="AE17" i="901"/>
  <c r="AE11" i="901"/>
  <c r="AE13" i="901"/>
  <c r="AE19" i="900"/>
  <c r="AE7" i="900"/>
  <c r="AE12" i="900"/>
  <c r="AE10" i="900"/>
  <c r="AE17" i="900"/>
  <c r="AE14" i="900"/>
  <c r="AE20" i="900"/>
  <c r="AE18" i="900"/>
  <c r="AE15" i="900"/>
  <c r="AE8" i="900"/>
  <c r="AE6" i="900"/>
  <c r="AE16" i="900"/>
  <c r="AE13" i="900"/>
  <c r="AE11" i="900"/>
  <c r="AE9" i="900"/>
  <c r="M21" i="899"/>
  <c r="AC21" i="899"/>
  <c r="AD6" i="899"/>
  <c r="AD21" i="899" s="1"/>
  <c r="P21" i="899"/>
  <c r="O20" i="898"/>
  <c r="AD19" i="898"/>
  <c r="Q21" i="898"/>
  <c r="AD16" i="898"/>
  <c r="AD9" i="898"/>
  <c r="P21" i="898"/>
  <c r="AD10" i="898"/>
  <c r="AD17" i="898"/>
  <c r="AC6" i="898"/>
  <c r="AD8" i="898"/>
  <c r="AD13" i="898"/>
  <c r="AD7" i="898"/>
  <c r="AD12" i="898"/>
  <c r="AD11" i="898"/>
  <c r="AD20" i="898"/>
  <c r="AC21" i="898"/>
  <c r="AD6" i="898"/>
  <c r="K21" i="898"/>
  <c r="O11" i="898"/>
  <c r="M15" i="898"/>
  <c r="AB15" i="898"/>
  <c r="AB21" i="898" s="1"/>
  <c r="O18" i="898"/>
  <c r="AD18" i="898" s="1"/>
  <c r="O15" i="898"/>
  <c r="M20" i="898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897"/>
  <c r="L19" i="897"/>
  <c r="K19" i="897" s="1"/>
  <c r="L18" i="897"/>
  <c r="K18" i="897" s="1"/>
  <c r="L15" i="897"/>
  <c r="K15" i="897" s="1"/>
  <c r="L11" i="897"/>
  <c r="K11" i="897" s="1"/>
  <c r="L9" i="897"/>
  <c r="L7" i="897"/>
  <c r="K7" i="897" s="1"/>
  <c r="AE18" i="899" l="1"/>
  <c r="AE15" i="899"/>
  <c r="AE8" i="899"/>
  <c r="AE16" i="899"/>
  <c r="AE13" i="899"/>
  <c r="AE11" i="899"/>
  <c r="AE9" i="899"/>
  <c r="AE19" i="899"/>
  <c r="AE20" i="899"/>
  <c r="AE7" i="899"/>
  <c r="AE17" i="899"/>
  <c r="AE14" i="899"/>
  <c r="AE12" i="899"/>
  <c r="AE10" i="899"/>
  <c r="AE6" i="899"/>
  <c r="M21" i="898"/>
  <c r="AD15" i="898"/>
  <c r="AD21" i="898" s="1"/>
  <c r="K20" i="897"/>
  <c r="K17" i="897"/>
  <c r="K9" i="897"/>
  <c r="A75" i="897"/>
  <c r="A76" i="897" s="1"/>
  <c r="A77" i="897" s="1"/>
  <c r="A78" i="897" s="1"/>
  <c r="A79" i="897" s="1"/>
  <c r="A80" i="897" s="1"/>
  <c r="A81" i="897" s="1"/>
  <c r="A74" i="897"/>
  <c r="AF60" i="897"/>
  <c r="AF59" i="897"/>
  <c r="AF62" i="897" s="1"/>
  <c r="AA21" i="897"/>
  <c r="Z21" i="897"/>
  <c r="Y21" i="897"/>
  <c r="X21" i="897"/>
  <c r="W21" i="897"/>
  <c r="V21" i="897"/>
  <c r="U21" i="897"/>
  <c r="T21" i="897"/>
  <c r="S21" i="897"/>
  <c r="R21" i="897"/>
  <c r="N21" i="897"/>
  <c r="J21" i="897"/>
  <c r="I21" i="897"/>
  <c r="AF20" i="897"/>
  <c r="Q20" i="897"/>
  <c r="O20" i="897"/>
  <c r="AF19" i="897"/>
  <c r="AB19" i="897"/>
  <c r="Q19" i="897"/>
  <c r="P19" i="897" s="1"/>
  <c r="AC19" i="897" s="1"/>
  <c r="AD19" i="897" s="1"/>
  <c r="O19" i="897"/>
  <c r="M19" i="897"/>
  <c r="AF18" i="897"/>
  <c r="AB18" i="897"/>
  <c r="Q18" i="897"/>
  <c r="P18" i="897"/>
  <c r="AC18" i="897" s="1"/>
  <c r="O18" i="897"/>
  <c r="M18" i="897"/>
  <c r="AF17" i="897"/>
  <c r="AB17" i="897"/>
  <c r="Q17" i="897"/>
  <c r="P17" i="897"/>
  <c r="AC17" i="897" s="1"/>
  <c r="O17" i="897"/>
  <c r="M17" i="897"/>
  <c r="AF16" i="897"/>
  <c r="AB16" i="897"/>
  <c r="Q16" i="897"/>
  <c r="P16" i="897"/>
  <c r="AC16" i="897" s="1"/>
  <c r="AD16" i="897" s="1"/>
  <c r="O16" i="897"/>
  <c r="M16" i="897"/>
  <c r="K16" i="897"/>
  <c r="AF15" i="897"/>
  <c r="AB15" i="897"/>
  <c r="Q15" i="897"/>
  <c r="P15" i="897" s="1"/>
  <c r="AC15" i="897" s="1"/>
  <c r="AD15" i="897" s="1"/>
  <c r="O15" i="897"/>
  <c r="M15" i="897"/>
  <c r="AF14" i="897"/>
  <c r="AB14" i="897"/>
  <c r="Q14" i="897"/>
  <c r="P14" i="897"/>
  <c r="AC14" i="897" s="1"/>
  <c r="AD14" i="897" s="1"/>
  <c r="O14" i="897"/>
  <c r="M14" i="897"/>
  <c r="K14" i="897"/>
  <c r="AF13" i="897"/>
  <c r="AB13" i="897"/>
  <c r="Q13" i="897"/>
  <c r="P13" i="897"/>
  <c r="AC13" i="897" s="1"/>
  <c r="AD13" i="897" s="1"/>
  <c r="O13" i="897"/>
  <c r="M13" i="897"/>
  <c r="K13" i="897"/>
  <c r="AF12" i="897"/>
  <c r="AB12" i="897"/>
  <c r="Q12" i="897"/>
  <c r="P12" i="897"/>
  <c r="AC12" i="897" s="1"/>
  <c r="AD12" i="897" s="1"/>
  <c r="O12" i="897"/>
  <c r="M12" i="897"/>
  <c r="K12" i="897"/>
  <c r="AF11" i="897"/>
  <c r="AB11" i="897"/>
  <c r="Q11" i="897"/>
  <c r="P11" i="897"/>
  <c r="AC11" i="897" s="1"/>
  <c r="O11" i="897"/>
  <c r="M11" i="897"/>
  <c r="AF10" i="897"/>
  <c r="AB10" i="897"/>
  <c r="Q10" i="897"/>
  <c r="M10" i="897"/>
  <c r="P10" i="897"/>
  <c r="AC10" i="897" s="1"/>
  <c r="K10" i="897"/>
  <c r="AF9" i="897"/>
  <c r="Q9" i="897"/>
  <c r="O9" i="897"/>
  <c r="AF8" i="897"/>
  <c r="AB8" i="897"/>
  <c r="Q8" i="897"/>
  <c r="P8" i="897"/>
  <c r="AC8" i="897" s="1"/>
  <c r="AD8" i="897" s="1"/>
  <c r="O8" i="897"/>
  <c r="M8" i="897"/>
  <c r="K8" i="897"/>
  <c r="AF7" i="897"/>
  <c r="AB7" i="897"/>
  <c r="Q7" i="897"/>
  <c r="P7" i="897" s="1"/>
  <c r="AC7" i="897" s="1"/>
  <c r="O7" i="897"/>
  <c r="M7" i="897"/>
  <c r="AF6" i="897"/>
  <c r="AB6" i="897"/>
  <c r="Q6" i="897"/>
  <c r="P6" i="897"/>
  <c r="O6" i="897"/>
  <c r="M6" i="897"/>
  <c r="K6" i="897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896"/>
  <c r="L9" i="896"/>
  <c r="K9" i="896" s="1"/>
  <c r="L10" i="896"/>
  <c r="AF9" i="896"/>
  <c r="AB9" i="896"/>
  <c r="Q9" i="896"/>
  <c r="P9" i="896" s="1"/>
  <c r="AC9" i="896" s="1"/>
  <c r="O9" i="896"/>
  <c r="M9" i="896"/>
  <c r="K20" i="896"/>
  <c r="K19" i="896"/>
  <c r="K17" i="896"/>
  <c r="K13" i="896"/>
  <c r="K11" i="896"/>
  <c r="K10" i="896"/>
  <c r="K8" i="896"/>
  <c r="A75" i="896"/>
  <c r="A76" i="896" s="1"/>
  <c r="A77" i="896" s="1"/>
  <c r="A78" i="896" s="1"/>
  <c r="A79" i="896" s="1"/>
  <c r="A80" i="896" s="1"/>
  <c r="A81" i="896" s="1"/>
  <c r="A74" i="896"/>
  <c r="AF60" i="896"/>
  <c r="AF59" i="896"/>
  <c r="AF62" i="896" s="1"/>
  <c r="AA21" i="896"/>
  <c r="Z21" i="896"/>
  <c r="Y21" i="896"/>
  <c r="X21" i="896"/>
  <c r="W21" i="896"/>
  <c r="V21" i="896"/>
  <c r="U21" i="896"/>
  <c r="T21" i="896"/>
  <c r="S21" i="896"/>
  <c r="R21" i="896"/>
  <c r="N21" i="896"/>
  <c r="J21" i="896"/>
  <c r="I21" i="896"/>
  <c r="AF20" i="896"/>
  <c r="Q20" i="896"/>
  <c r="O20" i="896"/>
  <c r="AF19" i="896"/>
  <c r="AB19" i="896"/>
  <c r="Q19" i="896"/>
  <c r="P19" i="896"/>
  <c r="AC19" i="896" s="1"/>
  <c r="M19" i="896"/>
  <c r="O19" i="896"/>
  <c r="AF18" i="896"/>
  <c r="AB18" i="896"/>
  <c r="Q18" i="896"/>
  <c r="P18" i="896"/>
  <c r="AC18" i="896" s="1"/>
  <c r="AD18" i="896" s="1"/>
  <c r="O18" i="896"/>
  <c r="M18" i="896"/>
  <c r="K18" i="896"/>
  <c r="AF17" i="896"/>
  <c r="Q17" i="896"/>
  <c r="O17" i="896"/>
  <c r="AF16" i="896"/>
  <c r="AB16" i="896"/>
  <c r="Q16" i="896"/>
  <c r="P16" i="896"/>
  <c r="AC16" i="896" s="1"/>
  <c r="O16" i="896"/>
  <c r="M16" i="896"/>
  <c r="K16" i="896"/>
  <c r="AF15" i="896"/>
  <c r="AB15" i="896"/>
  <c r="Q15" i="896"/>
  <c r="P15" i="896"/>
  <c r="AC15" i="896" s="1"/>
  <c r="O15" i="896"/>
  <c r="M15" i="896"/>
  <c r="K15" i="896"/>
  <c r="AF14" i="896"/>
  <c r="AB14" i="896"/>
  <c r="Q14" i="896"/>
  <c r="P14" i="896"/>
  <c r="AC14" i="896" s="1"/>
  <c r="AD14" i="896" s="1"/>
  <c r="O14" i="896"/>
  <c r="M14" i="896"/>
  <c r="K14" i="896"/>
  <c r="AF13" i="896"/>
  <c r="AB13" i="896"/>
  <c r="Q13" i="896"/>
  <c r="P13" i="896"/>
  <c r="AC13" i="896" s="1"/>
  <c r="O13" i="896"/>
  <c r="M13" i="896"/>
  <c r="AF12" i="896"/>
  <c r="AC12" i="896"/>
  <c r="AB12" i="896"/>
  <c r="Q12" i="896"/>
  <c r="P12" i="896"/>
  <c r="O12" i="896"/>
  <c r="M12" i="896"/>
  <c r="K12" i="896"/>
  <c r="AF11" i="896"/>
  <c r="Q11" i="896"/>
  <c r="O11" i="896"/>
  <c r="P11" i="896"/>
  <c r="AC11" i="896" s="1"/>
  <c r="AF10" i="896"/>
  <c r="AB10" i="896"/>
  <c r="Q10" i="896"/>
  <c r="P10" i="896" s="1"/>
  <c r="AC10" i="896" s="1"/>
  <c r="O10" i="896"/>
  <c r="M10" i="896"/>
  <c r="AF8" i="896"/>
  <c r="AB8" i="896"/>
  <c r="Q8" i="896"/>
  <c r="P8" i="896"/>
  <c r="AC8" i="896" s="1"/>
  <c r="M8" i="896"/>
  <c r="L21" i="896"/>
  <c r="O21" i="896" s="1"/>
  <c r="AF7" i="896"/>
  <c r="AC7" i="896"/>
  <c r="AB7" i="896"/>
  <c r="Q7" i="896"/>
  <c r="P7" i="896"/>
  <c r="O7" i="896"/>
  <c r="M7" i="896"/>
  <c r="K7" i="896"/>
  <c r="AF6" i="896"/>
  <c r="AC6" i="896"/>
  <c r="AB6" i="896"/>
  <c r="Q6" i="896"/>
  <c r="P6" i="896"/>
  <c r="O6" i="896"/>
  <c r="M6" i="896"/>
  <c r="K6" i="896"/>
  <c r="AE18" i="898" l="1"/>
  <c r="AE13" i="898"/>
  <c r="AE11" i="898"/>
  <c r="AE8" i="898"/>
  <c r="AE6" i="898"/>
  <c r="AE19" i="898"/>
  <c r="AE16" i="898"/>
  <c r="AE9" i="898"/>
  <c r="AE17" i="898"/>
  <c r="AE20" i="898"/>
  <c r="AE14" i="898"/>
  <c r="AE12" i="898"/>
  <c r="AE7" i="898"/>
  <c r="AE15" i="898"/>
  <c r="AE10" i="898"/>
  <c r="AD18" i="897"/>
  <c r="AD11" i="897"/>
  <c r="Q21" i="897"/>
  <c r="AD7" i="897"/>
  <c r="AD17" i="897"/>
  <c r="AC6" i="897"/>
  <c r="K21" i="897"/>
  <c r="P9" i="897"/>
  <c r="AC9" i="897" s="1"/>
  <c r="P20" i="897"/>
  <c r="AC20" i="897" s="1"/>
  <c r="M9" i="897"/>
  <c r="AB9" i="897"/>
  <c r="O10" i="897"/>
  <c r="AD10" i="897" s="1"/>
  <c r="M20" i="897"/>
  <c r="AB20" i="897"/>
  <c r="L21" i="897"/>
  <c r="O21" i="897" s="1"/>
  <c r="AD9" i="896"/>
  <c r="Q21" i="896"/>
  <c r="AD13" i="896"/>
  <c r="AD7" i="896"/>
  <c r="AD10" i="896"/>
  <c r="AD15" i="896"/>
  <c r="AD19" i="896"/>
  <c r="AD12" i="896"/>
  <c r="AD16" i="896"/>
  <c r="AD8" i="896"/>
  <c r="AD6" i="896"/>
  <c r="O8" i="896"/>
  <c r="K21" i="896"/>
  <c r="M11" i="896"/>
  <c r="AB11" i="896"/>
  <c r="P17" i="896"/>
  <c r="AC17" i="896" s="1"/>
  <c r="P20" i="896"/>
  <c r="AC20" i="896" s="1"/>
  <c r="M21" i="896"/>
  <c r="M17" i="896"/>
  <c r="AB17" i="896"/>
  <c r="M20" i="896"/>
  <c r="AB20" i="89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895"/>
  <c r="O20" i="895" s="1"/>
  <c r="L19" i="895"/>
  <c r="L17" i="895"/>
  <c r="L13" i="895"/>
  <c r="K13" i="895" s="1"/>
  <c r="L11" i="895"/>
  <c r="K11" i="895" s="1"/>
  <c r="L10" i="895"/>
  <c r="L9" i="895"/>
  <c r="K9" i="895" s="1"/>
  <c r="L8" i="895"/>
  <c r="K8" i="895" s="1"/>
  <c r="K20" i="895"/>
  <c r="K19" i="895"/>
  <c r="K17" i="895"/>
  <c r="K10" i="895"/>
  <c r="A75" i="895"/>
  <c r="A76" i="895" s="1"/>
  <c r="A77" i="895" s="1"/>
  <c r="A78" i="895" s="1"/>
  <c r="A79" i="895" s="1"/>
  <c r="A80" i="895" s="1"/>
  <c r="A81" i="895" s="1"/>
  <c r="A74" i="895"/>
  <c r="AF60" i="895"/>
  <c r="AF59" i="895"/>
  <c r="AF62" i="895" s="1"/>
  <c r="AA21" i="895"/>
  <c r="Z21" i="895"/>
  <c r="Y21" i="895"/>
  <c r="X21" i="895"/>
  <c r="W21" i="895"/>
  <c r="V21" i="895"/>
  <c r="U21" i="895"/>
  <c r="T21" i="895"/>
  <c r="S21" i="895"/>
  <c r="R21" i="895"/>
  <c r="N21" i="895"/>
  <c r="J21" i="895"/>
  <c r="I21" i="895"/>
  <c r="AF20" i="895"/>
  <c r="Q20" i="895"/>
  <c r="AF19" i="895"/>
  <c r="Q19" i="895"/>
  <c r="AB19" i="895"/>
  <c r="AF18" i="895"/>
  <c r="AB18" i="895"/>
  <c r="Q18" i="895"/>
  <c r="P18" i="895"/>
  <c r="AC18" i="895" s="1"/>
  <c r="AD18" i="895" s="1"/>
  <c r="O18" i="895"/>
  <c r="M18" i="895"/>
  <c r="K18" i="895"/>
  <c r="AF17" i="895"/>
  <c r="Q17" i="895"/>
  <c r="O17" i="895"/>
  <c r="AF16" i="895"/>
  <c r="AB16" i="895"/>
  <c r="Q16" i="895"/>
  <c r="P16" i="895"/>
  <c r="AC16" i="895" s="1"/>
  <c r="O16" i="895"/>
  <c r="M16" i="895"/>
  <c r="K16" i="895"/>
  <c r="AF15" i="895"/>
  <c r="AC15" i="895"/>
  <c r="AB15" i="895"/>
  <c r="Q15" i="895"/>
  <c r="P15" i="895"/>
  <c r="O15" i="895"/>
  <c r="M15" i="895"/>
  <c r="K15" i="895"/>
  <c r="AF14" i="895"/>
  <c r="AB14" i="895"/>
  <c r="Q14" i="895"/>
  <c r="P14" i="895"/>
  <c r="AC14" i="895" s="1"/>
  <c r="O14" i="895"/>
  <c r="M14" i="895"/>
  <c r="K14" i="895"/>
  <c r="AF13" i="895"/>
  <c r="AB13" i="895"/>
  <c r="Q13" i="895"/>
  <c r="P13" i="895" s="1"/>
  <c r="AC13" i="895" s="1"/>
  <c r="O13" i="895"/>
  <c r="M13" i="895"/>
  <c r="AF12" i="895"/>
  <c r="AB12" i="895"/>
  <c r="Q12" i="895"/>
  <c r="P12" i="895"/>
  <c r="AC12" i="895" s="1"/>
  <c r="AD12" i="895" s="1"/>
  <c r="O12" i="895"/>
  <c r="M12" i="895"/>
  <c r="K12" i="895"/>
  <c r="AF11" i="895"/>
  <c r="AB11" i="895"/>
  <c r="Q11" i="895"/>
  <c r="P11" i="895" s="1"/>
  <c r="AC11" i="895" s="1"/>
  <c r="O11" i="895"/>
  <c r="M11" i="895"/>
  <c r="AF10" i="895"/>
  <c r="Q10" i="895"/>
  <c r="P10" i="895"/>
  <c r="AC10" i="895" s="1"/>
  <c r="AB10" i="895"/>
  <c r="AF9" i="895"/>
  <c r="AB9" i="895"/>
  <c r="Q9" i="895"/>
  <c r="P9" i="895" s="1"/>
  <c r="AC9" i="895" s="1"/>
  <c r="O9" i="895"/>
  <c r="M9" i="895"/>
  <c r="AF8" i="895"/>
  <c r="AB8" i="895"/>
  <c r="Q8" i="895"/>
  <c r="O8" i="895"/>
  <c r="M8" i="895"/>
  <c r="P8" i="895"/>
  <c r="AC8" i="895" s="1"/>
  <c r="AF7" i="895"/>
  <c r="AB7" i="895"/>
  <c r="Q7" i="895"/>
  <c r="P7" i="895"/>
  <c r="AC7" i="895" s="1"/>
  <c r="AD7" i="895" s="1"/>
  <c r="O7" i="895"/>
  <c r="M7" i="895"/>
  <c r="K7" i="895"/>
  <c r="AF6" i="895"/>
  <c r="AC6" i="895"/>
  <c r="AB6" i="895"/>
  <c r="Q6" i="895"/>
  <c r="P6" i="895"/>
  <c r="O6" i="895"/>
  <c r="M6" i="895"/>
  <c r="K6" i="895"/>
  <c r="AB21" i="897" l="1"/>
  <c r="M21" i="897"/>
  <c r="AD9" i="897"/>
  <c r="P21" i="897"/>
  <c r="AD20" i="897"/>
  <c r="AC21" i="897"/>
  <c r="AD6" i="897"/>
  <c r="AB21" i="896"/>
  <c r="AD11" i="896"/>
  <c r="AD17" i="896"/>
  <c r="AC21" i="896"/>
  <c r="AD20" i="896"/>
  <c r="AD21" i="896" s="1"/>
  <c r="AE9" i="896" s="1"/>
  <c r="P21" i="896"/>
  <c r="P19" i="895"/>
  <c r="AC19" i="895" s="1"/>
  <c r="AD11" i="895"/>
  <c r="Q21" i="895"/>
  <c r="AD9" i="895"/>
  <c r="AD8" i="895"/>
  <c r="AD14" i="895"/>
  <c r="AD15" i="895"/>
  <c r="AD13" i="895"/>
  <c r="AD16" i="895"/>
  <c r="AD10" i="895"/>
  <c r="AD6" i="895"/>
  <c r="O10" i="895"/>
  <c r="K21" i="895"/>
  <c r="P17" i="895"/>
  <c r="AC17" i="895" s="1"/>
  <c r="O19" i="895"/>
  <c r="P20" i="895"/>
  <c r="AC20" i="895" s="1"/>
  <c r="M17" i="895"/>
  <c r="AB17" i="895"/>
  <c r="M20" i="895"/>
  <c r="AB20" i="895"/>
  <c r="L21" i="895"/>
  <c r="O21" i="895" s="1"/>
  <c r="M10" i="895"/>
  <c r="M19" i="895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0" i="894"/>
  <c r="L19" i="894"/>
  <c r="K19" i="894" s="1"/>
  <c r="AD21" i="897" l="1"/>
  <c r="AE18" i="896"/>
  <c r="AE19" i="896"/>
  <c r="AE16" i="896"/>
  <c r="AE14" i="896"/>
  <c r="AE8" i="896"/>
  <c r="AE17" i="896"/>
  <c r="AE12" i="896"/>
  <c r="AE20" i="896"/>
  <c r="AE15" i="896"/>
  <c r="AE13" i="896"/>
  <c r="AE10" i="896"/>
  <c r="AE11" i="896"/>
  <c r="AE7" i="896"/>
  <c r="AE6" i="896"/>
  <c r="AD19" i="895"/>
  <c r="AD17" i="895"/>
  <c r="M21" i="895"/>
  <c r="AB21" i="895"/>
  <c r="AD20" i="895"/>
  <c r="P21" i="895"/>
  <c r="AC21" i="895"/>
  <c r="L17" i="894"/>
  <c r="K17" i="894" s="1"/>
  <c r="L10" i="894"/>
  <c r="K10" i="894" s="1"/>
  <c r="L9" i="894"/>
  <c r="L8" i="894"/>
  <c r="K8" i="894" s="1"/>
  <c r="K20" i="894"/>
  <c r="K18" i="894"/>
  <c r="K13" i="894"/>
  <c r="A74" i="894"/>
  <c r="A75" i="894" s="1"/>
  <c r="A76" i="894" s="1"/>
  <c r="A77" i="894" s="1"/>
  <c r="A78" i="894" s="1"/>
  <c r="A79" i="894" s="1"/>
  <c r="A80" i="894" s="1"/>
  <c r="A81" i="894" s="1"/>
  <c r="AF60" i="894"/>
  <c r="AF62" i="894" s="1"/>
  <c r="AF59" i="894"/>
  <c r="AA21" i="894"/>
  <c r="Z21" i="894"/>
  <c r="Y21" i="894"/>
  <c r="X21" i="894"/>
  <c r="W21" i="894"/>
  <c r="V21" i="894"/>
  <c r="U21" i="894"/>
  <c r="T21" i="894"/>
  <c r="S21" i="894"/>
  <c r="R21" i="894"/>
  <c r="N21" i="894"/>
  <c r="J21" i="894"/>
  <c r="I21" i="894"/>
  <c r="AF20" i="894"/>
  <c r="AB20" i="894"/>
  <c r="Q20" i="894"/>
  <c r="M20" i="894"/>
  <c r="O20" i="894"/>
  <c r="AF19" i="894"/>
  <c r="AB19" i="894"/>
  <c r="Q19" i="894"/>
  <c r="P19" i="894" s="1"/>
  <c r="AC19" i="894" s="1"/>
  <c r="O19" i="894"/>
  <c r="M19" i="894"/>
  <c r="AF18" i="894"/>
  <c r="AB18" i="894"/>
  <c r="Q18" i="894"/>
  <c r="P18" i="894" s="1"/>
  <c r="AC18" i="894" s="1"/>
  <c r="O18" i="894"/>
  <c r="M18" i="894"/>
  <c r="AF17" i="894"/>
  <c r="Q17" i="894"/>
  <c r="AB17" i="894"/>
  <c r="AF16" i="894"/>
  <c r="AB16" i="894"/>
  <c r="Q16" i="894"/>
  <c r="P16" i="894"/>
  <c r="AC16" i="894" s="1"/>
  <c r="O16" i="894"/>
  <c r="M16" i="894"/>
  <c r="K16" i="894"/>
  <c r="AF15" i="894"/>
  <c r="AB15" i="894"/>
  <c r="Q15" i="894"/>
  <c r="P15" i="894"/>
  <c r="AC15" i="894" s="1"/>
  <c r="O15" i="894"/>
  <c r="M15" i="894"/>
  <c r="K15" i="894"/>
  <c r="AF14" i="894"/>
  <c r="AB14" i="894"/>
  <c r="Q14" i="894"/>
  <c r="P14" i="894"/>
  <c r="AC14" i="894" s="1"/>
  <c r="O14" i="894"/>
  <c r="M14" i="894"/>
  <c r="K14" i="894"/>
  <c r="AF13" i="894"/>
  <c r="AB13" i="894"/>
  <c r="Q13" i="894"/>
  <c r="M13" i="894"/>
  <c r="O13" i="894"/>
  <c r="AF12" i="894"/>
  <c r="AB12" i="894"/>
  <c r="Q12" i="894"/>
  <c r="P12" i="894"/>
  <c r="AC12" i="894" s="1"/>
  <c r="O12" i="894"/>
  <c r="M12" i="894"/>
  <c r="K12" i="894"/>
  <c r="AF11" i="894"/>
  <c r="AC11" i="894"/>
  <c r="AB11" i="894"/>
  <c r="Q11" i="894"/>
  <c r="P11" i="894"/>
  <c r="O11" i="894"/>
  <c r="M11" i="894"/>
  <c r="K11" i="894"/>
  <c r="AF10" i="894"/>
  <c r="Q10" i="894"/>
  <c r="AB10" i="894"/>
  <c r="AF9" i="894"/>
  <c r="AB9" i="894"/>
  <c r="Q9" i="894"/>
  <c r="P9" i="894" s="1"/>
  <c r="AC9" i="894" s="1"/>
  <c r="O9" i="894"/>
  <c r="M9" i="894"/>
  <c r="K9" i="894"/>
  <c r="AF8" i="894"/>
  <c r="AB8" i="894"/>
  <c r="Q8" i="894"/>
  <c r="M8" i="894"/>
  <c r="O8" i="894"/>
  <c r="AF7" i="894"/>
  <c r="AB7" i="894"/>
  <c r="Q7" i="894"/>
  <c r="P7" i="894"/>
  <c r="AC7" i="894" s="1"/>
  <c r="O7" i="894"/>
  <c r="M7" i="894"/>
  <c r="K7" i="894"/>
  <c r="AF6" i="894"/>
  <c r="AC6" i="894"/>
  <c r="AB6" i="894"/>
  <c r="Q6" i="894"/>
  <c r="P6" i="894"/>
  <c r="O6" i="894"/>
  <c r="M6" i="894"/>
  <c r="K6" i="894"/>
  <c r="AE19" i="897" l="1"/>
  <c r="AE17" i="897"/>
  <c r="AE15" i="897"/>
  <c r="AE13" i="897"/>
  <c r="AE11" i="897"/>
  <c r="AE8" i="897"/>
  <c r="AE6" i="897"/>
  <c r="AE20" i="897"/>
  <c r="AE9" i="897"/>
  <c r="AE18" i="897"/>
  <c r="AE16" i="897"/>
  <c r="AE14" i="897"/>
  <c r="AE12" i="897"/>
  <c r="AE10" i="897"/>
  <c r="AE7" i="897"/>
  <c r="AD21" i="895"/>
  <c r="AE18" i="895" s="1"/>
  <c r="Q21" i="894"/>
  <c r="AD19" i="894"/>
  <c r="AD9" i="894"/>
  <c r="AD12" i="894"/>
  <c r="AD14" i="894"/>
  <c r="AD7" i="894"/>
  <c r="AD16" i="894"/>
  <c r="AD11" i="894"/>
  <c r="AD15" i="894"/>
  <c r="AD18" i="894"/>
  <c r="AB21" i="894"/>
  <c r="K21" i="894"/>
  <c r="P8" i="894"/>
  <c r="AC8" i="894" s="1"/>
  <c r="AD8" i="894" s="1"/>
  <c r="O10" i="894"/>
  <c r="P13" i="894"/>
  <c r="AC13" i="894" s="1"/>
  <c r="AD13" i="894" s="1"/>
  <c r="O17" i="894"/>
  <c r="P20" i="894"/>
  <c r="AC20" i="894" s="1"/>
  <c r="AD20" i="894" s="1"/>
  <c r="P10" i="894"/>
  <c r="AC10" i="894" s="1"/>
  <c r="AD10" i="894" s="1"/>
  <c r="P17" i="894"/>
  <c r="AC17" i="894" s="1"/>
  <c r="L21" i="894"/>
  <c r="O21" i="894" s="1"/>
  <c r="AD6" i="894"/>
  <c r="M10" i="894"/>
  <c r="M17" i="894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893"/>
  <c r="K20" i="893" s="1"/>
  <c r="L17" i="893"/>
  <c r="M17" i="893" s="1"/>
  <c r="L13" i="893"/>
  <c r="L10" i="893"/>
  <c r="L8" i="893"/>
  <c r="K8" i="893" s="1"/>
  <c r="K19" i="893"/>
  <c r="K18" i="893"/>
  <c r="K12" i="893"/>
  <c r="K10" i="893"/>
  <c r="K9" i="893"/>
  <c r="A74" i="893"/>
  <c r="A75" i="893" s="1"/>
  <c r="A76" i="893" s="1"/>
  <c r="A77" i="893" s="1"/>
  <c r="A78" i="893" s="1"/>
  <c r="A79" i="893" s="1"/>
  <c r="A80" i="893" s="1"/>
  <c r="A81" i="893" s="1"/>
  <c r="AF60" i="893"/>
  <c r="AF59" i="893"/>
  <c r="AA21" i="893"/>
  <c r="Z21" i="893"/>
  <c r="Y21" i="893"/>
  <c r="X21" i="893"/>
  <c r="W21" i="893"/>
  <c r="V21" i="893"/>
  <c r="U21" i="893"/>
  <c r="T21" i="893"/>
  <c r="S21" i="893"/>
  <c r="R21" i="893"/>
  <c r="N21" i="893"/>
  <c r="J21" i="893"/>
  <c r="I21" i="893"/>
  <c r="AF20" i="893"/>
  <c r="Q20" i="893"/>
  <c r="P20" i="893" s="1"/>
  <c r="AC20" i="893" s="1"/>
  <c r="M20" i="893"/>
  <c r="AF19" i="893"/>
  <c r="AB19" i="893"/>
  <c r="Q19" i="893"/>
  <c r="P19" i="893" s="1"/>
  <c r="AC19" i="893" s="1"/>
  <c r="O19" i="893"/>
  <c r="M19" i="893"/>
  <c r="AF18" i="893"/>
  <c r="Q18" i="893"/>
  <c r="P18" i="893" s="1"/>
  <c r="AC18" i="893" s="1"/>
  <c r="O18" i="893"/>
  <c r="AB18" i="893"/>
  <c r="AF17" i="893"/>
  <c r="Q17" i="893"/>
  <c r="AF16" i="893"/>
  <c r="AB16" i="893"/>
  <c r="Q16" i="893"/>
  <c r="P16" i="893"/>
  <c r="AC16" i="893" s="1"/>
  <c r="O16" i="893"/>
  <c r="M16" i="893"/>
  <c r="K16" i="893"/>
  <c r="AF15" i="893"/>
  <c r="AB15" i="893"/>
  <c r="Q15" i="893"/>
  <c r="P15" i="893"/>
  <c r="AC15" i="893" s="1"/>
  <c r="O15" i="893"/>
  <c r="M15" i="893"/>
  <c r="K15" i="893"/>
  <c r="AF14" i="893"/>
  <c r="AB14" i="893"/>
  <c r="Q14" i="893"/>
  <c r="P14" i="893"/>
  <c r="AC14" i="893" s="1"/>
  <c r="O14" i="893"/>
  <c r="M14" i="893"/>
  <c r="K14" i="893"/>
  <c r="AF13" i="893"/>
  <c r="AB13" i="893"/>
  <c r="Q13" i="893"/>
  <c r="P13" i="893" s="1"/>
  <c r="AC13" i="893" s="1"/>
  <c r="O13" i="893"/>
  <c r="M13" i="893"/>
  <c r="K13" i="893"/>
  <c r="AF12" i="893"/>
  <c r="AB12" i="893"/>
  <c r="Q12" i="893"/>
  <c r="P12" i="893" s="1"/>
  <c r="AC12" i="893" s="1"/>
  <c r="O12" i="893"/>
  <c r="M12" i="893"/>
  <c r="AF11" i="893"/>
  <c r="AB11" i="893"/>
  <c r="Q11" i="893"/>
  <c r="P11" i="893"/>
  <c r="AC11" i="893" s="1"/>
  <c r="O11" i="893"/>
  <c r="M11" i="893"/>
  <c r="K11" i="893"/>
  <c r="AF10" i="893"/>
  <c r="Q10" i="893"/>
  <c r="P10" i="893" s="1"/>
  <c r="AC10" i="893" s="1"/>
  <c r="O10" i="893"/>
  <c r="AF9" i="893"/>
  <c r="AB9" i="893"/>
  <c r="Q9" i="893"/>
  <c r="P9" i="893"/>
  <c r="AC9" i="893" s="1"/>
  <c r="O9" i="893"/>
  <c r="M9" i="893"/>
  <c r="AF8" i="893"/>
  <c r="AB8" i="893"/>
  <c r="Q8" i="893"/>
  <c r="P8" i="893" s="1"/>
  <c r="AC8" i="893" s="1"/>
  <c r="O8" i="893"/>
  <c r="M8" i="893"/>
  <c r="AF7" i="893"/>
  <c r="AB7" i="893"/>
  <c r="Q7" i="893"/>
  <c r="P7" i="893"/>
  <c r="AC7" i="893" s="1"/>
  <c r="O7" i="893"/>
  <c r="M7" i="893"/>
  <c r="K7" i="893"/>
  <c r="AF6" i="893"/>
  <c r="AB6" i="893"/>
  <c r="Q6" i="893"/>
  <c r="P6" i="893"/>
  <c r="O6" i="893"/>
  <c r="M6" i="893"/>
  <c r="K6" i="893"/>
  <c r="AE17" i="895" l="1"/>
  <c r="AE14" i="895"/>
  <c r="AE15" i="895"/>
  <c r="AE7" i="895"/>
  <c r="AE8" i="895"/>
  <c r="AE20" i="895"/>
  <c r="AE6" i="895"/>
  <c r="AE10" i="895"/>
  <c r="AE11" i="895"/>
  <c r="AE16" i="895"/>
  <c r="AE9" i="895"/>
  <c r="AE12" i="895"/>
  <c r="AE13" i="895"/>
  <c r="AE19" i="895"/>
  <c r="M21" i="894"/>
  <c r="AC21" i="894"/>
  <c r="AD17" i="894"/>
  <c r="AD21" i="894" s="1"/>
  <c r="P21" i="894"/>
  <c r="AD14" i="893"/>
  <c r="AB20" i="893"/>
  <c r="AD20" i="893" s="1"/>
  <c r="AF62" i="893"/>
  <c r="O20" i="893"/>
  <c r="AD15" i="893"/>
  <c r="AD13" i="893"/>
  <c r="Q21" i="893"/>
  <c r="K17" i="893"/>
  <c r="O17" i="893"/>
  <c r="L21" i="893"/>
  <c r="O21" i="893" s="1"/>
  <c r="P17" i="893"/>
  <c r="AC17" i="893" s="1"/>
  <c r="AB17" i="893"/>
  <c r="AD11" i="893"/>
  <c r="AD16" i="893"/>
  <c r="AD7" i="893"/>
  <c r="AD19" i="893"/>
  <c r="AD8" i="893"/>
  <c r="AD9" i="893"/>
  <c r="AD12" i="893"/>
  <c r="AD18" i="893"/>
  <c r="K21" i="893"/>
  <c r="AC6" i="893"/>
  <c r="M10" i="893"/>
  <c r="AB10" i="893"/>
  <c r="M18" i="893"/>
  <c r="B18" i="16"/>
  <c r="B17" i="16"/>
  <c r="B16" i="16"/>
  <c r="B15" i="16"/>
  <c r="B14" i="16"/>
  <c r="B13" i="16"/>
  <c r="B12" i="16"/>
  <c r="B11" i="16"/>
  <c r="B10" i="16"/>
  <c r="B9" i="16"/>
  <c r="AG9" i="16" s="1"/>
  <c r="B8" i="16"/>
  <c r="B7" i="16"/>
  <c r="B6" i="16"/>
  <c r="B5" i="16"/>
  <c r="B4" i="16"/>
  <c r="B3" i="16"/>
  <c r="AG3" i="16" s="1"/>
  <c r="AG18" i="16"/>
  <c r="AG17" i="16"/>
  <c r="AG16" i="16"/>
  <c r="AG15" i="16"/>
  <c r="AG14" i="16"/>
  <c r="AG13" i="16"/>
  <c r="AG12" i="16"/>
  <c r="AG11" i="16"/>
  <c r="AG10" i="16"/>
  <c r="AG8" i="16"/>
  <c r="AG7" i="16"/>
  <c r="AG6" i="16"/>
  <c r="AG5" i="16"/>
  <c r="AG4" i="16"/>
  <c r="AF13" i="892"/>
  <c r="AB13" i="892"/>
  <c r="Q13" i="892"/>
  <c r="P13" i="892" s="1"/>
  <c r="AC13" i="892" s="1"/>
  <c r="O13" i="892"/>
  <c r="M13" i="892"/>
  <c r="K13" i="892"/>
  <c r="L21" i="892"/>
  <c r="K21" i="892" s="1"/>
  <c r="K20" i="892"/>
  <c r="L19" i="892"/>
  <c r="K19" i="892" s="1"/>
  <c r="L18" i="892"/>
  <c r="K18" i="892" s="1"/>
  <c r="K12" i="892"/>
  <c r="L10" i="892"/>
  <c r="K14" i="892"/>
  <c r="K11" i="892"/>
  <c r="K10" i="892"/>
  <c r="K9" i="892"/>
  <c r="K8" i="892"/>
  <c r="AE16" i="894" l="1"/>
  <c r="AE14" i="894"/>
  <c r="AE9" i="894"/>
  <c r="AE19" i="894"/>
  <c r="AE17" i="894"/>
  <c r="AE12" i="894"/>
  <c r="AE20" i="894"/>
  <c r="AE15" i="894"/>
  <c r="AE13" i="894"/>
  <c r="AE8" i="894"/>
  <c r="AE10" i="894"/>
  <c r="AE7" i="894"/>
  <c r="AE18" i="894"/>
  <c r="AE11" i="894"/>
  <c r="AE6" i="894"/>
  <c r="AD17" i="893"/>
  <c r="P21" i="893"/>
  <c r="AB21" i="893"/>
  <c r="M21" i="893"/>
  <c r="AD10" i="893"/>
  <c r="AC21" i="893"/>
  <c r="AD6" i="893"/>
  <c r="AD13" i="892"/>
  <c r="AF19" i="892"/>
  <c r="AB19" i="892"/>
  <c r="Q19" i="892"/>
  <c r="P19" i="892" s="1"/>
  <c r="AC19" i="892" s="1"/>
  <c r="O19" i="892"/>
  <c r="M19" i="892"/>
  <c r="K16" i="892"/>
  <c r="K15" i="892"/>
  <c r="AD21" i="893" l="1"/>
  <c r="AE8" i="893" s="1"/>
  <c r="AD19" i="892"/>
  <c r="AE18" i="893" l="1"/>
  <c r="AE10" i="893"/>
  <c r="AE17" i="893"/>
  <c r="AE11" i="893"/>
  <c r="AE6" i="893"/>
  <c r="AE20" i="893"/>
  <c r="AE12" i="893"/>
  <c r="AE16" i="893"/>
  <c r="AE13" i="893"/>
  <c r="AE7" i="893"/>
  <c r="AE14" i="893"/>
  <c r="AE15" i="893"/>
  <c r="AE9" i="893"/>
  <c r="AE19" i="893"/>
  <c r="A75" i="892"/>
  <c r="A76" i="892" s="1"/>
  <c r="A77" i="892" s="1"/>
  <c r="A78" i="892" s="1"/>
  <c r="A79" i="892" s="1"/>
  <c r="A80" i="892" s="1"/>
  <c r="A81" i="892" s="1"/>
  <c r="A82" i="892" s="1"/>
  <c r="AF63" i="892"/>
  <c r="AF61" i="892"/>
  <c r="AF60" i="892"/>
  <c r="AA22" i="892"/>
  <c r="Z22" i="892"/>
  <c r="Y22" i="892"/>
  <c r="X22" i="892"/>
  <c r="W22" i="892"/>
  <c r="V22" i="892"/>
  <c r="U22" i="892"/>
  <c r="T22" i="892"/>
  <c r="S22" i="892"/>
  <c r="R22" i="892"/>
  <c r="N22" i="892"/>
  <c r="J22" i="892"/>
  <c r="I22" i="892"/>
  <c r="AF21" i="892"/>
  <c r="Q21" i="892"/>
  <c r="O21" i="892"/>
  <c r="AB21" i="892"/>
  <c r="AF20" i="892"/>
  <c r="AB20" i="892"/>
  <c r="Q20" i="892"/>
  <c r="P20" i="892" s="1"/>
  <c r="AC20" i="892" s="1"/>
  <c r="O20" i="892"/>
  <c r="M20" i="892"/>
  <c r="AF18" i="892"/>
  <c r="Q18" i="892"/>
  <c r="O18" i="892"/>
  <c r="AB18" i="892"/>
  <c r="AF17" i="892"/>
  <c r="AB17" i="892"/>
  <c r="Q17" i="892"/>
  <c r="P17" i="892"/>
  <c r="AC17" i="892" s="1"/>
  <c r="O17" i="892"/>
  <c r="M17" i="892"/>
  <c r="K17" i="892"/>
  <c r="AF16" i="892"/>
  <c r="AB16" i="892"/>
  <c r="Q16" i="892"/>
  <c r="P16" i="892"/>
  <c r="AC16" i="892" s="1"/>
  <c r="M16" i="892"/>
  <c r="O16" i="892"/>
  <c r="AF15" i="892"/>
  <c r="AB15" i="892"/>
  <c r="Q15" i="892"/>
  <c r="P15" i="892" s="1"/>
  <c r="AC15" i="892" s="1"/>
  <c r="O15" i="892"/>
  <c r="M15" i="892"/>
  <c r="AF14" i="892"/>
  <c r="Q14" i="892"/>
  <c r="P14" i="892" s="1"/>
  <c r="AC14" i="892" s="1"/>
  <c r="AF12" i="892"/>
  <c r="AB12" i="892"/>
  <c r="Q12" i="892"/>
  <c r="P12" i="892" s="1"/>
  <c r="AC12" i="892" s="1"/>
  <c r="O12" i="892"/>
  <c r="M12" i="892"/>
  <c r="AF11" i="892"/>
  <c r="AB11" i="892"/>
  <c r="Q11" i="892"/>
  <c r="P11" i="892" s="1"/>
  <c r="AC11" i="892" s="1"/>
  <c r="O11" i="892"/>
  <c r="M11" i="892"/>
  <c r="AF10" i="892"/>
  <c r="AB10" i="892"/>
  <c r="Q10" i="892"/>
  <c r="P10" i="892" s="1"/>
  <c r="AC10" i="892" s="1"/>
  <c r="M10" i="892"/>
  <c r="O10" i="892"/>
  <c r="AF9" i="892"/>
  <c r="Q9" i="892"/>
  <c r="O9" i="892"/>
  <c r="AB9" i="892"/>
  <c r="AF8" i="892"/>
  <c r="AB8" i="892"/>
  <c r="Q8" i="892"/>
  <c r="P8" i="892" s="1"/>
  <c r="AC8" i="892" s="1"/>
  <c r="O8" i="892"/>
  <c r="M8" i="892"/>
  <c r="L22" i="892"/>
  <c r="O22" i="892" s="1"/>
  <c r="AF7" i="892"/>
  <c r="AB7" i="892"/>
  <c r="Q7" i="892"/>
  <c r="P7" i="892"/>
  <c r="AC7" i="892" s="1"/>
  <c r="O7" i="892"/>
  <c r="M7" i="892"/>
  <c r="K7" i="892"/>
  <c r="AF6" i="892"/>
  <c r="AB6" i="892"/>
  <c r="Q6" i="892"/>
  <c r="P6" i="892"/>
  <c r="AC6" i="892" s="1"/>
  <c r="O6" i="892"/>
  <c r="M6" i="892"/>
  <c r="K6" i="892"/>
  <c r="AD20" i="892" l="1"/>
  <c r="AD6" i="892"/>
  <c r="AD7" i="892"/>
  <c r="AD16" i="892"/>
  <c r="AD11" i="892"/>
  <c r="Q22" i="892"/>
  <c r="AD15" i="892"/>
  <c r="AD17" i="892"/>
  <c r="AD8" i="892"/>
  <c r="AD12" i="892"/>
  <c r="AD10" i="892"/>
  <c r="K22" i="892"/>
  <c r="P9" i="892"/>
  <c r="AC9" i="892" s="1"/>
  <c r="AD9" i="892" s="1"/>
  <c r="M14" i="892"/>
  <c r="AB14" i="892"/>
  <c r="AB22" i="892" s="1"/>
  <c r="P18" i="892"/>
  <c r="AC18" i="892" s="1"/>
  <c r="AD18" i="892" s="1"/>
  <c r="P21" i="892"/>
  <c r="AC21" i="892" s="1"/>
  <c r="AD21" i="892" s="1"/>
  <c r="O14" i="892"/>
  <c r="M9" i="892"/>
  <c r="M18" i="892"/>
  <c r="M21" i="892"/>
  <c r="M22" i="892" l="1"/>
  <c r="AD14" i="892"/>
  <c r="P22" i="892"/>
  <c r="AC22" i="892"/>
  <c r="AD22" i="892" l="1"/>
  <c r="AE14" i="892" s="1"/>
  <c r="AE13" i="892" l="1"/>
  <c r="AE10" i="892"/>
  <c r="AE15" i="892"/>
  <c r="AE17" i="892"/>
  <c r="AE16" i="892"/>
  <c r="AE21" i="892"/>
  <c r="AE8" i="892"/>
  <c r="AE12" i="892"/>
  <c r="AE18" i="892"/>
  <c r="AE6" i="892"/>
  <c r="AE20" i="892"/>
  <c r="AE9" i="892"/>
  <c r="AE7" i="892"/>
  <c r="AE11" i="892"/>
  <c r="AE19" i="892"/>
</calcChain>
</file>

<file path=xl/sharedStrings.xml><?xml version="1.0" encoding="utf-8"?>
<sst xmlns="http://schemas.openxmlformats.org/spreadsheetml/2006/main" count="6593" uniqueCount="1169">
  <si>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</si>
  <si>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</si>
  <si>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</si>
  <si>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</si>
  <si>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</si>
  <si>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</si>
  <si>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</si>
  <si>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</si>
  <si>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</si>
  <si>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</si>
  <si>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</si>
  <si>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</si>
  <si>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</si>
  <si>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</si>
  <si>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</si>
  <si>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</si>
  <si>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</si>
  <si>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</si>
  <si>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</si>
  <si>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</si>
  <si>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</si>
  <si>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</si>
  <si>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</si>
  <si>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</si>
  <si>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</si>
  <si>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</si>
  <si>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</si>
  <si>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</si>
  <si>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</si>
  <si>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</si>
  <si>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</si>
  <si>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</si>
  <si>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</si>
  <si>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</si>
  <si>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</si>
  <si>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</si>
  <si>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</si>
  <si>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</si>
  <si>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</si>
  <si>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</si>
  <si>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</si>
  <si>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</si>
  <si>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</si>
  <si>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</si>
  <si>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</si>
  <si>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</si>
  <si>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</si>
  <si>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</si>
  <si>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</si>
  <si>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</si>
  <si>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</si>
  <si>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</si>
  <si>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</si>
  <si>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</si>
  <si>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</si>
  <si>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</si>
  <si>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</si>
  <si>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</si>
  <si>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</si>
  <si>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</si>
  <si>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</si>
  <si>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 xml:space="preserve"> 세척</t>
    <phoneticPr fontId="2" type="noConversion"/>
  </si>
  <si>
    <t>HICON</t>
    <phoneticPr fontId="2" type="noConversion"/>
  </si>
  <si>
    <t>2829H-05-001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</si>
  <si>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</si>
  <si>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</si>
  <si>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</si>
  <si>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</si>
  <si>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</si>
  <si>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</si>
  <si>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</si>
  <si>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</si>
  <si>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</si>
  <si>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</si>
  <si>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</si>
  <si>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</si>
  <si>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</si>
  <si>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</si>
  <si>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</si>
  <si>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</si>
  <si>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</si>
  <si>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</si>
  <si>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</si>
  <si>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</si>
  <si>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</si>
  <si>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</si>
  <si>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</si>
  <si>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</si>
  <si>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</si>
  <si>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</si>
  <si>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</si>
  <si>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</si>
  <si>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</si>
  <si>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</si>
  <si>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</si>
  <si>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</si>
  <si>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</si>
  <si>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</si>
  <si>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</si>
  <si>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</si>
  <si>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</si>
  <si>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</si>
  <si>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</si>
  <si>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</si>
  <si>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</si>
  <si>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</si>
  <si>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</si>
  <si>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</si>
  <si>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</si>
  <si>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</si>
  <si>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</si>
  <si>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</si>
  <si>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</si>
  <si>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</si>
  <si>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</si>
  <si>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</si>
  <si>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</si>
  <si>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</si>
  <si>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</si>
  <si>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</si>
  <si>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</si>
  <si>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SLIDER</t>
    <phoneticPr fontId="2" type="noConversion"/>
  </si>
  <si>
    <t>MCS</t>
    <phoneticPr fontId="2" type="noConversion"/>
  </si>
  <si>
    <t>STOPPER</t>
    <phoneticPr fontId="2" type="noConversion"/>
  </si>
  <si>
    <t>HSA65-M002C1(A)</t>
    <phoneticPr fontId="2" type="noConversion"/>
  </si>
  <si>
    <t>HSA65-M002C1(CD)</t>
    <phoneticPr fontId="2" type="noConversion"/>
  </si>
  <si>
    <t>HSA65-M001B1(A)</t>
    <phoneticPr fontId="2" type="noConversion"/>
  </si>
  <si>
    <t>SGF2030</t>
    <phoneticPr fontId="2" type="noConversion"/>
  </si>
  <si>
    <t>SST</t>
    <phoneticPr fontId="2" type="noConversion"/>
  </si>
  <si>
    <t>8</t>
    <phoneticPr fontId="2" type="noConversion"/>
  </si>
  <si>
    <t>SF2255</t>
    <phoneticPr fontId="2" type="noConversion"/>
  </si>
  <si>
    <t>COVER</t>
    <phoneticPr fontId="2" type="noConversion"/>
  </si>
  <si>
    <t>KR6156FA841YA</t>
    <phoneticPr fontId="2" type="noConversion"/>
  </si>
  <si>
    <t>JD4901</t>
    <phoneticPr fontId="2" type="noConversion"/>
  </si>
  <si>
    <t>KR6197-D841PB</t>
    <phoneticPr fontId="2" type="noConversion"/>
  </si>
  <si>
    <t>BODY</t>
    <phoneticPr fontId="2" type="noConversion"/>
  </si>
  <si>
    <t>수리후양산</t>
    <phoneticPr fontId="2" type="noConversion"/>
  </si>
  <si>
    <t>BODY</t>
    <phoneticPr fontId="2" type="noConversion"/>
  </si>
  <si>
    <t>ACTUATOR</t>
    <phoneticPr fontId="2" type="noConversion"/>
  </si>
  <si>
    <t>5</t>
    <phoneticPr fontId="2" type="noConversion"/>
  </si>
  <si>
    <t>4</t>
    <phoneticPr fontId="2" type="noConversion"/>
  </si>
  <si>
    <t>KR6197-C841TA</t>
    <phoneticPr fontId="2" type="noConversion"/>
  </si>
  <si>
    <t>K-JR01920-C01AWA</t>
    <phoneticPr fontId="2" type="noConversion"/>
  </si>
  <si>
    <t>13</t>
    <phoneticPr fontId="2" type="noConversion"/>
  </si>
  <si>
    <t>12</t>
    <phoneticPr fontId="2" type="noConversion"/>
  </si>
  <si>
    <t>NEXT</t>
    <phoneticPr fontId="2" type="noConversion"/>
  </si>
  <si>
    <t>IC GUIDE</t>
    <phoneticPr fontId="2" type="noConversion"/>
  </si>
  <si>
    <t>수정</t>
    <phoneticPr fontId="2" type="noConversion"/>
  </si>
  <si>
    <t>SGF2050</t>
    <phoneticPr fontId="2" type="noConversion"/>
  </si>
  <si>
    <t>우진</t>
    <phoneticPr fontId="2" type="noConversion"/>
  </si>
  <si>
    <t>에젝타 과부하</t>
    <phoneticPr fontId="2" type="noConversion"/>
  </si>
  <si>
    <t>A/S대기</t>
    <phoneticPr fontId="2" type="noConversion"/>
  </si>
  <si>
    <t>STC</t>
    <phoneticPr fontId="2" type="noConversion"/>
  </si>
  <si>
    <t>LID 5.8X8.8</t>
    <phoneticPr fontId="2" type="noConversion"/>
  </si>
  <si>
    <t>SPL</t>
    <phoneticPr fontId="2" type="noConversion"/>
  </si>
  <si>
    <t>S475 N/P</t>
    <phoneticPr fontId="2" type="noConversion"/>
  </si>
  <si>
    <t>AMB0104J-KAA-R2</t>
    <phoneticPr fontId="2" type="noConversion"/>
  </si>
  <si>
    <t>KR6197EA293YA</t>
    <phoneticPr fontId="2" type="noConversion"/>
  </si>
  <si>
    <t>AMB1916A-KAA-R1</t>
    <phoneticPr fontId="2" type="noConversion"/>
  </si>
  <si>
    <t>SGF2050 N/P</t>
    <phoneticPr fontId="2" type="noConversion"/>
  </si>
  <si>
    <t>AMB0102B-JAA-R1</t>
    <phoneticPr fontId="2" type="noConversion"/>
  </si>
  <si>
    <t>IC GUIDE</t>
    <phoneticPr fontId="2" type="noConversion"/>
  </si>
  <si>
    <t>AMB07H9A-KAA-R1</t>
    <phoneticPr fontId="2" type="noConversion"/>
  </si>
  <si>
    <t>AMB0102B-JAA-R1</t>
    <phoneticPr fontId="2" type="noConversion"/>
  </si>
  <si>
    <t>재고</t>
    <phoneticPr fontId="2" type="noConversion"/>
  </si>
  <si>
    <t>BODY</t>
    <phoneticPr fontId="2" type="noConversion"/>
  </si>
  <si>
    <t>AMB0152A-KAA-R1</t>
    <phoneticPr fontId="2" type="noConversion"/>
  </si>
  <si>
    <t>BASE</t>
    <phoneticPr fontId="2" type="noConversion"/>
  </si>
  <si>
    <t>AMM0821A-KAA-R3</t>
    <phoneticPr fontId="2" type="noConversion"/>
  </si>
  <si>
    <t>7301</t>
    <phoneticPr fontId="2" type="noConversion"/>
  </si>
  <si>
    <t>NEXT</t>
    <phoneticPr fontId="2" type="noConversion"/>
  </si>
  <si>
    <t>2*1</t>
    <phoneticPr fontId="2" type="noConversion"/>
  </si>
  <si>
    <t>0.4P T/B</t>
    <phoneticPr fontId="2" type="noConversion"/>
  </si>
  <si>
    <t>수리후양산-&gt;코아파손2회정지</t>
    <phoneticPr fontId="2" type="noConversion"/>
  </si>
  <si>
    <t>0.4P</t>
    <phoneticPr fontId="2" type="noConversion"/>
  </si>
  <si>
    <t>수리후양산-&gt;뜯김정지</t>
    <phoneticPr fontId="2" type="noConversion"/>
  </si>
  <si>
    <r>
      <t>2017년 04월 01일 일일생산현황</t>
    </r>
    <r>
      <rPr>
        <b/>
        <sz val="14"/>
        <color indexed="8"/>
        <rFont val="굴림체"/>
        <family val="3"/>
        <charset val="129"/>
      </rPr>
      <t>(02일(일) 09시 현재)</t>
    </r>
    <phoneticPr fontId="2" type="noConversion"/>
  </si>
  <si>
    <t>STOPPER</t>
    <phoneticPr fontId="2" type="noConversion"/>
  </si>
  <si>
    <t>AMB0224A-KAA-R1</t>
    <phoneticPr fontId="2" type="noConversion"/>
  </si>
  <si>
    <t>BODY</t>
    <phoneticPr fontId="2" type="noConversion"/>
  </si>
  <si>
    <t>AMB0154A-KAA-R1</t>
    <phoneticPr fontId="2" type="noConversion"/>
  </si>
  <si>
    <t>SF2255</t>
    <phoneticPr fontId="2" type="noConversion"/>
  </si>
  <si>
    <t>22P(4P)</t>
    <phoneticPr fontId="2" type="noConversion"/>
  </si>
  <si>
    <t>ACTUATOR</t>
    <phoneticPr fontId="2" type="noConversion"/>
  </si>
  <si>
    <t>AMB1918A-KAA-R1</t>
    <phoneticPr fontId="2" type="noConversion"/>
  </si>
  <si>
    <t>SGF2030</t>
    <phoneticPr fontId="2" type="noConversion"/>
  </si>
  <si>
    <t>04월 호기별 가동현황</t>
    <phoneticPr fontId="2" type="noConversion"/>
  </si>
  <si>
    <t>전일 ISSUE 사항(01일)</t>
    <phoneticPr fontId="2" type="noConversion"/>
  </si>
  <si>
    <t>당일 진행 사항(02일)</t>
    <phoneticPr fontId="2" type="noConversion"/>
  </si>
  <si>
    <t>HOOK BURR정지</t>
    <phoneticPr fontId="2" type="noConversion"/>
  </si>
  <si>
    <t>미성형정지</t>
    <phoneticPr fontId="2" type="noConversion"/>
  </si>
  <si>
    <t>수리후양산-&gt;BURR정지</t>
    <phoneticPr fontId="2" type="noConversion"/>
  </si>
  <si>
    <t>7</t>
    <phoneticPr fontId="2" type="noConversion"/>
  </si>
  <si>
    <t>STOPPER</t>
    <phoneticPr fontId="2" type="noConversion"/>
  </si>
  <si>
    <t>AMB0224A-KAA-R1</t>
    <phoneticPr fontId="2" type="noConversion"/>
  </si>
  <si>
    <t>발주분양산</t>
    <phoneticPr fontId="2" type="noConversion"/>
  </si>
  <si>
    <t>ACTUATOR</t>
    <phoneticPr fontId="2" type="noConversion"/>
  </si>
  <si>
    <t>AMB1918A-KAA-R1</t>
    <phoneticPr fontId="2" type="noConversion"/>
  </si>
  <si>
    <t>14</t>
    <phoneticPr fontId="2" type="noConversion"/>
  </si>
  <si>
    <t>BODY</t>
    <phoneticPr fontId="2" type="noConversion"/>
  </si>
  <si>
    <t>AMB0154A-KAA-R1</t>
    <phoneticPr fontId="2" type="noConversion"/>
  </si>
  <si>
    <t>12</t>
    <phoneticPr fontId="2" type="noConversion"/>
  </si>
  <si>
    <t>IC GUIDE</t>
    <phoneticPr fontId="2" type="noConversion"/>
  </si>
  <si>
    <t>AMB07H9A-KAA-R1</t>
    <phoneticPr fontId="2" type="noConversion"/>
  </si>
  <si>
    <t>세척후양산</t>
    <phoneticPr fontId="2" type="noConversion"/>
  </si>
  <si>
    <t>SAMPLE 진행 사항(01일)</t>
    <phoneticPr fontId="2" type="noConversion"/>
  </si>
  <si>
    <t>HICON</t>
    <phoneticPr fontId="2" type="noConversion"/>
  </si>
  <si>
    <t>BASE</t>
    <phoneticPr fontId="2" type="noConversion"/>
  </si>
  <si>
    <t>HSB75-M01A1</t>
    <phoneticPr fontId="2" type="noConversion"/>
  </si>
  <si>
    <t>SGF2041</t>
    <phoneticPr fontId="2" type="noConversion"/>
  </si>
  <si>
    <t>SLIDER</t>
    <phoneticPr fontId="2" type="noConversion"/>
  </si>
  <si>
    <t>HSB75-M01A2</t>
    <phoneticPr fontId="2" type="noConversion"/>
  </si>
  <si>
    <t>SGF2030 N/P</t>
    <phoneticPr fontId="2" type="noConversion"/>
  </si>
  <si>
    <t>수정</t>
    <phoneticPr fontId="2" type="noConversion"/>
  </si>
  <si>
    <t>HSB75-M01A4</t>
    <phoneticPr fontId="2" type="noConversion"/>
  </si>
  <si>
    <t>SGF2030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</si>
  <si>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</si>
  <si>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</si>
  <si>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2017년 04월 02일 일일생산현황</t>
    </r>
    <r>
      <rPr>
        <b/>
        <sz val="14"/>
        <color indexed="8"/>
        <rFont val="굴림체"/>
        <family val="3"/>
        <charset val="129"/>
      </rPr>
      <t>(03일(월) 09시 현재)</t>
    </r>
    <phoneticPr fontId="2" type="noConversion"/>
  </si>
  <si>
    <t>전일 ISSUE 사항(02일)</t>
    <phoneticPr fontId="2" type="noConversion"/>
  </si>
  <si>
    <t>3</t>
    <phoneticPr fontId="2" type="noConversion"/>
  </si>
  <si>
    <t>COVER</t>
    <phoneticPr fontId="2" type="noConversion"/>
  </si>
  <si>
    <t>KR6197-C841TA</t>
    <phoneticPr fontId="2" type="noConversion"/>
  </si>
  <si>
    <t>밀핀파손수리</t>
    <phoneticPr fontId="2" type="noConversion"/>
  </si>
  <si>
    <t>상측뜯김정지</t>
    <phoneticPr fontId="2" type="noConversion"/>
  </si>
  <si>
    <t>수리후양산-&gt;코아파손정지</t>
    <phoneticPr fontId="2" type="noConversion"/>
  </si>
  <si>
    <t>수리후양산</t>
    <phoneticPr fontId="2" type="noConversion"/>
  </si>
  <si>
    <t>당일 진행 사항(03일)</t>
    <phoneticPr fontId="2" type="noConversion"/>
  </si>
  <si>
    <t>SST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</si>
  <si>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</si>
  <si>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</si>
  <si>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</si>
  <si>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재고분양산</t>
    <phoneticPr fontId="2" type="noConversion"/>
  </si>
  <si>
    <t>SST</t>
    <phoneticPr fontId="2" type="noConversion"/>
  </si>
  <si>
    <t>SLIDER</t>
    <phoneticPr fontId="2" type="noConversion"/>
  </si>
  <si>
    <t>KR6197EA293YA</t>
    <phoneticPr fontId="2" type="noConversion"/>
  </si>
  <si>
    <t>수리후양산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</si>
  <si>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</si>
  <si>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</si>
  <si>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</si>
  <si>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2017년 04월 03일 일일생산현황</t>
    </r>
    <r>
      <rPr>
        <b/>
        <sz val="14"/>
        <color indexed="8"/>
        <rFont val="굴림체"/>
        <family val="3"/>
        <charset val="129"/>
      </rPr>
      <t>(04일(화) 09시 현재)</t>
    </r>
    <phoneticPr fontId="2" type="noConversion"/>
  </si>
  <si>
    <t>SST</t>
    <phoneticPr fontId="2" type="noConversion"/>
  </si>
  <si>
    <t>BASE</t>
    <phoneticPr fontId="2" type="noConversion"/>
  </si>
  <si>
    <t>KR6197AB841CA</t>
    <phoneticPr fontId="2" type="noConversion"/>
  </si>
  <si>
    <t>재고</t>
    <phoneticPr fontId="2" type="noConversion"/>
  </si>
  <si>
    <t>전일 ISSUE 사항(03일)</t>
    <phoneticPr fontId="2" type="noConversion"/>
  </si>
  <si>
    <t>단차정지</t>
    <phoneticPr fontId="2" type="noConversion"/>
  </si>
  <si>
    <t>SST</t>
    <phoneticPr fontId="2" type="noConversion"/>
  </si>
  <si>
    <t>14</t>
    <phoneticPr fontId="2" type="noConversion"/>
  </si>
  <si>
    <t>재고분양산</t>
    <phoneticPr fontId="2" type="noConversion"/>
  </si>
  <si>
    <t>뜯김6회수리</t>
    <phoneticPr fontId="2" type="noConversion"/>
  </si>
  <si>
    <t>4</t>
    <phoneticPr fontId="2" type="noConversion"/>
  </si>
  <si>
    <t>SLIDER</t>
    <phoneticPr fontId="2" type="noConversion"/>
  </si>
  <si>
    <t>KR6197EA293YA</t>
    <phoneticPr fontId="2" type="noConversion"/>
  </si>
  <si>
    <t>HOOK BURR 4회수리</t>
    <phoneticPr fontId="2" type="noConversion"/>
  </si>
  <si>
    <t>시스템</t>
    <phoneticPr fontId="2" type="noConversion"/>
  </si>
  <si>
    <t>9</t>
    <phoneticPr fontId="2" type="noConversion"/>
  </si>
  <si>
    <t>IR BAR</t>
    <phoneticPr fontId="2" type="noConversion"/>
  </si>
  <si>
    <t>발주분양산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</si>
  <si>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</si>
  <si>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</si>
  <si>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</si>
  <si>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2017년 04월 04일 일일생산현황</t>
    </r>
    <r>
      <rPr>
        <b/>
        <sz val="14"/>
        <color indexed="8"/>
        <rFont val="굴림체"/>
        <family val="3"/>
        <charset val="129"/>
      </rPr>
      <t>(05일(수) 09시 현재)</t>
    </r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</si>
  <si>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</si>
  <si>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</si>
  <si>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</si>
  <si>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0.35P T/B</t>
    <phoneticPr fontId="2" type="noConversion"/>
  </si>
  <si>
    <t>전일 ISSUE 사항(04일)</t>
    <phoneticPr fontId="2" type="noConversion"/>
  </si>
  <si>
    <t>수리후양산</t>
    <phoneticPr fontId="2" type="noConversion"/>
  </si>
  <si>
    <t>이물제거</t>
    <phoneticPr fontId="2" type="noConversion"/>
  </si>
  <si>
    <t>BURR수리후양산</t>
    <phoneticPr fontId="2" type="noConversion"/>
  </si>
  <si>
    <t>당일 진행 사항(05일)</t>
    <phoneticPr fontId="2" type="noConversion"/>
  </si>
  <si>
    <t>SAMPLE 진행 사항(04일)</t>
    <phoneticPr fontId="2" type="noConversion"/>
  </si>
  <si>
    <t>OKINS</t>
    <phoneticPr fontId="2" type="noConversion"/>
  </si>
  <si>
    <t>BASE</t>
    <phoneticPr fontId="2" type="noConversion"/>
  </si>
  <si>
    <t>260D83M-B118X</t>
    <phoneticPr fontId="2" type="noConversion"/>
  </si>
  <si>
    <t>GN2330</t>
    <phoneticPr fontId="2" type="noConversion"/>
  </si>
  <si>
    <t>수정</t>
    <phoneticPr fontId="2" type="noConversion"/>
  </si>
  <si>
    <t>뜯김3회정지</t>
    <phoneticPr fontId="2" type="noConversion"/>
  </si>
  <si>
    <t>MCS</t>
    <phoneticPr fontId="2" type="noConversion"/>
  </si>
  <si>
    <t>STOPPER</t>
    <phoneticPr fontId="2" type="noConversion"/>
  </si>
  <si>
    <t>AMB0226A-KAA-R1</t>
    <phoneticPr fontId="2" type="noConversion"/>
  </si>
  <si>
    <t>SF2255,SGF2030</t>
    <phoneticPr fontId="2" type="noConversion"/>
  </si>
  <si>
    <t>수정</t>
    <phoneticPr fontId="2" type="noConversion"/>
  </si>
  <si>
    <t>각20EA</t>
    <phoneticPr fontId="2" type="noConversion"/>
  </si>
  <si>
    <t>게이트 늘림</t>
    <phoneticPr fontId="2" type="noConversion"/>
  </si>
  <si>
    <t>금형 수리 내역(04일)</t>
    <phoneticPr fontId="2" type="noConversion"/>
  </si>
  <si>
    <t>HSA65-M002B1-13A</t>
    <phoneticPr fontId="2" type="noConversion"/>
  </si>
  <si>
    <t xml:space="preserve"> 코아파손</t>
    <phoneticPr fontId="2" type="noConversion"/>
  </si>
  <si>
    <t>설비 점검 내역(04일)</t>
    <phoneticPr fontId="2" type="noConversion"/>
  </si>
  <si>
    <t>현상태 이상없음 표시 차후 발생시 A/S신청</t>
    <phoneticPr fontId="2" type="noConversion"/>
  </si>
  <si>
    <r>
      <t>2017년 04월 05일 일일생산현황</t>
    </r>
    <r>
      <rPr>
        <b/>
        <sz val="14"/>
        <color indexed="8"/>
        <rFont val="굴림체"/>
        <family val="3"/>
        <charset val="129"/>
      </rPr>
      <t>(06일(목) 09시 현재)</t>
    </r>
    <phoneticPr fontId="2" type="noConversion"/>
  </si>
  <si>
    <t>전일 ISSUE 사항(05일)</t>
    <phoneticPr fontId="2" type="noConversion"/>
  </si>
  <si>
    <t>이물제거후양산-&gt;설비이동 4호기</t>
    <phoneticPr fontId="2" type="noConversion"/>
  </si>
  <si>
    <t>당일 진행 사항(06일)</t>
    <phoneticPr fontId="2" type="noConversion"/>
  </si>
  <si>
    <t>승인후양산</t>
    <phoneticPr fontId="2" type="noConversion"/>
  </si>
  <si>
    <t>AM0164A-A</t>
    <phoneticPr fontId="2" type="noConversion"/>
  </si>
  <si>
    <t>MCS</t>
    <phoneticPr fontId="2" type="noConversion"/>
  </si>
  <si>
    <t>14</t>
    <phoneticPr fontId="2" type="noConversion"/>
  </si>
  <si>
    <t>38P</t>
    <phoneticPr fontId="2" type="noConversion"/>
  </si>
  <si>
    <t>발주분양산</t>
    <phoneticPr fontId="2" type="noConversion"/>
  </si>
  <si>
    <t>SW-003068</t>
    <phoneticPr fontId="2" type="noConversion"/>
  </si>
  <si>
    <t>ODT</t>
    <phoneticPr fontId="2" type="noConversion"/>
  </si>
  <si>
    <t>2</t>
    <phoneticPr fontId="2" type="noConversion"/>
  </si>
  <si>
    <t>203T</t>
    <phoneticPr fontId="2" type="noConversion"/>
  </si>
  <si>
    <t>발주분양산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</si>
  <si>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</si>
  <si>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</si>
  <si>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</si>
  <si>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2017년 04월 06일 일일생산현황</t>
    </r>
    <r>
      <rPr>
        <b/>
        <sz val="14"/>
        <color indexed="8"/>
        <rFont val="굴림체"/>
        <family val="3"/>
        <charset val="129"/>
      </rPr>
      <t>(07일(금) 09시 현재)</t>
    </r>
    <phoneticPr fontId="2" type="noConversion"/>
  </si>
  <si>
    <t>203T</t>
    <phoneticPr fontId="2" type="noConversion"/>
  </si>
  <si>
    <t>SW-003068</t>
    <phoneticPr fontId="2" type="noConversion"/>
  </si>
  <si>
    <t>HSB75-M01A2</t>
    <phoneticPr fontId="2" type="noConversion"/>
  </si>
  <si>
    <t>발주</t>
    <phoneticPr fontId="2" type="noConversion"/>
  </si>
  <si>
    <t>INNER CASE</t>
    <phoneticPr fontId="2" type="noConversion"/>
  </si>
  <si>
    <t>SW-003353</t>
    <phoneticPr fontId="2" type="noConversion"/>
  </si>
  <si>
    <t>PC투명</t>
    <phoneticPr fontId="2" type="noConversion"/>
  </si>
  <si>
    <t>AM0164A-A</t>
    <phoneticPr fontId="2" type="noConversion"/>
  </si>
  <si>
    <t>E PR</t>
    <phoneticPr fontId="2" type="noConversion"/>
  </si>
  <si>
    <t>HSB75-M01A1</t>
    <phoneticPr fontId="2" type="noConversion"/>
  </si>
  <si>
    <t>SGF2041</t>
    <phoneticPr fontId="2" type="noConversion"/>
  </si>
  <si>
    <t>전일 ISSUE 사항(06일)</t>
    <phoneticPr fontId="2" type="noConversion"/>
  </si>
  <si>
    <t>ODT</t>
    <phoneticPr fontId="2" type="noConversion"/>
  </si>
  <si>
    <t>발주분양산-&gt;BURR수리</t>
    <phoneticPr fontId="2" type="noConversion"/>
  </si>
  <si>
    <t>ODT</t>
    <phoneticPr fontId="2" type="noConversion"/>
  </si>
  <si>
    <t>10</t>
    <phoneticPr fontId="2" type="noConversion"/>
  </si>
  <si>
    <t>발주분양산</t>
    <phoneticPr fontId="2" type="noConversion"/>
  </si>
  <si>
    <t>13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</si>
  <si>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</si>
  <si>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</si>
  <si>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</si>
  <si>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BASE</t>
    <phoneticPr fontId="2" type="noConversion"/>
  </si>
  <si>
    <t>당일 진행 사항(07일)</t>
    <phoneticPr fontId="2" type="noConversion"/>
  </si>
  <si>
    <t>STOPPER</t>
    <phoneticPr fontId="2" type="noConversion"/>
  </si>
  <si>
    <t>HSB75-M01A4</t>
    <phoneticPr fontId="2" type="noConversion"/>
  </si>
  <si>
    <t>AM0244A-K</t>
    <phoneticPr fontId="2" type="noConversion"/>
  </si>
  <si>
    <t>11</t>
    <phoneticPr fontId="2" type="noConversion"/>
  </si>
  <si>
    <t>STOPPER</t>
    <phoneticPr fontId="2" type="noConversion"/>
  </si>
  <si>
    <t>MCS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</si>
  <si>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</si>
  <si>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</si>
  <si>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</si>
  <si>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SAMPLE 진행 사항(06일)</t>
    <phoneticPr fontId="2" type="noConversion"/>
  </si>
  <si>
    <t>SPACER L,R</t>
    <phoneticPr fontId="2" type="noConversion"/>
  </si>
  <si>
    <t>AMB39C4/5A-KAA-R1</t>
    <phoneticPr fontId="2" type="noConversion"/>
  </si>
  <si>
    <t>신작</t>
    <phoneticPr fontId="2" type="noConversion"/>
  </si>
  <si>
    <t>각50EA</t>
    <phoneticPr fontId="2" type="noConversion"/>
  </si>
  <si>
    <t>SEPARATOR</t>
    <phoneticPr fontId="2" type="noConversion"/>
  </si>
  <si>
    <t>AMB39C3A-KAA-R1</t>
    <phoneticPr fontId="2" type="noConversion"/>
  </si>
  <si>
    <t>치수수리 3회</t>
    <phoneticPr fontId="2" type="noConversion"/>
  </si>
  <si>
    <t>F/ADAPTER</t>
    <phoneticPr fontId="2" type="noConversion"/>
  </si>
  <si>
    <t>AMB20A2A-KAA-R1</t>
    <phoneticPr fontId="2" type="noConversion"/>
  </si>
  <si>
    <t>치수수리</t>
    <phoneticPr fontId="2" type="noConversion"/>
  </si>
  <si>
    <t>AMB0155A-KAA-R1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</si>
  <si>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</si>
  <si>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</si>
  <si>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2017년 04월 07일 일일생산현황</t>
    </r>
    <r>
      <rPr>
        <b/>
        <sz val="14"/>
        <color indexed="8"/>
        <rFont val="굴림체"/>
        <family val="3"/>
        <charset val="129"/>
      </rPr>
      <t>(08일(토) 09시 현재)</t>
    </r>
    <phoneticPr fontId="2" type="noConversion"/>
  </si>
  <si>
    <t>STOPPER</t>
    <phoneticPr fontId="2" type="noConversion"/>
  </si>
  <si>
    <t>AM0244A-K</t>
    <phoneticPr fontId="2" type="noConversion"/>
  </si>
  <si>
    <t>SAM</t>
    <phoneticPr fontId="2" type="noConversion"/>
  </si>
  <si>
    <t>AM0610B-J</t>
    <phoneticPr fontId="2" type="noConversion"/>
  </si>
  <si>
    <t>HSB75-M01A4</t>
    <phoneticPr fontId="2" type="noConversion"/>
  </si>
  <si>
    <t>SGF2030</t>
    <phoneticPr fontId="2" type="noConversion"/>
  </si>
  <si>
    <t>전일 ISSUE 사항(07일)</t>
    <phoneticPr fontId="2" type="noConversion"/>
  </si>
  <si>
    <t>4</t>
    <phoneticPr fontId="2" type="noConversion"/>
  </si>
  <si>
    <t>BASE</t>
    <phoneticPr fontId="2" type="noConversion"/>
  </si>
  <si>
    <t>AMB0152A-KAA-R1</t>
    <phoneticPr fontId="2" type="noConversion"/>
  </si>
  <si>
    <t>런너수리후양산</t>
    <phoneticPr fontId="2" type="noConversion"/>
  </si>
  <si>
    <t>HICON</t>
    <phoneticPr fontId="2" type="noConversion"/>
  </si>
  <si>
    <t>14</t>
    <phoneticPr fontId="2" type="noConversion"/>
  </si>
  <si>
    <t>STOPPER</t>
    <phoneticPr fontId="2" type="noConversion"/>
  </si>
  <si>
    <t>발주분양산</t>
    <phoneticPr fontId="2" type="noConversion"/>
  </si>
  <si>
    <t>당일 진행 사항(08일)</t>
    <phoneticPr fontId="2" type="noConversion"/>
  </si>
  <si>
    <t>MCS</t>
    <phoneticPr fontId="2" type="noConversion"/>
  </si>
  <si>
    <t>12</t>
    <phoneticPr fontId="2" type="noConversion"/>
  </si>
  <si>
    <t>SAM</t>
    <phoneticPr fontId="2" type="noConversion"/>
  </si>
  <si>
    <t>발주분양산-&gt;런너박힘정지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</si>
  <si>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</si>
  <si>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</si>
  <si>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</si>
  <si>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수리후양산</t>
    <phoneticPr fontId="2" type="noConversion"/>
  </si>
  <si>
    <t>11</t>
    <phoneticPr fontId="2" type="noConversion"/>
  </si>
  <si>
    <t>BODY</t>
    <phoneticPr fontId="2" type="noConversion"/>
  </si>
  <si>
    <t>AM0149A-K</t>
    <phoneticPr fontId="2" type="noConversion"/>
  </si>
  <si>
    <t>13</t>
    <phoneticPr fontId="2" type="noConversion"/>
  </si>
  <si>
    <t>AMB0102B-JAA-R1</t>
    <phoneticPr fontId="2" type="noConversion"/>
  </si>
  <si>
    <t>불량대치분양산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</si>
  <si>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</si>
  <si>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</si>
  <si>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</si>
  <si>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t>에젝타부하</t>
    <phoneticPr fontId="2" type="noConversion"/>
  </si>
  <si>
    <t>스미토모</t>
    <phoneticPr fontId="2" type="noConversion"/>
  </si>
  <si>
    <t>에젝타엔코더 견적진행</t>
    <phoneticPr fontId="2" type="noConversion"/>
  </si>
  <si>
    <r>
      <t>2017년 04월 08일 일일생산현황</t>
    </r>
    <r>
      <rPr>
        <b/>
        <sz val="14"/>
        <color indexed="8"/>
        <rFont val="굴림체"/>
        <family val="3"/>
        <charset val="129"/>
      </rPr>
      <t>(09일(일) 09시 현재)</t>
    </r>
    <phoneticPr fontId="2" type="noConversion"/>
  </si>
  <si>
    <t>BODY</t>
    <phoneticPr fontId="2" type="noConversion"/>
  </si>
  <si>
    <t>AM0149A-K</t>
    <phoneticPr fontId="2" type="noConversion"/>
  </si>
  <si>
    <t>AMB0102B-JAA-R1</t>
    <phoneticPr fontId="2" type="noConversion"/>
  </si>
  <si>
    <t>SF2255</t>
    <phoneticPr fontId="2" type="noConversion"/>
  </si>
  <si>
    <t>전일 ISSUE 사항(08일)</t>
    <phoneticPr fontId="2" type="noConversion"/>
  </si>
  <si>
    <t>11</t>
    <phoneticPr fontId="2" type="noConversion"/>
  </si>
  <si>
    <t>발주분양산</t>
    <phoneticPr fontId="2" type="noConversion"/>
  </si>
  <si>
    <t>13</t>
    <phoneticPr fontId="2" type="noConversion"/>
  </si>
  <si>
    <t>수리후양산-&gt;밀핀BURR정지</t>
    <phoneticPr fontId="2" type="noConversion"/>
  </si>
  <si>
    <t>당일 진행 사항(09일)</t>
    <phoneticPr fontId="2" type="noConversion"/>
  </si>
  <si>
    <t>수리후양산</t>
    <phoneticPr fontId="2" type="noConversion"/>
  </si>
  <si>
    <t>불량대치분양산-&gt;코아파손정지</t>
    <phoneticPr fontId="2" type="noConversion"/>
  </si>
  <si>
    <t>SAMPLE 진행 사항(08일)</t>
    <phoneticPr fontId="2" type="noConversion"/>
  </si>
  <si>
    <t>SLIDER</t>
    <phoneticPr fontId="2" type="noConversion"/>
  </si>
  <si>
    <t>HSA65-M002C1</t>
    <phoneticPr fontId="2" type="noConversion"/>
  </si>
  <si>
    <t>SGF2030 N/P</t>
    <phoneticPr fontId="2" type="noConversion"/>
  </si>
  <si>
    <t>수정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</si>
  <si>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</si>
  <si>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</si>
  <si>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2017년 04월 09일 일일생산현황</t>
    </r>
    <r>
      <rPr>
        <b/>
        <sz val="14"/>
        <color indexed="8"/>
        <rFont val="굴림체"/>
        <family val="3"/>
        <charset val="129"/>
      </rPr>
      <t>(10일(월) 09시 현재)</t>
    </r>
    <phoneticPr fontId="2" type="noConversion"/>
  </si>
  <si>
    <t>전일 ISSUE 사항(09일)</t>
    <phoneticPr fontId="2" type="noConversion"/>
  </si>
  <si>
    <t>수리후양산</t>
    <phoneticPr fontId="2" type="noConversion"/>
  </si>
  <si>
    <t>4</t>
    <phoneticPr fontId="2" type="noConversion"/>
  </si>
  <si>
    <t>BODY</t>
    <phoneticPr fontId="2" type="noConversion"/>
  </si>
  <si>
    <t>AMB0152A-KAA-R1</t>
    <phoneticPr fontId="2" type="noConversion"/>
  </si>
  <si>
    <t>세척후양산</t>
    <phoneticPr fontId="2" type="noConversion"/>
  </si>
  <si>
    <t>당일 진행 사항(10일)</t>
    <phoneticPr fontId="2" type="noConversion"/>
  </si>
  <si>
    <t>HICON</t>
    <phoneticPr fontId="2" type="noConversion"/>
  </si>
  <si>
    <t>3</t>
    <phoneticPr fontId="2" type="noConversion"/>
  </si>
  <si>
    <t>LEAD GUIDE</t>
    <phoneticPr fontId="2" type="noConversion"/>
  </si>
  <si>
    <t>HSF05-M05B1</t>
    <phoneticPr fontId="2" type="noConversion"/>
  </si>
  <si>
    <t>발주분양산</t>
    <phoneticPr fontId="2" type="noConversion"/>
  </si>
  <si>
    <t>6</t>
    <phoneticPr fontId="2" type="noConversion"/>
  </si>
  <si>
    <t>SLIDER</t>
    <phoneticPr fontId="2" type="noConversion"/>
  </si>
  <si>
    <t>HSF05-M02B1</t>
    <phoneticPr fontId="2" type="noConversion"/>
  </si>
  <si>
    <t>14</t>
    <phoneticPr fontId="2" type="noConversion"/>
  </si>
  <si>
    <t>BASE</t>
    <phoneticPr fontId="2" type="noConversion"/>
  </si>
  <si>
    <t>HSF05-M01B1</t>
    <phoneticPr fontId="2" type="noConversion"/>
  </si>
  <si>
    <t>10</t>
    <phoneticPr fontId="2" type="noConversion"/>
  </si>
  <si>
    <t>COVER</t>
    <phoneticPr fontId="2" type="noConversion"/>
  </si>
  <si>
    <t>HSF05-M03B1</t>
    <phoneticPr fontId="2" type="noConversion"/>
  </si>
  <si>
    <t>HSF05-M04B1</t>
    <phoneticPr fontId="2" type="noConversion"/>
  </si>
  <si>
    <t>STOPPER</t>
    <phoneticPr fontId="2" type="noConversion"/>
  </si>
  <si>
    <t>11</t>
    <phoneticPr fontId="2" type="noConversion"/>
  </si>
  <si>
    <t>테스트</t>
    <phoneticPr fontId="2" type="noConversion"/>
  </si>
  <si>
    <t>13</t>
    <phoneticPr fontId="2" type="noConversion"/>
  </si>
  <si>
    <t>PUSHER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</si>
  <si>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</si>
  <si>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</si>
  <si>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</si>
  <si>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2017년 04월 10일 일일생산현황</t>
    </r>
    <r>
      <rPr>
        <b/>
        <sz val="14"/>
        <color indexed="8"/>
        <rFont val="굴림체"/>
        <family val="3"/>
        <charset val="129"/>
      </rPr>
      <t>(11일(화) 09시 현재)</t>
    </r>
    <phoneticPr fontId="2" type="noConversion"/>
  </si>
  <si>
    <t>HICON</t>
    <phoneticPr fontId="2" type="noConversion"/>
  </si>
  <si>
    <t>LEAD GUIDE</t>
    <phoneticPr fontId="2" type="noConversion"/>
  </si>
  <si>
    <t>HSF05-M05B1</t>
    <phoneticPr fontId="2" type="noConversion"/>
  </si>
  <si>
    <t>SGF2041</t>
    <phoneticPr fontId="2" type="noConversion"/>
  </si>
  <si>
    <t>HSF05-M02B1</t>
    <phoneticPr fontId="2" type="noConversion"/>
  </si>
  <si>
    <t>COVER</t>
    <phoneticPr fontId="2" type="noConversion"/>
  </si>
  <si>
    <t>HSF05-M03B1</t>
    <phoneticPr fontId="2" type="noConversion"/>
  </si>
  <si>
    <t>SGF2030 N/P</t>
    <phoneticPr fontId="2" type="noConversion"/>
  </si>
  <si>
    <t>STOPPER</t>
    <phoneticPr fontId="2" type="noConversion"/>
  </si>
  <si>
    <t>HSF05-M04B1</t>
    <phoneticPr fontId="2" type="noConversion"/>
  </si>
  <si>
    <t>SGF2041</t>
    <phoneticPr fontId="2" type="noConversion"/>
  </si>
  <si>
    <t>테스트</t>
    <phoneticPr fontId="2" type="noConversion"/>
  </si>
  <si>
    <t>PUSHER</t>
    <phoneticPr fontId="2" type="noConversion"/>
  </si>
  <si>
    <t>TM301-03</t>
    <phoneticPr fontId="2" type="noConversion"/>
  </si>
  <si>
    <t>BASE</t>
    <phoneticPr fontId="2" type="noConversion"/>
  </si>
  <si>
    <t>HSF05-M01B1</t>
    <phoneticPr fontId="2" type="noConversion"/>
  </si>
  <si>
    <t>전일 ISSUE 사항(10일)</t>
    <phoneticPr fontId="2" type="noConversion"/>
  </si>
  <si>
    <t>HICON</t>
    <phoneticPr fontId="2" type="noConversion"/>
  </si>
  <si>
    <t>3</t>
    <phoneticPr fontId="2" type="noConversion"/>
  </si>
  <si>
    <t>발주분양산</t>
    <phoneticPr fontId="2" type="noConversion"/>
  </si>
  <si>
    <t>6</t>
    <phoneticPr fontId="2" type="noConversion"/>
  </si>
  <si>
    <t>SLDER</t>
    <phoneticPr fontId="2" type="noConversion"/>
  </si>
  <si>
    <t>발주분양산-&gt;코아파손수리</t>
    <phoneticPr fontId="2" type="noConversion"/>
  </si>
  <si>
    <t>10</t>
    <phoneticPr fontId="2" type="noConversion"/>
  </si>
  <si>
    <t>COVER</t>
    <phoneticPr fontId="2" type="noConversion"/>
  </si>
  <si>
    <t>발주분양산-&gt;HOOK박힘정지</t>
    <phoneticPr fontId="2" type="noConversion"/>
  </si>
  <si>
    <t>11</t>
    <phoneticPr fontId="2" type="noConversion"/>
  </si>
  <si>
    <t>STOPPER</t>
    <phoneticPr fontId="2" type="noConversion"/>
  </si>
  <si>
    <t>발주분양산-&gt;코아파손정지</t>
    <phoneticPr fontId="2" type="noConversion"/>
  </si>
  <si>
    <t>14</t>
    <phoneticPr fontId="2" type="noConversion"/>
  </si>
  <si>
    <t>발주분양산-&gt;밀핀BURR수리</t>
    <phoneticPr fontId="2" type="noConversion"/>
  </si>
  <si>
    <t>당일 진행 사항(11일)</t>
    <phoneticPr fontId="2" type="noConversion"/>
  </si>
  <si>
    <t>수리후양산</t>
    <phoneticPr fontId="2" type="noConversion"/>
  </si>
  <si>
    <t>13</t>
    <phoneticPr fontId="2" type="noConversion"/>
  </si>
  <si>
    <t>MCS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</si>
  <si>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</si>
  <si>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</si>
  <si>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</si>
  <si>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밀핀BURR수리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</si>
  <si>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</si>
  <si>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</si>
  <si>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</si>
  <si>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2017년 04월 11일 일일생산현황</t>
    </r>
    <r>
      <rPr>
        <b/>
        <sz val="14"/>
        <color indexed="8"/>
        <rFont val="굴림체"/>
        <family val="3"/>
        <charset val="129"/>
      </rPr>
      <t>(12일(수) 09시 현재)</t>
    </r>
    <phoneticPr fontId="2" type="noConversion"/>
  </si>
  <si>
    <t>24P(구형)</t>
    <phoneticPr fontId="2" type="noConversion"/>
  </si>
  <si>
    <t>전일 ISSUE 사항(11일)</t>
    <phoneticPr fontId="2" type="noConversion"/>
  </si>
  <si>
    <t>코아파손수리후양산</t>
    <phoneticPr fontId="2" type="noConversion"/>
  </si>
  <si>
    <t>수리후양산</t>
    <phoneticPr fontId="2" type="noConversion"/>
  </si>
  <si>
    <t>DI</t>
    <phoneticPr fontId="2" type="noConversion"/>
  </si>
  <si>
    <t>15</t>
    <phoneticPr fontId="2" type="noConversion"/>
  </si>
  <si>
    <t>24P구형</t>
    <phoneticPr fontId="2" type="noConversion"/>
  </si>
  <si>
    <t>발주분양산</t>
    <phoneticPr fontId="2" type="noConversion"/>
  </si>
  <si>
    <t>당일 진행 사항(12일)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</si>
  <si>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</si>
  <si>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</si>
  <si>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</si>
  <si>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KR6197AC841TA</t>
    <phoneticPr fontId="2" type="noConversion"/>
  </si>
  <si>
    <t>AMB1904D-KAA-R2</t>
    <phoneticPr fontId="2" type="noConversion"/>
  </si>
  <si>
    <t>MCS</t>
    <phoneticPr fontId="2" type="noConversion"/>
  </si>
  <si>
    <t>5</t>
    <phoneticPr fontId="2" type="noConversion"/>
  </si>
  <si>
    <t>ACTUATOR</t>
    <phoneticPr fontId="2" type="noConversion"/>
  </si>
  <si>
    <t>AMB0102B-JAA-R1</t>
    <phoneticPr fontId="2" type="noConversion"/>
  </si>
  <si>
    <t>13</t>
    <phoneticPr fontId="2" type="noConversion"/>
  </si>
  <si>
    <t>BODY</t>
    <phoneticPr fontId="2" type="noConversion"/>
  </si>
  <si>
    <t>SAMPLE 진행 사항(11일)</t>
    <phoneticPr fontId="2" type="noConversion"/>
  </si>
  <si>
    <t>SST</t>
    <phoneticPr fontId="2" type="noConversion"/>
  </si>
  <si>
    <t>BASE</t>
    <phoneticPr fontId="2" type="noConversion"/>
  </si>
  <si>
    <t>KR6510-B260XX</t>
    <phoneticPr fontId="2" type="noConversion"/>
  </si>
  <si>
    <t>PA9T</t>
    <phoneticPr fontId="2" type="noConversion"/>
  </si>
  <si>
    <t>수정</t>
    <phoneticPr fontId="2" type="noConversion"/>
  </si>
  <si>
    <t>BASE</t>
    <phoneticPr fontId="2" type="noConversion"/>
  </si>
  <si>
    <t>AMB0156A-KAA-R1</t>
    <phoneticPr fontId="2" type="noConversion"/>
  </si>
  <si>
    <t>SF2255</t>
    <phoneticPr fontId="2" type="noConversion"/>
  </si>
  <si>
    <t>신작</t>
    <phoneticPr fontId="2" type="noConversion"/>
  </si>
  <si>
    <t>STOPPER</t>
    <phoneticPr fontId="2" type="noConversion"/>
  </si>
  <si>
    <t>AMB0227A-KAA-R1</t>
    <phoneticPr fontId="2" type="noConversion"/>
  </si>
  <si>
    <t>SF2255</t>
    <phoneticPr fontId="2" type="noConversion"/>
  </si>
  <si>
    <t>신작</t>
    <phoneticPr fontId="2" type="noConversion"/>
  </si>
  <si>
    <t>AMB1919A-KAA-R1</t>
    <phoneticPr fontId="2" type="noConversion"/>
  </si>
  <si>
    <t>JD4901</t>
    <phoneticPr fontId="2" type="noConversion"/>
  </si>
  <si>
    <t>스테츠</t>
    <phoneticPr fontId="2" type="noConversion"/>
  </si>
  <si>
    <t>LID-0084</t>
    <phoneticPr fontId="2" type="noConversion"/>
  </si>
  <si>
    <t>S475 N/P</t>
    <phoneticPr fontId="2" type="noConversion"/>
  </si>
  <si>
    <t xml:space="preserve">테스트 </t>
    <phoneticPr fontId="2" type="noConversion"/>
  </si>
  <si>
    <t>게이트BURR</t>
    <phoneticPr fontId="2" type="noConversion"/>
  </si>
  <si>
    <t>NHS-152T11/NHS-152T12</t>
    <phoneticPr fontId="2" type="noConversion"/>
  </si>
  <si>
    <t>SGF2050</t>
    <phoneticPr fontId="2" type="noConversion"/>
  </si>
  <si>
    <t>금형이상작업안됨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</si>
  <si>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</si>
  <si>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</si>
  <si>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2017년 04월 12일 일일생산현황</t>
    </r>
    <r>
      <rPr>
        <b/>
        <sz val="14"/>
        <color indexed="8"/>
        <rFont val="굴림체"/>
        <family val="3"/>
        <charset val="129"/>
      </rPr>
      <t>(13일(목) 09시 현재)</t>
    </r>
    <phoneticPr fontId="2" type="noConversion"/>
  </si>
  <si>
    <t>JD4901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</si>
  <si>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</si>
  <si>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</si>
  <si>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</si>
  <si>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AMB0102B-JAA-R1</t>
    <phoneticPr fontId="2" type="noConversion"/>
  </si>
  <si>
    <t>전일 ISSUE 사항(12일)</t>
    <phoneticPr fontId="2" type="noConversion"/>
  </si>
  <si>
    <t>STOPPER</t>
    <phoneticPr fontId="2" type="noConversion"/>
  </si>
  <si>
    <t>HSF05-M04B1</t>
    <phoneticPr fontId="2" type="noConversion"/>
  </si>
  <si>
    <t>수리후양산</t>
    <phoneticPr fontId="2" type="noConversion"/>
  </si>
  <si>
    <t>HSF05-M01B1</t>
    <phoneticPr fontId="2" type="noConversion"/>
  </si>
  <si>
    <t>긁힘수리후양산</t>
    <phoneticPr fontId="2" type="noConversion"/>
  </si>
  <si>
    <t>당일 진행 사항(13일)</t>
    <phoneticPr fontId="2" type="noConversion"/>
  </si>
  <si>
    <t>시스템</t>
    <phoneticPr fontId="2" type="noConversion"/>
  </si>
  <si>
    <t>9</t>
    <phoneticPr fontId="2" type="noConversion"/>
  </si>
  <si>
    <t>IR BAR</t>
    <phoneticPr fontId="2" type="noConversion"/>
  </si>
  <si>
    <t>발주분양산</t>
    <phoneticPr fontId="2" type="noConversion"/>
  </si>
  <si>
    <t>4</t>
    <phoneticPr fontId="2" type="noConversion"/>
  </si>
  <si>
    <t>BODY</t>
    <phoneticPr fontId="2" type="noConversion"/>
  </si>
  <si>
    <t>AMB0152A-KAA-R1</t>
    <phoneticPr fontId="2" type="noConversion"/>
  </si>
  <si>
    <t>세척후양산</t>
    <phoneticPr fontId="2" type="noConversion"/>
  </si>
  <si>
    <t>72P</t>
    <phoneticPr fontId="2" type="noConversion"/>
  </si>
  <si>
    <t>SAMPLE 진행 사항(12일)</t>
    <phoneticPr fontId="2" type="noConversion"/>
  </si>
  <si>
    <t>설비이동셈플</t>
    <phoneticPr fontId="2" type="noConversion"/>
  </si>
  <si>
    <t>SLIDER</t>
    <phoneticPr fontId="2" type="noConversion"/>
  </si>
  <si>
    <t>HSD65-M072A1</t>
    <phoneticPr fontId="2" type="noConversion"/>
  </si>
  <si>
    <t>SGF2030 N/P</t>
    <phoneticPr fontId="2" type="noConversion"/>
  </si>
  <si>
    <t>SPACER L,R</t>
    <phoneticPr fontId="2" type="noConversion"/>
  </si>
  <si>
    <t>AMB39C4/5A-KAA-R1</t>
    <phoneticPr fontId="2" type="noConversion"/>
  </si>
  <si>
    <t>각 50EA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</si>
  <si>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</si>
  <si>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</si>
  <si>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t>JS</t>
    <phoneticPr fontId="2" type="noConversion"/>
  </si>
  <si>
    <r>
      <t>2017년 04월 13일 일일생산현황</t>
    </r>
    <r>
      <rPr>
        <b/>
        <sz val="14"/>
        <color indexed="8"/>
        <rFont val="굴림체"/>
        <family val="3"/>
        <charset val="129"/>
      </rPr>
      <t>(14일(금) 09시 현재)</t>
    </r>
    <phoneticPr fontId="2" type="noConversion"/>
  </si>
  <si>
    <t>시스템</t>
    <phoneticPr fontId="2" type="noConversion"/>
  </si>
  <si>
    <t>IR BAR</t>
    <phoneticPr fontId="2" type="noConversion"/>
  </si>
  <si>
    <t>PA/ABS W/T</t>
    <phoneticPr fontId="2" type="noConversion"/>
  </si>
  <si>
    <t>F/ADAPTER</t>
    <phoneticPr fontId="2" type="noConversion"/>
  </si>
  <si>
    <t>AMB2069B-KAA-R1</t>
    <phoneticPr fontId="2" type="noConversion"/>
  </si>
  <si>
    <t>72P</t>
    <phoneticPr fontId="2" type="noConversion"/>
  </si>
  <si>
    <t>전일 ISSUE 사항(13일)</t>
    <phoneticPr fontId="2" type="noConversion"/>
  </si>
  <si>
    <t>코아파손정지</t>
    <phoneticPr fontId="2" type="noConversion"/>
  </si>
  <si>
    <t>9</t>
    <phoneticPr fontId="2" type="noConversion"/>
  </si>
  <si>
    <t>IR BAR</t>
    <phoneticPr fontId="2" type="noConversion"/>
  </si>
  <si>
    <t>발주분양산</t>
    <phoneticPr fontId="2" type="noConversion"/>
  </si>
  <si>
    <t>MCS</t>
    <phoneticPr fontId="2" type="noConversion"/>
  </si>
  <si>
    <t>AMB0152A-KAA-R1</t>
    <phoneticPr fontId="2" type="noConversion"/>
  </si>
  <si>
    <t>세척후양산</t>
    <phoneticPr fontId="2" type="noConversion"/>
  </si>
  <si>
    <t>당일 진행 사항(14일)</t>
    <phoneticPr fontId="2" type="noConversion"/>
  </si>
  <si>
    <t>DI</t>
    <phoneticPr fontId="2" type="noConversion"/>
  </si>
  <si>
    <t>15</t>
    <phoneticPr fontId="2" type="noConversion"/>
  </si>
  <si>
    <t>ODT</t>
    <phoneticPr fontId="2" type="noConversion"/>
  </si>
  <si>
    <t>2</t>
    <phoneticPr fontId="2" type="noConversion"/>
  </si>
  <si>
    <t>203T</t>
    <phoneticPr fontId="2" type="noConversion"/>
  </si>
  <si>
    <t>SW-003068</t>
    <phoneticPr fontId="2" type="noConversion"/>
  </si>
  <si>
    <t>설비고장정지</t>
    <phoneticPr fontId="2" type="noConversion"/>
  </si>
  <si>
    <t>ODT</t>
    <phoneticPr fontId="2" type="noConversion"/>
  </si>
  <si>
    <t>203T</t>
    <phoneticPr fontId="2" type="noConversion"/>
  </si>
  <si>
    <t>SW-003068</t>
    <phoneticPr fontId="2" type="noConversion"/>
  </si>
  <si>
    <t>설비수리후양산</t>
    <phoneticPr fontId="2" type="noConversion"/>
  </si>
  <si>
    <t>KR6170BD740UB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</si>
  <si>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</si>
  <si>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</si>
  <si>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</si>
  <si>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AMM0821A-KAA-R3</t>
    <phoneticPr fontId="2" type="noConversion"/>
  </si>
  <si>
    <t>9</t>
    <phoneticPr fontId="2" type="noConversion"/>
  </si>
  <si>
    <t>BASE</t>
    <phoneticPr fontId="2" type="noConversion"/>
  </si>
  <si>
    <t>HSF05-M04B1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</si>
  <si>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</si>
  <si>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</si>
  <si>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</si>
  <si>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14</t>
    <phoneticPr fontId="2" type="noConversion"/>
  </si>
  <si>
    <t>수리후양산</t>
    <phoneticPr fontId="2" type="noConversion"/>
  </si>
  <si>
    <t>SAMPLE 진행 사항(13일)</t>
    <phoneticPr fontId="2" type="noConversion"/>
  </si>
  <si>
    <t>JENDER</t>
    <phoneticPr fontId="2" type="noConversion"/>
  </si>
  <si>
    <t>KR6610-B068XX</t>
    <phoneticPr fontId="2" type="noConversion"/>
  </si>
  <si>
    <t>GN2330</t>
    <phoneticPr fontId="2" type="noConversion"/>
  </si>
  <si>
    <t>수정</t>
    <phoneticPr fontId="2" type="noConversion"/>
  </si>
  <si>
    <t>ACTUATOR</t>
    <phoneticPr fontId="2" type="noConversion"/>
  </si>
  <si>
    <t>STOPPER</t>
    <phoneticPr fontId="2" type="noConversion"/>
  </si>
  <si>
    <t>AMB0156A-KAA-R1</t>
    <phoneticPr fontId="2" type="noConversion"/>
  </si>
  <si>
    <t>SF2255</t>
    <phoneticPr fontId="2" type="noConversion"/>
  </si>
  <si>
    <t>AMB1919A-KAA-R1</t>
    <phoneticPr fontId="2" type="noConversion"/>
  </si>
  <si>
    <t>JD4901</t>
    <phoneticPr fontId="2" type="noConversion"/>
  </si>
  <si>
    <t>AMB0227A-KAA-R1</t>
    <phoneticPr fontId="2" type="noConversion"/>
  </si>
  <si>
    <t>SF2255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</si>
  <si>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</si>
  <si>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</si>
  <si>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2017년 04월 14일 일일생산현황</t>
    </r>
    <r>
      <rPr>
        <b/>
        <sz val="14"/>
        <color indexed="8"/>
        <rFont val="굴림체"/>
        <family val="3"/>
        <charset val="129"/>
      </rPr>
      <t>(15일(토) 09시 현재)</t>
    </r>
    <phoneticPr fontId="2" type="noConversion"/>
  </si>
  <si>
    <t>KR6170BD740UB</t>
    <phoneticPr fontId="2" type="noConversion"/>
  </si>
  <si>
    <t>AMM0821A-KAA-R3</t>
    <phoneticPr fontId="2" type="noConversion"/>
  </si>
  <si>
    <t>7301</t>
    <phoneticPr fontId="2" type="noConversion"/>
  </si>
  <si>
    <t>AMB2069C-KAA-R1</t>
    <phoneticPr fontId="2" type="noConversion"/>
  </si>
  <si>
    <t>전일 ISSUE 사항(14일)</t>
    <phoneticPr fontId="2" type="noConversion"/>
  </si>
  <si>
    <t>수리후양산-&gt;1C코아파손</t>
    <phoneticPr fontId="2" type="noConversion"/>
  </si>
  <si>
    <t>MCS</t>
    <phoneticPr fontId="2" type="noConversion"/>
  </si>
  <si>
    <t>AMM0821A-KAA-R3</t>
    <phoneticPr fontId="2" type="noConversion"/>
  </si>
  <si>
    <t>하측박힘정지</t>
    <phoneticPr fontId="2" type="noConversion"/>
  </si>
  <si>
    <t>11</t>
    <phoneticPr fontId="2" type="noConversion"/>
  </si>
  <si>
    <t>HSF05-M01B1</t>
    <phoneticPr fontId="2" type="noConversion"/>
  </si>
  <si>
    <t>HSF05-M04B1</t>
    <phoneticPr fontId="2" type="noConversion"/>
  </si>
  <si>
    <t>10</t>
    <phoneticPr fontId="2" type="noConversion"/>
  </si>
  <si>
    <t>COVER</t>
    <phoneticPr fontId="2" type="noConversion"/>
  </si>
  <si>
    <t>HSF05-M03B1</t>
    <phoneticPr fontId="2" type="noConversion"/>
  </si>
  <si>
    <t>HOOK박힘수리</t>
    <phoneticPr fontId="2" type="noConversion"/>
  </si>
  <si>
    <t>당일 진행 사항(15일)</t>
    <phoneticPr fontId="2" type="noConversion"/>
  </si>
  <si>
    <t>수리후양산</t>
    <phoneticPr fontId="2" type="noConversion"/>
  </si>
  <si>
    <t>SAMPLE 진행 사항(14일)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</si>
  <si>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</si>
  <si>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</si>
  <si>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t>엔코더 에러</t>
    <phoneticPr fontId="2" type="noConversion"/>
  </si>
  <si>
    <t>키트</t>
    <phoneticPr fontId="2" type="noConversion"/>
  </si>
  <si>
    <t>A/S신청</t>
    <phoneticPr fontId="2" type="noConversion"/>
  </si>
  <si>
    <r>
      <t>2017년 04월 15일 일일생산현황</t>
    </r>
    <r>
      <rPr>
        <b/>
        <sz val="14"/>
        <color indexed="8"/>
        <rFont val="굴림체"/>
        <family val="3"/>
        <charset val="129"/>
      </rPr>
      <t>(16일(일) 09시 현재)</t>
    </r>
    <phoneticPr fontId="2" type="noConversion"/>
  </si>
  <si>
    <t>KR6182-C624TB</t>
    <phoneticPr fontId="2" type="noConversion"/>
  </si>
  <si>
    <t>전일 ISSUE 사항(15일)</t>
    <phoneticPr fontId="2" type="noConversion"/>
  </si>
  <si>
    <t>수리후양산</t>
    <phoneticPr fontId="2" type="noConversion"/>
  </si>
  <si>
    <t>12</t>
    <phoneticPr fontId="2" type="noConversion"/>
  </si>
  <si>
    <t>F/ADAPTER</t>
    <phoneticPr fontId="2" type="noConversion"/>
  </si>
  <si>
    <t>AMB2069B-KAA-R1</t>
    <phoneticPr fontId="2" type="noConversion"/>
  </si>
  <si>
    <t>ODT</t>
    <phoneticPr fontId="2" type="noConversion"/>
  </si>
  <si>
    <t>2</t>
    <phoneticPr fontId="2" type="noConversion"/>
  </si>
  <si>
    <t>203T</t>
    <phoneticPr fontId="2" type="noConversion"/>
  </si>
  <si>
    <t>SW-003068</t>
    <phoneticPr fontId="2" type="noConversion"/>
  </si>
  <si>
    <t>설비수리후양산-&gt;끍힘정지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</si>
  <si>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</si>
  <si>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</si>
  <si>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</si>
  <si>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당일 진행 사항(16일)</t>
    <phoneticPr fontId="2" type="noConversion"/>
  </si>
  <si>
    <t>SST</t>
    <phoneticPr fontId="2" type="noConversion"/>
  </si>
  <si>
    <t>KR6182-B624CB</t>
    <phoneticPr fontId="2" type="noConversion"/>
  </si>
  <si>
    <t>발주분양산</t>
    <phoneticPr fontId="2" type="noConversion"/>
  </si>
  <si>
    <t>13</t>
    <phoneticPr fontId="2" type="noConversion"/>
  </si>
  <si>
    <t>SLIDER</t>
    <phoneticPr fontId="2" type="noConversion"/>
  </si>
  <si>
    <t>KR6182-A308WA</t>
    <phoneticPr fontId="2" type="noConversion"/>
  </si>
  <si>
    <t>SHAFT</t>
    <phoneticPr fontId="2" type="noConversion"/>
  </si>
  <si>
    <t>KR6197-06KA</t>
    <phoneticPr fontId="2" type="noConversion"/>
  </si>
  <si>
    <t>SAMPLE 진행 사항(15일)</t>
    <phoneticPr fontId="2" type="noConversion"/>
  </si>
  <si>
    <t>SLIDER</t>
    <phoneticPr fontId="2" type="noConversion"/>
  </si>
  <si>
    <t>HSA65-M002C1</t>
    <phoneticPr fontId="2" type="noConversion"/>
  </si>
  <si>
    <t>SGF2030 N/P</t>
    <phoneticPr fontId="2" type="noConversion"/>
  </si>
  <si>
    <t>수정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</si>
  <si>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</si>
  <si>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</si>
  <si>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t>접촉불량부 수리</t>
    <phoneticPr fontId="2" type="noConversion"/>
  </si>
  <si>
    <r>
      <t>2017년 04월 16일 일일생산현황</t>
    </r>
    <r>
      <rPr>
        <b/>
        <sz val="14"/>
        <color indexed="8"/>
        <rFont val="굴림체"/>
        <family val="3"/>
        <charset val="129"/>
      </rPr>
      <t>(17일(월) 09시 현재)</t>
    </r>
    <phoneticPr fontId="2" type="noConversion"/>
  </si>
  <si>
    <t>SST</t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</si>
  <si>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</si>
  <si>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</si>
  <si>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</si>
  <si>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BASE</t>
    <phoneticPr fontId="2" type="noConversion"/>
  </si>
  <si>
    <t>KR6182-B624CB</t>
    <phoneticPr fontId="2" type="noConversion"/>
  </si>
  <si>
    <t>SGF2033</t>
    <phoneticPr fontId="2" type="noConversion"/>
  </si>
  <si>
    <t>SLIDER</t>
    <phoneticPr fontId="2" type="noConversion"/>
  </si>
  <si>
    <t>KR6182-A308WA</t>
    <phoneticPr fontId="2" type="noConversion"/>
  </si>
  <si>
    <t>SGF2030</t>
    <phoneticPr fontId="2" type="noConversion"/>
  </si>
  <si>
    <t>전일 ISSUE 사항(16일)</t>
    <phoneticPr fontId="2" type="noConversion"/>
  </si>
  <si>
    <t>SST</t>
    <phoneticPr fontId="2" type="noConversion"/>
  </si>
  <si>
    <t>8</t>
    <phoneticPr fontId="2" type="noConversion"/>
  </si>
  <si>
    <t>발주분양산</t>
    <phoneticPr fontId="2" type="noConversion"/>
  </si>
  <si>
    <t>4</t>
    <phoneticPr fontId="2" type="noConversion"/>
  </si>
  <si>
    <t>SHAFT</t>
    <phoneticPr fontId="2" type="noConversion"/>
  </si>
  <si>
    <t>발주분양산</t>
    <phoneticPr fontId="2" type="noConversion"/>
  </si>
  <si>
    <t>13</t>
    <phoneticPr fontId="2" type="noConversion"/>
  </si>
  <si>
    <t>SLIDER</t>
    <phoneticPr fontId="2" type="noConversion"/>
  </si>
  <si>
    <t>발주분양산-&gt;슬라이드파손정지</t>
    <phoneticPr fontId="2" type="noConversion"/>
  </si>
  <si>
    <t>7</t>
    <phoneticPr fontId="2" type="noConversion"/>
  </si>
  <si>
    <t>STOPPER</t>
    <phoneticPr fontId="2" type="noConversion"/>
  </si>
  <si>
    <t>KR6170BD740UB</t>
    <phoneticPr fontId="2" type="noConversion"/>
  </si>
  <si>
    <t>수리후양산-&gt;하측박힘정지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</si>
  <si>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</si>
  <si>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</si>
  <si>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</si>
  <si>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HSF05-M04B1</t>
    <phoneticPr fontId="2" type="noConversion"/>
  </si>
  <si>
    <t>가스정지</t>
    <phoneticPr fontId="2" type="noConversion"/>
  </si>
  <si>
    <t>당일 진행 사항(17일)</t>
    <phoneticPr fontId="2" type="noConversion"/>
  </si>
  <si>
    <t>3</t>
    <phoneticPr fontId="2" type="noConversion"/>
  </si>
  <si>
    <t>수리후양산</t>
    <phoneticPr fontId="2" type="noConversion"/>
  </si>
  <si>
    <t>AM0148D-K-R2</t>
    <phoneticPr fontId="2" type="noConversion"/>
  </si>
  <si>
    <t>MCS</t>
    <phoneticPr fontId="2" type="noConversion"/>
  </si>
  <si>
    <t>11</t>
    <phoneticPr fontId="2" type="noConversion"/>
  </si>
  <si>
    <t>BODY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</si>
  <si>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</si>
  <si>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</si>
  <si>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</si>
  <si>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2017년 04월 17일 일일생산현황</t>
    </r>
    <r>
      <rPr>
        <b/>
        <sz val="14"/>
        <color indexed="8"/>
        <rFont val="굴림체"/>
        <family val="3"/>
        <charset val="129"/>
      </rPr>
      <t>(18일(화) 09시 현재)</t>
    </r>
    <phoneticPr fontId="2" type="noConversion"/>
  </si>
  <si>
    <t>KR6197AC841TA</t>
    <phoneticPr fontId="2" type="noConversion"/>
  </si>
  <si>
    <t>AM0148D-K-R3</t>
    <phoneticPr fontId="2" type="noConversion"/>
  </si>
  <si>
    <t>전일 ISSUE 사항(17일)</t>
    <phoneticPr fontId="2" type="noConversion"/>
  </si>
  <si>
    <t>수리후양산</t>
    <phoneticPr fontId="2" type="noConversion"/>
  </si>
  <si>
    <t>3</t>
    <phoneticPr fontId="2" type="noConversion"/>
  </si>
  <si>
    <t>세척후양산</t>
    <phoneticPr fontId="2" type="noConversion"/>
  </si>
  <si>
    <t>당일 진행 사항(18일)</t>
    <phoneticPr fontId="2" type="noConversion"/>
  </si>
  <si>
    <t>LEAD GUIDE</t>
    <phoneticPr fontId="2" type="noConversion"/>
  </si>
  <si>
    <t>KR6170AF1440UA</t>
    <phoneticPr fontId="2" type="noConversion"/>
  </si>
  <si>
    <t>발주분양산</t>
    <phoneticPr fontId="2" type="noConversion"/>
  </si>
  <si>
    <t>DI</t>
    <phoneticPr fontId="2" type="noConversion"/>
  </si>
  <si>
    <t>15</t>
    <phoneticPr fontId="2" type="noConversion"/>
  </si>
  <si>
    <t>30P</t>
    <phoneticPr fontId="2" type="noConversion"/>
  </si>
  <si>
    <t>MCS</t>
    <phoneticPr fontId="2" type="noConversion"/>
  </si>
  <si>
    <t>11</t>
    <phoneticPr fontId="2" type="noConversion"/>
  </si>
  <si>
    <t>발주분양산</t>
    <phoneticPr fontId="2" type="noConversion"/>
  </si>
  <si>
    <t>SAMPLE 진행 사항(17일)</t>
    <phoneticPr fontId="2" type="noConversion"/>
  </si>
  <si>
    <t>SST</t>
    <phoneticPr fontId="2" type="noConversion"/>
  </si>
  <si>
    <t>LEAD GUIDE</t>
    <phoneticPr fontId="2" type="noConversion"/>
  </si>
  <si>
    <t>KR6197-F841XX</t>
    <phoneticPr fontId="2" type="noConversion"/>
  </si>
  <si>
    <t>수정</t>
    <phoneticPr fontId="2" type="noConversion"/>
  </si>
  <si>
    <t>설비 점검 내역(17일)</t>
    <phoneticPr fontId="2" type="noConversion"/>
  </si>
  <si>
    <t>금형 수리 내역(17일)</t>
    <phoneticPr fontId="2" type="noConversion"/>
  </si>
  <si>
    <r>
      <t>2017년 04월 18일 일일생산현황</t>
    </r>
    <r>
      <rPr>
        <b/>
        <sz val="14"/>
        <color indexed="8"/>
        <rFont val="굴림체"/>
        <family val="3"/>
        <charset val="129"/>
      </rPr>
      <t>(19일(수) 09시 현재)</t>
    </r>
    <phoneticPr fontId="2" type="noConversion"/>
  </si>
  <si>
    <t>LEAD GUIDE</t>
    <phoneticPr fontId="2" type="noConversion"/>
  </si>
  <si>
    <t>KR6170AF1440UA</t>
    <phoneticPr fontId="2" type="noConversion"/>
  </si>
  <si>
    <t>SGF2033</t>
    <phoneticPr fontId="2" type="noConversion"/>
  </si>
  <si>
    <t>SAM</t>
    <phoneticPr fontId="2" type="noConversion"/>
  </si>
  <si>
    <t>AM0610B-J</t>
    <phoneticPr fontId="2" type="noConversion"/>
  </si>
  <si>
    <t>전일 ISSUE 사항(18일)</t>
    <phoneticPr fontId="2" type="noConversion"/>
  </si>
  <si>
    <t>슬라이드파손수리</t>
    <phoneticPr fontId="2" type="noConversion"/>
  </si>
  <si>
    <t>MCS</t>
    <phoneticPr fontId="2" type="noConversion"/>
  </si>
  <si>
    <t>ACTUATOR</t>
    <phoneticPr fontId="2" type="noConversion"/>
  </si>
  <si>
    <t>AMB1904D-KAA-R2</t>
    <phoneticPr fontId="2" type="noConversion"/>
  </si>
  <si>
    <t>발주분양산</t>
    <phoneticPr fontId="2" type="noConversion"/>
  </si>
  <si>
    <t>SAM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</si>
  <si>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</si>
  <si>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</si>
  <si>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</si>
  <si>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HSF05-M02B1</t>
    <phoneticPr fontId="2" type="noConversion"/>
  </si>
  <si>
    <t>수리후양산</t>
    <phoneticPr fontId="2" type="noConversion"/>
  </si>
  <si>
    <t>발주분양산-&gt;BURR정지</t>
    <phoneticPr fontId="2" type="noConversion"/>
  </si>
  <si>
    <t>당일 진행 사항(19일)</t>
    <phoneticPr fontId="2" type="noConversion"/>
  </si>
  <si>
    <t>수리후양산</t>
    <phoneticPr fontId="2" type="noConversion"/>
  </si>
  <si>
    <t>DI</t>
    <phoneticPr fontId="2" type="noConversion"/>
  </si>
  <si>
    <t>15</t>
    <phoneticPr fontId="2" type="noConversion"/>
  </si>
  <si>
    <t>30P</t>
    <phoneticPr fontId="2" type="noConversion"/>
  </si>
  <si>
    <t>8</t>
    <phoneticPr fontId="2" type="noConversion"/>
  </si>
  <si>
    <t>BASE</t>
    <phoneticPr fontId="2" type="noConversion"/>
  </si>
  <si>
    <t>KR6182-B624CA</t>
    <phoneticPr fontId="2" type="noConversion"/>
  </si>
  <si>
    <t>세척후양산</t>
    <phoneticPr fontId="2" type="noConversion"/>
  </si>
  <si>
    <t>AMB07H9A-KAA-R1</t>
    <phoneticPr fontId="2" type="noConversion"/>
  </si>
  <si>
    <t>12</t>
    <phoneticPr fontId="2" type="noConversion"/>
  </si>
  <si>
    <t>IC GUIDE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</si>
  <si>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</si>
  <si>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</si>
  <si>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</si>
  <si>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2017년 04월 19일 일일생산현황</t>
    </r>
    <r>
      <rPr>
        <b/>
        <sz val="14"/>
        <color indexed="8"/>
        <rFont val="굴림체"/>
        <family val="3"/>
        <charset val="129"/>
      </rPr>
      <t>(20일(목) 09시 현재)</t>
    </r>
    <phoneticPr fontId="2" type="noConversion"/>
  </si>
  <si>
    <t>30P(4P)</t>
    <phoneticPr fontId="2" type="noConversion"/>
  </si>
  <si>
    <t>30P(4p)</t>
    <phoneticPr fontId="2" type="noConversion"/>
  </si>
  <si>
    <t>BODY</t>
    <phoneticPr fontId="2" type="noConversion"/>
  </si>
  <si>
    <t>AM0149A-K</t>
    <phoneticPr fontId="2" type="noConversion"/>
  </si>
  <si>
    <t>KR6197-F841UA</t>
    <phoneticPr fontId="2" type="noConversion"/>
  </si>
  <si>
    <t>STOPPER</t>
    <phoneticPr fontId="2" type="noConversion"/>
  </si>
  <si>
    <t>AMB0228A-KAA-R1</t>
    <phoneticPr fontId="2" type="noConversion"/>
  </si>
  <si>
    <t>SF2255</t>
    <phoneticPr fontId="2" type="noConversion"/>
  </si>
  <si>
    <t>ACTUATOR</t>
    <phoneticPr fontId="2" type="noConversion"/>
  </si>
  <si>
    <t>AMB1920A-KAA-R1</t>
    <phoneticPr fontId="2" type="noConversion"/>
  </si>
  <si>
    <t>JD4901</t>
    <phoneticPr fontId="2" type="noConversion"/>
  </si>
  <si>
    <t>IC GUIDE</t>
    <phoneticPr fontId="2" type="noConversion"/>
  </si>
  <si>
    <t>AMB07H9A-KAA-R1</t>
    <phoneticPr fontId="2" type="noConversion"/>
  </si>
  <si>
    <t>전일 ISSUE 사항(19일)</t>
    <phoneticPr fontId="2" type="noConversion"/>
  </si>
  <si>
    <t>슬라이드파손정지</t>
    <phoneticPr fontId="2" type="noConversion"/>
  </si>
  <si>
    <t>SLIDER</t>
    <phoneticPr fontId="2" type="noConversion"/>
  </si>
  <si>
    <t>KR6182-A308WA</t>
    <phoneticPr fontId="2" type="noConversion"/>
  </si>
  <si>
    <t>BURR수리후양산</t>
    <phoneticPr fontId="2" type="noConversion"/>
  </si>
  <si>
    <t>7</t>
    <phoneticPr fontId="2" type="noConversion"/>
  </si>
  <si>
    <t>STOPPER</t>
    <phoneticPr fontId="2" type="noConversion"/>
  </si>
  <si>
    <t>KR6170BD740UB</t>
    <phoneticPr fontId="2" type="noConversion"/>
  </si>
  <si>
    <t>밀핀파손수리-&gt;하측뜯김정지</t>
    <phoneticPr fontId="2" type="noConversion"/>
  </si>
  <si>
    <t>KR6170BD740UB</t>
    <phoneticPr fontId="2" type="noConversion"/>
  </si>
  <si>
    <t>수리후양산</t>
    <phoneticPr fontId="2" type="noConversion"/>
  </si>
  <si>
    <t>8</t>
    <phoneticPr fontId="2" type="noConversion"/>
  </si>
  <si>
    <t>BASE</t>
    <phoneticPr fontId="2" type="noConversion"/>
  </si>
  <si>
    <t>KR6182-B624CB</t>
    <phoneticPr fontId="2" type="noConversion"/>
  </si>
  <si>
    <t>세척후양산</t>
    <phoneticPr fontId="2" type="noConversion"/>
  </si>
  <si>
    <t>LEAD GUIDE</t>
    <phoneticPr fontId="2" type="noConversion"/>
  </si>
  <si>
    <t>발주분양산</t>
    <phoneticPr fontId="2" type="noConversion"/>
  </si>
  <si>
    <t>MCS</t>
    <phoneticPr fontId="2" type="noConversion"/>
  </si>
  <si>
    <t>12</t>
    <phoneticPr fontId="2" type="noConversion"/>
  </si>
  <si>
    <t>HICON</t>
    <phoneticPr fontId="2" type="noConversion"/>
  </si>
  <si>
    <t>STOPPER</t>
    <phoneticPr fontId="2" type="noConversion"/>
  </si>
  <si>
    <t>HSF05-M04B1</t>
    <phoneticPr fontId="2" type="noConversion"/>
  </si>
  <si>
    <t>세척후양산</t>
    <phoneticPr fontId="2" type="noConversion"/>
  </si>
  <si>
    <t>SLIDER</t>
    <phoneticPr fontId="2" type="noConversion"/>
  </si>
  <si>
    <t>HSF05-M02B1</t>
    <phoneticPr fontId="2" type="noConversion"/>
  </si>
  <si>
    <t>HSF05-M01B1</t>
    <phoneticPr fontId="2" type="noConversion"/>
  </si>
  <si>
    <t>14</t>
    <phoneticPr fontId="2" type="noConversion"/>
  </si>
  <si>
    <t>당일 진행 사항(20일)</t>
    <phoneticPr fontId="2" type="noConversion"/>
  </si>
  <si>
    <t>금형 수리 내역(19일)</t>
    <phoneticPr fontId="2" type="noConversion"/>
  </si>
  <si>
    <t>SAMPLE 진행 사항(19일)</t>
    <phoneticPr fontId="2" type="noConversion"/>
  </si>
  <si>
    <t>설비 점검 내역(19일)</t>
    <phoneticPr fontId="2" type="noConversion"/>
  </si>
  <si>
    <r>
      <t>2017년 04월 20일 일일생산현황</t>
    </r>
    <r>
      <rPr>
        <b/>
        <sz val="14"/>
        <color indexed="8"/>
        <rFont val="굴림체"/>
        <family val="3"/>
        <charset val="129"/>
      </rPr>
      <t>(21일(금) 09시 현재)</t>
    </r>
    <phoneticPr fontId="2" type="noConversion"/>
  </si>
  <si>
    <t>AM0340A-K</t>
    <phoneticPr fontId="2" type="noConversion"/>
  </si>
  <si>
    <t>JD4901</t>
    <phoneticPr fontId="2" type="noConversion"/>
  </si>
  <si>
    <t>SST</t>
    <phoneticPr fontId="2" type="noConversion"/>
  </si>
  <si>
    <t>LEAD GUIDE</t>
    <phoneticPr fontId="2" type="noConversion"/>
  </si>
  <si>
    <t>KR6197-F841UA</t>
    <phoneticPr fontId="2" type="noConversion"/>
  </si>
  <si>
    <t>전일 ISSUE 사항(20일)</t>
    <phoneticPr fontId="2" type="noConversion"/>
  </si>
  <si>
    <t>수리후양산-&gt;슬라이드파손정지</t>
    <phoneticPr fontId="2" type="noConversion"/>
  </si>
  <si>
    <t>수리후양산</t>
    <phoneticPr fontId="2" type="noConversion"/>
  </si>
  <si>
    <t>11</t>
    <phoneticPr fontId="2" type="noConversion"/>
  </si>
  <si>
    <t>미성형정지</t>
    <phoneticPr fontId="2" type="noConversion"/>
  </si>
  <si>
    <t>HICON</t>
    <phoneticPr fontId="2" type="noConversion"/>
  </si>
  <si>
    <t>SLIDER</t>
    <phoneticPr fontId="2" type="noConversion"/>
  </si>
  <si>
    <t>HSF05-M02B1</t>
    <phoneticPr fontId="2" type="noConversion"/>
  </si>
  <si>
    <t>세척후양산</t>
    <phoneticPr fontId="2" type="noConversion"/>
  </si>
  <si>
    <t>당일 진행 사항(21일)</t>
    <phoneticPr fontId="2" type="noConversion"/>
  </si>
  <si>
    <t>COVER</t>
    <phoneticPr fontId="2" type="noConversion"/>
  </si>
  <si>
    <t>KR6197AC841TA</t>
    <phoneticPr fontId="2" type="noConversion"/>
  </si>
  <si>
    <t>발주분양산</t>
    <phoneticPr fontId="2" type="noConversion"/>
  </si>
  <si>
    <t>SAMPLE 진행 사항(20일)</t>
    <phoneticPr fontId="2" type="noConversion"/>
  </si>
  <si>
    <t>AYE</t>
    <phoneticPr fontId="2" type="noConversion"/>
  </si>
  <si>
    <t>LEAD GUIDE</t>
    <phoneticPr fontId="2" type="noConversion"/>
  </si>
  <si>
    <t>NP614-110-001#LO</t>
    <phoneticPr fontId="2" type="noConversion"/>
  </si>
  <si>
    <t>NP614-110-001#IN-A</t>
    <phoneticPr fontId="2" type="noConversion"/>
  </si>
  <si>
    <t>AYE</t>
    <phoneticPr fontId="2" type="noConversion"/>
  </si>
  <si>
    <t xml:space="preserve">SGP2030R </t>
    <phoneticPr fontId="2" type="noConversion"/>
  </si>
  <si>
    <t>신작</t>
    <phoneticPr fontId="2" type="noConversion"/>
  </si>
  <si>
    <t>SST</t>
    <phoneticPr fontId="2" type="noConversion"/>
  </si>
  <si>
    <t>LEAD GUIDE</t>
    <phoneticPr fontId="2" type="noConversion"/>
  </si>
  <si>
    <t>K-JR01911-F432AXX</t>
    <phoneticPr fontId="2" type="noConversion"/>
  </si>
  <si>
    <t>SGF2030</t>
    <phoneticPr fontId="2" type="noConversion"/>
  </si>
  <si>
    <t>SGF2030</t>
    <phoneticPr fontId="2" type="noConversion"/>
  </si>
  <si>
    <t>K-JR01911-A432AXX</t>
    <phoneticPr fontId="2" type="noConversion"/>
  </si>
  <si>
    <t>성형안됨</t>
    <phoneticPr fontId="2" type="noConversion"/>
  </si>
  <si>
    <t>SGF2030,SGF2033,SGF2041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</si>
  <si>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</si>
  <si>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</si>
  <si>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2017년 04월 21일 일일생산현황</t>
    </r>
    <r>
      <rPr>
        <b/>
        <sz val="14"/>
        <color indexed="8"/>
        <rFont val="굴림체"/>
        <family val="3"/>
        <charset val="129"/>
      </rPr>
      <t>(22일(토) 09시 현재)</t>
    </r>
    <phoneticPr fontId="2" type="noConversion"/>
  </si>
  <si>
    <t>KR6197AC841TA</t>
    <phoneticPr fontId="2" type="noConversion"/>
  </si>
  <si>
    <t>MCS</t>
    <phoneticPr fontId="2" type="noConversion"/>
  </si>
  <si>
    <t>M2.CONN'</t>
    <phoneticPr fontId="2" type="noConversion"/>
  </si>
  <si>
    <t>AMS08155A-KAA-R1</t>
    <phoneticPr fontId="2" type="noConversion"/>
  </si>
  <si>
    <t>SF2255</t>
    <phoneticPr fontId="2" type="noConversion"/>
  </si>
  <si>
    <t>SF2255</t>
    <phoneticPr fontId="2" type="noConversion"/>
  </si>
  <si>
    <t>AMB0157B-KAA-R1</t>
    <phoneticPr fontId="2" type="noConversion"/>
  </si>
  <si>
    <t>전일 ISSUE 사항(21일)</t>
    <phoneticPr fontId="2" type="noConversion"/>
  </si>
  <si>
    <t>수리후양산</t>
    <phoneticPr fontId="2" type="noConversion"/>
  </si>
  <si>
    <t>세척후양산</t>
    <phoneticPr fontId="2" type="noConversion"/>
  </si>
  <si>
    <t>HICON</t>
    <phoneticPr fontId="2" type="noConversion"/>
  </si>
  <si>
    <t>3</t>
    <phoneticPr fontId="2" type="noConversion"/>
  </si>
  <si>
    <t>STOPPER</t>
    <phoneticPr fontId="2" type="noConversion"/>
  </si>
  <si>
    <t>HSF05-M04B1</t>
    <phoneticPr fontId="2" type="noConversion"/>
  </si>
  <si>
    <t>MCS</t>
    <phoneticPr fontId="2" type="noConversion"/>
  </si>
  <si>
    <t>8</t>
    <phoneticPr fontId="2" type="noConversion"/>
  </si>
  <si>
    <t>BASE</t>
    <phoneticPr fontId="2" type="noConversion"/>
  </si>
  <si>
    <t>발주분양산</t>
    <phoneticPr fontId="2" type="noConversion"/>
  </si>
  <si>
    <t>M2 CONN</t>
    <phoneticPr fontId="2" type="noConversion"/>
  </si>
  <si>
    <t>발주분양산-&gt;미성형정지</t>
    <phoneticPr fontId="2" type="noConversion"/>
  </si>
  <si>
    <t>2</t>
    <phoneticPr fontId="2" type="noConversion"/>
  </si>
  <si>
    <t>COVER</t>
    <phoneticPr fontId="2" type="noConversion"/>
  </si>
  <si>
    <t>당일 진행 사항(22일)</t>
    <phoneticPr fontId="2" type="noConversion"/>
  </si>
  <si>
    <t>HSF05-M01B1</t>
    <phoneticPr fontId="2" type="noConversion"/>
  </si>
  <si>
    <t>수리후양산-&gt;하측박힘정지</t>
    <phoneticPr fontId="2" type="noConversion"/>
  </si>
  <si>
    <t>BODY</t>
    <phoneticPr fontId="2" type="noConversion"/>
  </si>
  <si>
    <t>AMB0114B-JAA-R5</t>
    <phoneticPr fontId="2" type="noConversion"/>
  </si>
  <si>
    <t>발주분양산</t>
    <phoneticPr fontId="2" type="noConversion"/>
  </si>
  <si>
    <t>SAMPLE 진행 사항(21일)</t>
    <phoneticPr fontId="2" type="noConversion"/>
  </si>
  <si>
    <t>NP614-110-001#IN-B</t>
    <phoneticPr fontId="2" type="noConversion"/>
  </si>
  <si>
    <t>SGP2030R</t>
    <phoneticPr fontId="2" type="noConversion"/>
  </si>
  <si>
    <t>K-JR01911-B432AXX</t>
    <phoneticPr fontId="2" type="noConversion"/>
  </si>
  <si>
    <t>SGF2030</t>
    <phoneticPr fontId="2" type="noConversion"/>
  </si>
  <si>
    <t>BURR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</si>
  <si>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</si>
  <si>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</si>
  <si>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2017년 04월 22일 일일생산현황</t>
    </r>
    <r>
      <rPr>
        <b/>
        <sz val="14"/>
        <color indexed="8"/>
        <rFont val="굴림체"/>
        <family val="3"/>
        <charset val="129"/>
      </rPr>
      <t>(23일(일) 09시 현재)</t>
    </r>
    <phoneticPr fontId="2" type="noConversion"/>
  </si>
  <si>
    <t>AMB0114B-JAA-R5</t>
    <phoneticPr fontId="2" type="noConversion"/>
  </si>
  <si>
    <t>SF2255</t>
    <phoneticPr fontId="2" type="noConversion"/>
  </si>
  <si>
    <t>전일 ISSUE 사항(22일)</t>
    <phoneticPr fontId="2" type="noConversion"/>
  </si>
  <si>
    <t>코아파손정지</t>
    <phoneticPr fontId="2" type="noConversion"/>
  </si>
  <si>
    <t>MCS</t>
    <phoneticPr fontId="2" type="noConversion"/>
  </si>
  <si>
    <t>8</t>
    <phoneticPr fontId="2" type="noConversion"/>
  </si>
  <si>
    <t>BODY</t>
    <phoneticPr fontId="2" type="noConversion"/>
  </si>
  <si>
    <t>8</t>
    <phoneticPr fontId="2" type="noConversion"/>
  </si>
  <si>
    <t>BASE</t>
    <phoneticPr fontId="2" type="noConversion"/>
  </si>
  <si>
    <t>KR6197AB841CA</t>
    <phoneticPr fontId="2" type="noConversion"/>
  </si>
  <si>
    <t>KR6182-A308WA</t>
    <phoneticPr fontId="2" type="noConversion"/>
  </si>
  <si>
    <t>STOPPER</t>
    <phoneticPr fontId="2" type="noConversion"/>
  </si>
  <si>
    <t>KR6170BD740UB</t>
    <phoneticPr fontId="2" type="noConversion"/>
  </si>
  <si>
    <t>당일 진행 사항(24일)</t>
    <phoneticPr fontId="2" type="noConversion"/>
  </si>
  <si>
    <t>코아파손정지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</si>
  <si>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</si>
  <si>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</si>
  <si>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</si>
  <si>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2017년 04월 24일 일일생산현황</t>
    </r>
    <r>
      <rPr>
        <b/>
        <sz val="14"/>
        <color indexed="8"/>
        <rFont val="굴림체"/>
        <family val="3"/>
        <charset val="129"/>
      </rPr>
      <t>(25일(화) 09시 현재)</t>
    </r>
    <phoneticPr fontId="2" type="noConversion"/>
  </si>
  <si>
    <t>TST</t>
    <phoneticPr fontId="2" type="noConversion"/>
  </si>
  <si>
    <t>사출물B</t>
    <phoneticPr fontId="2" type="noConversion"/>
  </si>
  <si>
    <t>PA46</t>
    <phoneticPr fontId="2" type="noConversion"/>
  </si>
  <si>
    <t>전일 ISSUE 사항(24일)</t>
    <phoneticPr fontId="2" type="noConversion"/>
  </si>
  <si>
    <t>4</t>
    <phoneticPr fontId="2" type="noConversion"/>
  </si>
  <si>
    <t>수리후양산</t>
    <phoneticPr fontId="2" type="noConversion"/>
  </si>
  <si>
    <t>TST</t>
    <phoneticPr fontId="2" type="noConversion"/>
  </si>
  <si>
    <t>1</t>
    <phoneticPr fontId="2" type="noConversion"/>
  </si>
  <si>
    <t>사출물 B</t>
    <phoneticPr fontId="2" type="noConversion"/>
  </si>
  <si>
    <t>발주분양산</t>
    <phoneticPr fontId="2" type="noConversion"/>
  </si>
  <si>
    <t>당일 진행 사항(25일)</t>
    <phoneticPr fontId="2" type="noConversion"/>
  </si>
  <si>
    <t>BODY</t>
    <phoneticPr fontId="2" type="noConversion"/>
  </si>
  <si>
    <t>KR6197AB841CA</t>
    <phoneticPr fontId="2" type="noConversion"/>
  </si>
  <si>
    <t>SAMPLE 진행 사항(24일)</t>
    <phoneticPr fontId="2" type="noConversion"/>
  </si>
  <si>
    <t>BASE</t>
    <phoneticPr fontId="2" type="noConversion"/>
  </si>
  <si>
    <t>JR01911-B432XX</t>
    <phoneticPr fontId="2" type="noConversion"/>
  </si>
  <si>
    <t>SGF2030</t>
    <phoneticPr fontId="2" type="noConversion"/>
  </si>
  <si>
    <t>수정</t>
    <phoneticPr fontId="2" type="noConversion"/>
  </si>
  <si>
    <t>코아파손</t>
    <phoneticPr fontId="2" type="noConversion"/>
  </si>
  <si>
    <t>ADAPTER</t>
    <phoneticPr fontId="2" type="noConversion"/>
  </si>
  <si>
    <t>JR01911-G01HXX</t>
    <phoneticPr fontId="2" type="noConversion"/>
  </si>
  <si>
    <t>SGF2030 N/P</t>
    <phoneticPr fontId="2" type="noConversion"/>
  </si>
  <si>
    <t>신작</t>
    <phoneticPr fontId="2" type="noConversion"/>
  </si>
  <si>
    <t>HSF05-M02B1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</si>
  <si>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</si>
  <si>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</si>
  <si>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</si>
  <si>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AMB1904D-KAA-R2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</si>
  <si>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</si>
  <si>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</si>
  <si>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</si>
  <si>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</si>
  <si>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</si>
  <si>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2017년 04월 25일 일일생산현황</t>
    </r>
    <r>
      <rPr>
        <b/>
        <sz val="14"/>
        <color indexed="8"/>
        <rFont val="굴림체"/>
        <family val="3"/>
        <charset val="129"/>
      </rPr>
      <t>(26일(수) 09시 현재)</t>
    </r>
    <phoneticPr fontId="2" type="noConversion"/>
  </si>
  <si>
    <t>BASE</t>
    <phoneticPr fontId="2" type="noConversion"/>
  </si>
  <si>
    <t>KR6197AB841CA</t>
    <phoneticPr fontId="2" type="noConversion"/>
  </si>
  <si>
    <t>SGF2033</t>
    <phoneticPr fontId="2" type="noConversion"/>
  </si>
  <si>
    <t>전일 ISSUE 사항(25일)</t>
    <phoneticPr fontId="2" type="noConversion"/>
  </si>
  <si>
    <t>슬라이드파손수리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</si>
  <si>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</si>
  <si>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</si>
  <si>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</si>
  <si>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HSF05-M02B1</t>
    <phoneticPr fontId="2" type="noConversion"/>
  </si>
  <si>
    <t>수리후양산</t>
    <phoneticPr fontId="2" type="noConversion"/>
  </si>
  <si>
    <t>MCS</t>
    <phoneticPr fontId="2" type="noConversion"/>
  </si>
  <si>
    <t>ACTUATOR</t>
    <phoneticPr fontId="2" type="noConversion"/>
  </si>
  <si>
    <t>AMB1904D-KAA-R2</t>
    <phoneticPr fontId="2" type="noConversion"/>
  </si>
  <si>
    <t>발주분양산</t>
    <phoneticPr fontId="2" type="noConversion"/>
  </si>
  <si>
    <t>SST</t>
    <phoneticPr fontId="2" type="noConversion"/>
  </si>
  <si>
    <t>13</t>
    <phoneticPr fontId="2" type="noConversion"/>
  </si>
  <si>
    <t>당일 진행 사항(26일)</t>
    <phoneticPr fontId="2" type="noConversion"/>
  </si>
  <si>
    <t>14</t>
    <phoneticPr fontId="2" type="noConversion"/>
  </si>
  <si>
    <t>BASE</t>
    <phoneticPr fontId="2" type="noConversion"/>
  </si>
  <si>
    <t>HSF05-M01B1</t>
    <phoneticPr fontId="2" type="noConversion"/>
  </si>
  <si>
    <t>세척후양산</t>
    <phoneticPr fontId="2" type="noConversion"/>
  </si>
  <si>
    <t>SAMPLE 진행 사항(25일)</t>
    <phoneticPr fontId="2" type="noConversion"/>
  </si>
  <si>
    <t>SGF2030,SGF2033</t>
    <phoneticPr fontId="2" type="noConversion"/>
  </si>
  <si>
    <t>코아파손(SGF2033으로 진행)</t>
    <phoneticPr fontId="2" type="noConversion"/>
  </si>
  <si>
    <t>STOPPER</t>
    <phoneticPr fontId="2" type="noConversion"/>
  </si>
  <si>
    <t>JR01911-D432XX</t>
    <phoneticPr fontId="2" type="noConversion"/>
  </si>
  <si>
    <t>SGP2020R</t>
    <phoneticPr fontId="2" type="noConversion"/>
  </si>
  <si>
    <t>신작</t>
    <phoneticPr fontId="2" type="noConversion"/>
  </si>
  <si>
    <t>수정</t>
    <phoneticPr fontId="2" type="noConversion"/>
  </si>
  <si>
    <t>AMB0157B-KAA-R1</t>
    <phoneticPr fontId="2" type="noConversion"/>
  </si>
  <si>
    <t>SF2255</t>
    <phoneticPr fontId="2" type="noConversion"/>
  </si>
  <si>
    <t>AMB0151A-KAA-R1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</si>
  <si>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</si>
  <si>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</si>
  <si>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2017년 04월 26일 일일생산현황</t>
    </r>
    <r>
      <rPr>
        <b/>
        <sz val="14"/>
        <color indexed="8"/>
        <rFont val="굴림체"/>
        <family val="3"/>
        <charset val="129"/>
      </rPr>
      <t>(27일(목) 09시 현재)</t>
    </r>
    <phoneticPr fontId="2" type="noConversion"/>
  </si>
  <si>
    <t>메카텍</t>
    <phoneticPr fontId="2" type="noConversion"/>
  </si>
  <si>
    <t>34p TOP/BOTTOM</t>
    <phoneticPr fontId="2" type="noConversion"/>
  </si>
  <si>
    <t>2*1</t>
    <phoneticPr fontId="2" type="noConversion"/>
  </si>
  <si>
    <t>전일 ISSUE 사항(26일)</t>
    <phoneticPr fontId="2" type="noConversion"/>
  </si>
  <si>
    <t>14</t>
    <phoneticPr fontId="2" type="noConversion"/>
  </si>
  <si>
    <t>HSF05-M01B1</t>
    <phoneticPr fontId="2" type="noConversion"/>
  </si>
  <si>
    <t>세척후양산</t>
    <phoneticPr fontId="2" type="noConversion"/>
  </si>
  <si>
    <t>34P TOP/BOTTOM</t>
    <phoneticPr fontId="2" type="noConversion"/>
  </si>
  <si>
    <t>뜯김정지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</si>
  <si>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</si>
  <si>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</si>
  <si>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</si>
  <si>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당일 진행 사항(27일)</t>
    <phoneticPr fontId="2" type="noConversion"/>
  </si>
  <si>
    <t>SLIDER</t>
    <phoneticPr fontId="2" type="noConversion"/>
  </si>
  <si>
    <t>HSF05-M02B1</t>
    <phoneticPr fontId="2" type="noConversion"/>
  </si>
  <si>
    <t>SW-003394</t>
    <phoneticPr fontId="2" type="noConversion"/>
  </si>
  <si>
    <t>ODT</t>
    <phoneticPr fontId="2" type="noConversion"/>
  </si>
  <si>
    <t>1</t>
    <phoneticPr fontId="2" type="noConversion"/>
  </si>
  <si>
    <t>CASE</t>
    <phoneticPr fontId="2" type="noConversion"/>
  </si>
  <si>
    <t>발주분양산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</si>
  <si>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</si>
  <si>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</si>
  <si>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</si>
  <si>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</si>
  <si>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</si>
  <si>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</si>
  <si>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수리후양산</t>
    <phoneticPr fontId="2" type="noConversion"/>
  </si>
  <si>
    <t>SLIDER</t>
    <phoneticPr fontId="2" type="noConversion"/>
  </si>
  <si>
    <t>255BG-001A1</t>
    <phoneticPr fontId="2" type="noConversion"/>
  </si>
  <si>
    <t>SAMPLE 진행 사항(26일)</t>
    <phoneticPr fontId="2" type="noConversion"/>
  </si>
  <si>
    <t>수정</t>
    <phoneticPr fontId="2" type="noConversion"/>
  </si>
  <si>
    <t>TOP</t>
    <phoneticPr fontId="2" type="noConversion"/>
  </si>
  <si>
    <t>HB1208-10M1</t>
    <phoneticPr fontId="2" type="noConversion"/>
  </si>
  <si>
    <t>SGF2030</t>
    <phoneticPr fontId="2" type="noConversion"/>
  </si>
  <si>
    <t>테스트</t>
    <phoneticPr fontId="2" type="noConversion"/>
  </si>
  <si>
    <t>휨테스트</t>
    <phoneticPr fontId="2" type="noConversion"/>
  </si>
  <si>
    <t>MCS</t>
    <phoneticPr fontId="2" type="noConversion"/>
  </si>
  <si>
    <t>AMB0226A-KAA-R1</t>
    <phoneticPr fontId="2" type="noConversion"/>
  </si>
  <si>
    <t>SGF2030/SF2255/SGF2050</t>
    <phoneticPr fontId="2" type="noConversion"/>
  </si>
  <si>
    <t>휨</t>
    <phoneticPr fontId="2" type="noConversion"/>
  </si>
  <si>
    <t>각 30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</si>
  <si>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</si>
  <si>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</si>
  <si>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2017년 04월 27일 일일생산현황</t>
    </r>
    <r>
      <rPr>
        <b/>
        <sz val="14"/>
        <color indexed="8"/>
        <rFont val="굴림체"/>
        <family val="3"/>
        <charset val="129"/>
      </rPr>
      <t>(28일(금) 09시 현재)</t>
    </r>
    <phoneticPr fontId="2" type="noConversion"/>
  </si>
  <si>
    <t>ODT</t>
    <phoneticPr fontId="2" type="noConversion"/>
  </si>
  <si>
    <t>CASE</t>
    <phoneticPr fontId="2" type="noConversion"/>
  </si>
  <si>
    <t>SW-003394</t>
    <phoneticPr fontId="2" type="noConversion"/>
  </si>
  <si>
    <t>PBT</t>
    <phoneticPr fontId="2" type="noConversion"/>
  </si>
  <si>
    <t>KR6197-D841PB</t>
    <phoneticPr fontId="2" type="noConversion"/>
  </si>
  <si>
    <t>SF2255</t>
    <phoneticPr fontId="2" type="noConversion"/>
  </si>
  <si>
    <t>BASE</t>
    <phoneticPr fontId="2" type="noConversion"/>
  </si>
  <si>
    <t>AMB0152A-KAA-R1</t>
    <phoneticPr fontId="2" type="noConversion"/>
  </si>
  <si>
    <t>255BG-001A1</t>
    <phoneticPr fontId="2" type="noConversion"/>
  </si>
  <si>
    <t>SGF2033</t>
    <phoneticPr fontId="2" type="noConversion"/>
  </si>
  <si>
    <t>전일 ISSUE 사항(27일)</t>
    <phoneticPr fontId="2" type="noConversion"/>
  </si>
  <si>
    <t>ODT</t>
    <phoneticPr fontId="2" type="noConversion"/>
  </si>
  <si>
    <t>1</t>
    <phoneticPr fontId="2" type="noConversion"/>
  </si>
  <si>
    <t>SW-003394</t>
    <phoneticPr fontId="2" type="noConversion"/>
  </si>
  <si>
    <t>발주분양산</t>
    <phoneticPr fontId="2" type="noConversion"/>
  </si>
  <si>
    <t>SST</t>
    <phoneticPr fontId="2" type="noConversion"/>
  </si>
  <si>
    <t>수리후양산</t>
    <phoneticPr fontId="2" type="noConversion"/>
  </si>
  <si>
    <t>수리후양산-&gt;2회진행</t>
    <phoneticPr fontId="2" type="noConversion"/>
  </si>
  <si>
    <t>HICON</t>
    <phoneticPr fontId="2" type="noConversion"/>
  </si>
  <si>
    <t>SLIDER</t>
    <phoneticPr fontId="2" type="noConversion"/>
  </si>
  <si>
    <t>HSF05-M02B1</t>
    <phoneticPr fontId="2" type="noConversion"/>
  </si>
  <si>
    <t>세척후양산</t>
    <phoneticPr fontId="2" type="noConversion"/>
  </si>
  <si>
    <t>6</t>
    <phoneticPr fontId="2" type="noConversion"/>
  </si>
  <si>
    <t>SLIDER</t>
    <phoneticPr fontId="2" type="noConversion"/>
  </si>
  <si>
    <t>HSA65-M002C1</t>
    <phoneticPr fontId="2" type="noConversion"/>
  </si>
  <si>
    <t>발주분양산-&gt;BURR정지</t>
    <phoneticPr fontId="2" type="noConversion"/>
  </si>
  <si>
    <t>STOPPER</t>
    <phoneticPr fontId="2" type="noConversion"/>
  </si>
  <si>
    <t>MCS</t>
    <phoneticPr fontId="2" type="noConversion"/>
  </si>
  <si>
    <t>발주분양산</t>
    <phoneticPr fontId="2" type="noConversion"/>
  </si>
  <si>
    <t>당일 진행 사항(28일)</t>
    <phoneticPr fontId="2" type="noConversion"/>
  </si>
  <si>
    <t>K-JR01920-H432AZA</t>
    <phoneticPr fontId="2" type="noConversion"/>
  </si>
  <si>
    <t>12</t>
    <phoneticPr fontId="2" type="noConversion"/>
  </si>
  <si>
    <t>LEAD IN</t>
    <phoneticPr fontId="2" type="noConversion"/>
  </si>
  <si>
    <t>K-JR01920-M01ABA</t>
    <phoneticPr fontId="2" type="noConversion"/>
  </si>
  <si>
    <t>COVER</t>
    <phoneticPr fontId="2" type="noConversion"/>
  </si>
  <si>
    <t>K-JR01920-C01AWA</t>
    <phoneticPr fontId="2" type="noConversion"/>
  </si>
  <si>
    <t>14</t>
    <phoneticPr fontId="2" type="noConversion"/>
  </si>
  <si>
    <t>FLOATE</t>
    <phoneticPr fontId="2" type="noConversion"/>
  </si>
  <si>
    <t>K-JR01920-A414AWA</t>
    <phoneticPr fontId="2" type="noConversion"/>
  </si>
  <si>
    <t>DI</t>
    <phoneticPr fontId="2" type="noConversion"/>
  </si>
  <si>
    <t>26P</t>
    <phoneticPr fontId="2" type="noConversion"/>
  </si>
  <si>
    <t>SAMPLE 진행 사항(27일)</t>
    <phoneticPr fontId="2" type="noConversion"/>
  </si>
  <si>
    <t>FLOATING</t>
    <phoneticPr fontId="2" type="noConversion"/>
  </si>
  <si>
    <t>AMB20A2A-KAA-R1</t>
    <phoneticPr fontId="2" type="noConversion"/>
  </si>
  <si>
    <t>요청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</si>
  <si>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</si>
  <si>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</si>
  <si>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2017년 04월 28일 일일생산현황</t>
    </r>
    <r>
      <rPr>
        <b/>
        <sz val="14"/>
        <color indexed="8"/>
        <rFont val="굴림체"/>
        <family val="3"/>
        <charset val="129"/>
      </rPr>
      <t>(29일(토) 09시 현재)</t>
    </r>
    <phoneticPr fontId="2" type="noConversion"/>
  </si>
  <si>
    <t>K-JR01920-C01AWA</t>
    <phoneticPr fontId="2" type="noConversion"/>
  </si>
  <si>
    <t>SGF2030</t>
    <phoneticPr fontId="2" type="noConversion"/>
  </si>
  <si>
    <t>SGP2020R B/K</t>
    <phoneticPr fontId="2" type="noConversion"/>
  </si>
  <si>
    <t>K-JR01920-M01ABA</t>
    <phoneticPr fontId="2" type="noConversion"/>
  </si>
  <si>
    <t>SGF2030 N/P</t>
    <phoneticPr fontId="2" type="noConversion"/>
  </si>
  <si>
    <t>FLOAT</t>
    <phoneticPr fontId="2" type="noConversion"/>
  </si>
  <si>
    <t>K-JR01920-A414AWA</t>
    <phoneticPr fontId="2" type="noConversion"/>
  </si>
  <si>
    <t>SGF2030</t>
    <phoneticPr fontId="2" type="noConversion"/>
  </si>
  <si>
    <t>26P(4p)</t>
    <phoneticPr fontId="2" type="noConversion"/>
  </si>
  <si>
    <t>전일 ISSUE 사항(28일)</t>
    <phoneticPr fontId="2" type="noConversion"/>
  </si>
  <si>
    <t>K-JR01920-C01AWA</t>
    <phoneticPr fontId="2" type="noConversion"/>
  </si>
  <si>
    <t>뜯김수리후양산-&gt;코아파손정지</t>
    <phoneticPr fontId="2" type="noConversion"/>
  </si>
  <si>
    <t>LEAD IN</t>
    <phoneticPr fontId="2" type="noConversion"/>
  </si>
  <si>
    <t>K-JR01920-M01ABA</t>
    <phoneticPr fontId="2" type="noConversion"/>
  </si>
  <si>
    <t>STOPPER</t>
    <phoneticPr fontId="2" type="noConversion"/>
  </si>
  <si>
    <t>K-JR01920-H432AZA</t>
    <phoneticPr fontId="2" type="noConversion"/>
  </si>
  <si>
    <t>수리후양산양산-&gt;BURR정지</t>
    <phoneticPr fontId="2" type="noConversion"/>
  </si>
  <si>
    <t>14</t>
    <phoneticPr fontId="2" type="noConversion"/>
  </si>
  <si>
    <t>FLOAT</t>
    <phoneticPr fontId="2" type="noConversion"/>
  </si>
  <si>
    <t>K-JR01920-A414AWA</t>
    <phoneticPr fontId="2" type="noConversion"/>
  </si>
  <si>
    <t>DI</t>
    <phoneticPr fontId="2" type="noConversion"/>
  </si>
  <si>
    <t>당일 진행 사항(29일)</t>
    <phoneticPr fontId="2" type="noConversion"/>
  </si>
  <si>
    <t>BASE</t>
    <phoneticPr fontId="2" type="noConversion"/>
  </si>
  <si>
    <t>AMB0152A-KAA-R1</t>
    <phoneticPr fontId="2" type="noConversion"/>
  </si>
  <si>
    <t>세척후양산</t>
    <phoneticPr fontId="2" type="noConversion"/>
  </si>
  <si>
    <t>SST</t>
    <phoneticPr fontId="2" type="noConversion"/>
  </si>
  <si>
    <t>SHAFT</t>
    <phoneticPr fontId="2" type="noConversion"/>
  </si>
  <si>
    <t>KR6202-06KA</t>
    <phoneticPr fontId="2" type="noConversion"/>
  </si>
  <si>
    <t>13</t>
    <phoneticPr fontId="2" type="noConversion"/>
  </si>
  <si>
    <t>KR6197AB841CA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</si>
  <si>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</si>
  <si>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</si>
  <si>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 xml:space="preserve"> 코아파손</t>
    <phoneticPr fontId="2" type="noConversion"/>
  </si>
  <si>
    <t>HSA65-M002C1</t>
    <phoneticPr fontId="2" type="noConversion"/>
  </si>
  <si>
    <t xml:space="preserve"> BURR</t>
    <phoneticPr fontId="2" type="noConversion"/>
  </si>
  <si>
    <t>설비 점검 내역(28일)</t>
    <phoneticPr fontId="2" type="noConversion"/>
  </si>
  <si>
    <r>
      <t>2017년 04월 29일 일일생산현황</t>
    </r>
    <r>
      <rPr>
        <b/>
        <sz val="14"/>
        <color indexed="8"/>
        <rFont val="굴림체"/>
        <family val="3"/>
        <charset val="129"/>
      </rPr>
      <t>(30일(일) 09시 현재)</t>
    </r>
    <phoneticPr fontId="2" type="noConversion"/>
  </si>
  <si>
    <t>KR6202-06KA</t>
    <phoneticPr fontId="2" type="noConversion"/>
  </si>
  <si>
    <t>JCL3030</t>
    <phoneticPr fontId="2" type="noConversion"/>
  </si>
  <si>
    <t>전일 ISSUE 사항(29일)</t>
    <phoneticPr fontId="2" type="noConversion"/>
  </si>
  <si>
    <t>수리후양산양산</t>
    <phoneticPr fontId="2" type="noConversion"/>
  </si>
  <si>
    <t>SST</t>
    <phoneticPr fontId="2" type="noConversion"/>
  </si>
  <si>
    <t>MCS</t>
    <phoneticPr fontId="2" type="noConversion"/>
  </si>
  <si>
    <t>BASE</t>
    <phoneticPr fontId="2" type="noConversion"/>
  </si>
  <si>
    <t>AMB0152A-KAA-R1</t>
    <phoneticPr fontId="2" type="noConversion"/>
  </si>
  <si>
    <t>당일 진행 사항(30일)</t>
    <phoneticPr fontId="2" type="noConversion"/>
  </si>
  <si>
    <t>KR6302AE01TA</t>
    <phoneticPr fontId="2" type="noConversion"/>
  </si>
  <si>
    <t>LATCH</t>
    <phoneticPr fontId="2" type="noConversion"/>
  </si>
  <si>
    <t>K-JR01920-D432AZA</t>
    <phoneticPr fontId="2" type="noConversion"/>
  </si>
  <si>
    <t>HOLDER</t>
    <phoneticPr fontId="2" type="noConversion"/>
  </si>
  <si>
    <t>K-JR01920-F414AWA</t>
    <phoneticPr fontId="2" type="noConversion"/>
  </si>
  <si>
    <t>14</t>
    <phoneticPr fontId="2" type="noConversion"/>
  </si>
  <si>
    <t>SAMPLE 진행 사항(29일)</t>
    <phoneticPr fontId="2" type="noConversion"/>
  </si>
  <si>
    <t>ACTUATOR</t>
    <phoneticPr fontId="2" type="noConversion"/>
  </si>
  <si>
    <t>AMB1920A-KAA-R1</t>
    <phoneticPr fontId="2" type="noConversion"/>
  </si>
  <si>
    <t>JD4901</t>
    <phoneticPr fontId="2" type="noConversion"/>
  </si>
  <si>
    <t>수정</t>
    <phoneticPr fontId="2" type="noConversion"/>
  </si>
  <si>
    <t>AMB0155A-KAA-R1</t>
    <phoneticPr fontId="2" type="noConversion"/>
  </si>
  <si>
    <t>요청</t>
    <phoneticPr fontId="2" type="noConversion"/>
  </si>
  <si>
    <t>치수NG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</si>
  <si>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</si>
  <si>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</si>
  <si>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2017년 04월 30일 일일생산현황</t>
    </r>
    <r>
      <rPr>
        <b/>
        <sz val="14"/>
        <color indexed="8"/>
        <rFont val="굴림체"/>
        <family val="3"/>
        <charset val="129"/>
      </rPr>
      <t>(01일(월) 09시 현재)</t>
    </r>
    <phoneticPr fontId="2" type="noConversion"/>
  </si>
  <si>
    <t>LATCH</t>
    <phoneticPr fontId="2" type="noConversion"/>
  </si>
  <si>
    <t>KR6302AE01TA</t>
    <phoneticPr fontId="2" type="noConversion"/>
  </si>
  <si>
    <t>JD4901</t>
    <phoneticPr fontId="2" type="noConversion"/>
  </si>
  <si>
    <t>K-JR01920-D432AZA</t>
    <phoneticPr fontId="2" type="noConversion"/>
  </si>
  <si>
    <t>K-JR01920-F414AWA</t>
    <phoneticPr fontId="2" type="noConversion"/>
  </si>
  <si>
    <t>LEAD GUIDE</t>
    <phoneticPr fontId="2" type="noConversion"/>
  </si>
  <si>
    <t>전일 ISSUE 사항(30일)</t>
    <phoneticPr fontId="2" type="noConversion"/>
  </si>
  <si>
    <t>이물제거후양산</t>
    <phoneticPr fontId="2" type="noConversion"/>
  </si>
  <si>
    <t>2</t>
    <phoneticPr fontId="2" type="noConversion"/>
  </si>
  <si>
    <t>LATCH</t>
    <phoneticPr fontId="2" type="noConversion"/>
  </si>
  <si>
    <t>HOLDER</t>
    <phoneticPr fontId="2" type="noConversion"/>
  </si>
  <si>
    <t>14</t>
    <phoneticPr fontId="2" type="noConversion"/>
  </si>
  <si>
    <t>LEAD GUIDE</t>
    <phoneticPr fontId="2" type="noConversion"/>
  </si>
  <si>
    <t>K-JR01920-F414AWA</t>
    <phoneticPr fontId="2" type="noConversion"/>
  </si>
  <si>
    <t>발주분양산-&gt;하측박힘정지</t>
    <phoneticPr fontId="2" type="noConversion"/>
  </si>
  <si>
    <t>수리후양산</t>
    <phoneticPr fontId="2" type="noConversion"/>
  </si>
  <si>
    <t>BASE</t>
    <phoneticPr fontId="2" type="noConversion"/>
  </si>
  <si>
    <t>K-JR01920-B432AZB</t>
    <phoneticPr fontId="2" type="noConversion"/>
  </si>
  <si>
    <t>당일 진행 사항(01일)</t>
    <phoneticPr fontId="2" type="noConversion"/>
  </si>
  <si>
    <t>SAMPLE 진행 사항(30일)</t>
    <phoneticPr fontId="2" type="noConversion"/>
  </si>
  <si>
    <t>SEPARATOR</t>
    <phoneticPr fontId="2" type="noConversion"/>
  </si>
  <si>
    <t>AMB39C3A-KAA-R1</t>
    <phoneticPr fontId="2" type="noConversion"/>
  </si>
  <si>
    <t>요청</t>
    <phoneticPr fontId="2" type="noConversion"/>
  </si>
  <si>
    <t>SPACER R</t>
    <phoneticPr fontId="2" type="noConversion"/>
  </si>
  <si>
    <t>AMB39C4A-KAA-R1</t>
    <phoneticPr fontId="2" type="noConversion"/>
  </si>
  <si>
    <t>SPACER L</t>
    <phoneticPr fontId="2" type="noConversion"/>
  </si>
  <si>
    <t>AMB39C5A-KAA-R1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</si>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</sst>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8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3" xfId="2" applyFont="1" applyBorder="1" applyAlignment="1">
      <alignment horizontal="left" vertical="center"/>
    </xf>
    <xf numFmtId="0" fontId="15" fillId="0" borderId="7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20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42" fontId="15" fillId="0" borderId="3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1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1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1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1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04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44672"/>
        <c:axId val="3485279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444672"/>
        <c:axId val="348527936"/>
      </c:lineChart>
      <c:catAx>
        <c:axId val="30044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348527936"/>
        <c:crosses val="autoZero"/>
        <c:auto val="1"/>
        <c:lblAlgn val="ctr"/>
        <c:lblOffset val="100"/>
        <c:noMultiLvlLbl val="0"/>
      </c:catAx>
      <c:valAx>
        <c:axId val="3485279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044467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04</a:t>
            </a:r>
            <a:r>
              <a:rPr lang="ko-KR" altLang="en-US"/>
              <a:t>월 호기별 가동율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0.40361052109612605</c:v>
                </c:pt>
                <c:pt idx="1">
                  <c:v>0.60108580334293671</c:v>
                </c:pt>
                <c:pt idx="2">
                  <c:v>0.70200262136557534</c:v>
                </c:pt>
                <c:pt idx="3">
                  <c:v>0.7880258242571182</c:v>
                </c:pt>
                <c:pt idx="4">
                  <c:v>0.62969042245510154</c:v>
                </c:pt>
                <c:pt idx="5">
                  <c:v>0.28162374225023856</c:v>
                </c:pt>
                <c:pt idx="6">
                  <c:v>0.34538908199452567</c:v>
                </c:pt>
                <c:pt idx="7">
                  <c:v>0.30502808252537661</c:v>
                </c:pt>
                <c:pt idx="8">
                  <c:v>0.11371864203353656</c:v>
                </c:pt>
                <c:pt idx="9">
                  <c:v>0.37620636228139931</c:v>
                </c:pt>
                <c:pt idx="10">
                  <c:v>0.54244334120391857</c:v>
                </c:pt>
                <c:pt idx="11">
                  <c:v>0.45497007466059647</c:v>
                </c:pt>
                <c:pt idx="12">
                  <c:v>0.41994394437316102</c:v>
                </c:pt>
                <c:pt idx="13">
                  <c:v>0.58835090568016368</c:v>
                </c:pt>
                <c:pt idx="14">
                  <c:v>0.68057132284109456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310784"/>
        <c:axId val="486047744"/>
      </c:barChart>
      <c:catAx>
        <c:axId val="34431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486047744"/>
        <c:crosses val="autoZero"/>
        <c:auto val="1"/>
        <c:lblAlgn val="ctr"/>
        <c:lblOffset val="100"/>
        <c:noMultiLvlLbl val="0"/>
      </c:catAx>
      <c:valAx>
        <c:axId val="4860477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4431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2757</c:v>
                </c:pt>
                <c:pt idx="3">
                  <c:v>2083</c:v>
                </c:pt>
                <c:pt idx="4">
                  <c:v>2301</c:v>
                </c:pt>
                <c:pt idx="6">
                  <c:v>680</c:v>
                </c:pt>
                <c:pt idx="7">
                  <c:v>350</c:v>
                </c:pt>
                <c:pt idx="12">
                  <c:v>3096</c:v>
                </c:pt>
                <c:pt idx="13">
                  <c:v>1034</c:v>
                </c:pt>
                <c:pt idx="14">
                  <c:v>350</c:v>
                </c:pt>
                <c:pt idx="15">
                  <c:v>34744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2760</c:v>
                </c:pt>
                <c:pt idx="3">
                  <c:v>2090</c:v>
                </c:pt>
                <c:pt idx="4">
                  <c:v>2310</c:v>
                </c:pt>
                <c:pt idx="5">
                  <c:v>710</c:v>
                </c:pt>
                <c:pt idx="6">
                  <c:v>680</c:v>
                </c:pt>
                <c:pt idx="7">
                  <c:v>350</c:v>
                </c:pt>
                <c:pt idx="8">
                  <c:v>300</c:v>
                </c:pt>
                <c:pt idx="9">
                  <c:v>191</c:v>
                </c:pt>
                <c:pt idx="10">
                  <c:v>5410</c:v>
                </c:pt>
                <c:pt idx="11">
                  <c:v>490</c:v>
                </c:pt>
                <c:pt idx="12">
                  <c:v>3100</c:v>
                </c:pt>
                <c:pt idx="13">
                  <c:v>1040</c:v>
                </c:pt>
                <c:pt idx="14">
                  <c:v>350</c:v>
                </c:pt>
                <c:pt idx="15">
                  <c:v>34750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304832"/>
        <c:axId val="486050624"/>
      </c:lineChart>
      <c:catAx>
        <c:axId val="3973048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6050624"/>
        <c:crosses val="autoZero"/>
        <c:auto val="1"/>
        <c:lblAlgn val="ctr"/>
        <c:lblOffset val="100"/>
        <c:noMultiLvlLbl val="0"/>
      </c:catAx>
      <c:valAx>
        <c:axId val="486050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7304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"/>
                <c:pt idx="0">
                  <c:v>0% 0% 71% 37% 58% 0% 21% 13% 0% 0% 0% 0% 67% 33% 13%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0.70756340579710142</c:v>
                </c:pt>
                <c:pt idx="3">
                  <c:v>0.37374401913875599</c:v>
                </c:pt>
                <c:pt idx="4">
                  <c:v>0.58106060606060617</c:v>
                </c:pt>
                <c:pt idx="5">
                  <c:v>0</c:v>
                </c:pt>
                <c:pt idx="6">
                  <c:v>0.20833333333333334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0.66580645161290319</c:v>
                </c:pt>
                <c:pt idx="13">
                  <c:v>0.3314102564102564</c:v>
                </c:pt>
                <c:pt idx="14">
                  <c:v>0.125</c:v>
                </c:pt>
                <c:pt idx="15">
                  <c:v>0.87484892086330934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0.26618446621441771</c:v>
                </c:pt>
                <c:pt idx="1">
                  <c:v>0.26618446621441771</c:v>
                </c:pt>
                <c:pt idx="2">
                  <c:v>0.26618446621441771</c:v>
                </c:pt>
                <c:pt idx="3">
                  <c:v>0.26618446621441771</c:v>
                </c:pt>
                <c:pt idx="4">
                  <c:v>0.26618446621441771</c:v>
                </c:pt>
                <c:pt idx="5">
                  <c:v>0.26618446621441771</c:v>
                </c:pt>
                <c:pt idx="6">
                  <c:v>0.26618446621441771</c:v>
                </c:pt>
                <c:pt idx="7">
                  <c:v>0.26618446621441771</c:v>
                </c:pt>
                <c:pt idx="8">
                  <c:v>0.26618446621441771</c:v>
                </c:pt>
                <c:pt idx="9">
                  <c:v>0.26618446621441771</c:v>
                </c:pt>
                <c:pt idx="10">
                  <c:v>0.26618446621441771</c:v>
                </c:pt>
                <c:pt idx="11">
                  <c:v>0.26618446621441771</c:v>
                </c:pt>
                <c:pt idx="12">
                  <c:v>0.26618446621441771</c:v>
                </c:pt>
                <c:pt idx="13">
                  <c:v>0.26618446621441771</c:v>
                </c:pt>
                <c:pt idx="14">
                  <c:v>0.26618446621441771</c:v>
                </c:pt>
                <c:pt idx="15">
                  <c:v>0.26618446621441771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306880"/>
        <c:axId val="486053504"/>
      </c:lineChart>
      <c:catAx>
        <c:axId val="39730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6053504"/>
        <c:crosses val="autoZero"/>
        <c:auto val="1"/>
        <c:lblAlgn val="ctr"/>
        <c:lblOffset val="100"/>
        <c:noMultiLvlLbl val="0"/>
      </c:catAx>
      <c:valAx>
        <c:axId val="4860535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730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2757</c:v>
                </c:pt>
                <c:pt idx="3">
                  <c:v>2083</c:v>
                </c:pt>
                <c:pt idx="4">
                  <c:v>2301</c:v>
                </c:pt>
                <c:pt idx="6">
                  <c:v>680</c:v>
                </c:pt>
                <c:pt idx="7">
                  <c:v>350</c:v>
                </c:pt>
                <c:pt idx="12">
                  <c:v>3096</c:v>
                </c:pt>
                <c:pt idx="13">
                  <c:v>1034</c:v>
                </c:pt>
                <c:pt idx="14">
                  <c:v>350</c:v>
                </c:pt>
                <c:pt idx="15">
                  <c:v>34744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2760</c:v>
                </c:pt>
                <c:pt idx="3">
                  <c:v>2090</c:v>
                </c:pt>
                <c:pt idx="4">
                  <c:v>2310</c:v>
                </c:pt>
                <c:pt idx="5">
                  <c:v>710</c:v>
                </c:pt>
                <c:pt idx="6">
                  <c:v>680</c:v>
                </c:pt>
                <c:pt idx="7">
                  <c:v>350</c:v>
                </c:pt>
                <c:pt idx="8">
                  <c:v>300</c:v>
                </c:pt>
                <c:pt idx="9">
                  <c:v>191</c:v>
                </c:pt>
                <c:pt idx="10">
                  <c:v>5410</c:v>
                </c:pt>
                <c:pt idx="11">
                  <c:v>490</c:v>
                </c:pt>
                <c:pt idx="12">
                  <c:v>3100</c:v>
                </c:pt>
                <c:pt idx="13">
                  <c:v>1040</c:v>
                </c:pt>
                <c:pt idx="14">
                  <c:v>350</c:v>
                </c:pt>
                <c:pt idx="15">
                  <c:v>34750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307392"/>
        <c:axId val="622398272"/>
      </c:lineChart>
      <c:catAx>
        <c:axId val="397307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22398272"/>
        <c:crosses val="autoZero"/>
        <c:auto val="1"/>
        <c:lblAlgn val="ctr"/>
        <c:lblOffset val="100"/>
        <c:noMultiLvlLbl val="0"/>
      </c:catAx>
      <c:valAx>
        <c:axId val="6223982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7307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"/>
                <c:pt idx="0">
                  <c:v>0% 0% 71% 37% 58% 0% 21% 13% 0% 0% 0% 0% 67% 33% 13%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0.70756340579710142</c:v>
                </c:pt>
                <c:pt idx="3">
                  <c:v>0.37374401913875599</c:v>
                </c:pt>
                <c:pt idx="4">
                  <c:v>0.58106060606060617</c:v>
                </c:pt>
                <c:pt idx="5">
                  <c:v>0</c:v>
                </c:pt>
                <c:pt idx="6">
                  <c:v>0.20833333333333334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0.66580645161290319</c:v>
                </c:pt>
                <c:pt idx="13">
                  <c:v>0.3314102564102564</c:v>
                </c:pt>
                <c:pt idx="14">
                  <c:v>0.125</c:v>
                </c:pt>
                <c:pt idx="15">
                  <c:v>0.87484892086330934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STOPPER</c:v>
                </c:pt>
                <c:pt idx="7">
                  <c:v>ACTUATOR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BODY</c:v>
                </c:pt>
                <c:pt idx="15">
                  <c:v>22P(4P)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0.26618446621441771</c:v>
                </c:pt>
                <c:pt idx="1">
                  <c:v>0.26618446621441771</c:v>
                </c:pt>
                <c:pt idx="2">
                  <c:v>0.26618446621441771</c:v>
                </c:pt>
                <c:pt idx="3">
                  <c:v>0.26618446621441771</c:v>
                </c:pt>
                <c:pt idx="4">
                  <c:v>0.26618446621441771</c:v>
                </c:pt>
                <c:pt idx="5">
                  <c:v>0.26618446621441771</c:v>
                </c:pt>
                <c:pt idx="6">
                  <c:v>0.26618446621441771</c:v>
                </c:pt>
                <c:pt idx="7">
                  <c:v>0.26618446621441771</c:v>
                </c:pt>
                <c:pt idx="8">
                  <c:v>0.26618446621441771</c:v>
                </c:pt>
                <c:pt idx="9">
                  <c:v>0.26618446621441771</c:v>
                </c:pt>
                <c:pt idx="10">
                  <c:v>0.26618446621441771</c:v>
                </c:pt>
                <c:pt idx="11">
                  <c:v>0.26618446621441771</c:v>
                </c:pt>
                <c:pt idx="12">
                  <c:v>0.26618446621441771</c:v>
                </c:pt>
                <c:pt idx="13">
                  <c:v>0.26618446621441771</c:v>
                </c:pt>
                <c:pt idx="14">
                  <c:v>0.26618446621441771</c:v>
                </c:pt>
                <c:pt idx="15">
                  <c:v>0.26618446621441771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750784"/>
        <c:axId val="622400000"/>
      </c:lineChart>
      <c:catAx>
        <c:axId val="3977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22400000"/>
        <c:crosses val="autoZero"/>
        <c:auto val="1"/>
        <c:lblAlgn val="ctr"/>
        <c:lblOffset val="100"/>
        <c:noMultiLvlLbl val="0"/>
      </c:catAx>
      <c:valAx>
        <c:axId val="6224000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775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751296"/>
        <c:axId val="62244684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751296"/>
        <c:axId val="622446848"/>
      </c:lineChart>
      <c:catAx>
        <c:axId val="39775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622446848"/>
        <c:crosses val="autoZero"/>
        <c:auto val="1"/>
        <c:lblAlgn val="ctr"/>
        <c:lblOffset val="100"/>
        <c:noMultiLvlLbl val="0"/>
      </c:catAx>
      <c:valAx>
        <c:axId val="622446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77512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4612</c:v>
                </c:pt>
                <c:pt idx="4">
                  <c:v>3731</c:v>
                </c:pt>
                <c:pt idx="7">
                  <c:v>1957</c:v>
                </c:pt>
                <c:pt idx="11">
                  <c:v>4193</c:v>
                </c:pt>
                <c:pt idx="12">
                  <c:v>773</c:v>
                </c:pt>
                <c:pt idx="14">
                  <c:v>47040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4620</c:v>
                </c:pt>
                <c:pt idx="3">
                  <c:v>2090</c:v>
                </c:pt>
                <c:pt idx="4">
                  <c:v>3740</c:v>
                </c:pt>
                <c:pt idx="5">
                  <c:v>710</c:v>
                </c:pt>
                <c:pt idx="6">
                  <c:v>350</c:v>
                </c:pt>
                <c:pt idx="7">
                  <c:v>1960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4200</c:v>
                </c:pt>
                <c:pt idx="12">
                  <c:v>780</c:v>
                </c:pt>
                <c:pt idx="13">
                  <c:v>350</c:v>
                </c:pt>
                <c:pt idx="14">
                  <c:v>47040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529792"/>
        <c:axId val="622449728"/>
      </c:lineChart>
      <c:catAx>
        <c:axId val="4265297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22449728"/>
        <c:crosses val="autoZero"/>
        <c:auto val="1"/>
        <c:lblAlgn val="ctr"/>
        <c:lblOffset val="100"/>
        <c:noMultiLvlLbl val="0"/>
      </c:catAx>
      <c:valAx>
        <c:axId val="6224497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26529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0% 96% 0% 79% 0% 0% 50% 0% 0% 0% 79% 29%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0.95667388167388179</c:v>
                </c:pt>
                <c:pt idx="3">
                  <c:v>0</c:v>
                </c:pt>
                <c:pt idx="4">
                  <c:v>0.78976158645276284</c:v>
                </c:pt>
                <c:pt idx="5">
                  <c:v>0</c:v>
                </c:pt>
                <c:pt idx="6">
                  <c:v>0</c:v>
                </c:pt>
                <c:pt idx="7">
                  <c:v>0.49923469387755104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0.7903472222222222</c:v>
                </c:pt>
                <c:pt idx="12">
                  <c:v>0.28904914529914533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0.28833776863503752</c:v>
                </c:pt>
                <c:pt idx="1">
                  <c:v>0.28833776863503752</c:v>
                </c:pt>
                <c:pt idx="2">
                  <c:v>0.28833776863503752</c:v>
                </c:pt>
                <c:pt idx="3">
                  <c:v>0.28833776863503752</c:v>
                </c:pt>
                <c:pt idx="4">
                  <c:v>0.28833776863503752</c:v>
                </c:pt>
                <c:pt idx="5">
                  <c:v>0.28833776863503752</c:v>
                </c:pt>
                <c:pt idx="6">
                  <c:v>0.28833776863503752</c:v>
                </c:pt>
                <c:pt idx="7">
                  <c:v>0.28833776863503752</c:v>
                </c:pt>
                <c:pt idx="8">
                  <c:v>0.28833776863503752</c:v>
                </c:pt>
                <c:pt idx="9">
                  <c:v>0.28833776863503752</c:v>
                </c:pt>
                <c:pt idx="10">
                  <c:v>0.28833776863503752</c:v>
                </c:pt>
                <c:pt idx="11">
                  <c:v>0.28833776863503752</c:v>
                </c:pt>
                <c:pt idx="12">
                  <c:v>0.28833776863503752</c:v>
                </c:pt>
                <c:pt idx="13">
                  <c:v>0.28833776863503752</c:v>
                </c:pt>
                <c:pt idx="14">
                  <c:v>0.28833776863503752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02816"/>
        <c:axId val="622451456"/>
      </c:lineChart>
      <c:catAx>
        <c:axId val="42800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22451456"/>
        <c:crosses val="autoZero"/>
        <c:auto val="1"/>
        <c:lblAlgn val="ctr"/>
        <c:lblOffset val="100"/>
        <c:noMultiLvlLbl val="0"/>
      </c:catAx>
      <c:valAx>
        <c:axId val="6224514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28002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4612</c:v>
                </c:pt>
                <c:pt idx="4">
                  <c:v>3731</c:v>
                </c:pt>
                <c:pt idx="7">
                  <c:v>1957</c:v>
                </c:pt>
                <c:pt idx="11">
                  <c:v>4193</c:v>
                </c:pt>
                <c:pt idx="12">
                  <c:v>773</c:v>
                </c:pt>
                <c:pt idx="14">
                  <c:v>47040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4620</c:v>
                </c:pt>
                <c:pt idx="3">
                  <c:v>2090</c:v>
                </c:pt>
                <c:pt idx="4">
                  <c:v>3740</c:v>
                </c:pt>
                <c:pt idx="5">
                  <c:v>710</c:v>
                </c:pt>
                <c:pt idx="6">
                  <c:v>350</c:v>
                </c:pt>
                <c:pt idx="7">
                  <c:v>1960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4200</c:v>
                </c:pt>
                <c:pt idx="12">
                  <c:v>780</c:v>
                </c:pt>
                <c:pt idx="13">
                  <c:v>350</c:v>
                </c:pt>
                <c:pt idx="14">
                  <c:v>47040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256704"/>
        <c:axId val="486014976"/>
      </c:lineChart>
      <c:catAx>
        <c:axId val="4292567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6014976"/>
        <c:crosses val="autoZero"/>
        <c:auto val="1"/>
        <c:lblAlgn val="ctr"/>
        <c:lblOffset val="100"/>
        <c:noMultiLvlLbl val="0"/>
      </c:catAx>
      <c:valAx>
        <c:axId val="486014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2925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0% 96% 0% 79% 0% 0% 50% 0% 0% 0% 79% 29%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0.95667388167388179</c:v>
                </c:pt>
                <c:pt idx="3">
                  <c:v>0</c:v>
                </c:pt>
                <c:pt idx="4">
                  <c:v>0.78976158645276284</c:v>
                </c:pt>
                <c:pt idx="5">
                  <c:v>0</c:v>
                </c:pt>
                <c:pt idx="6">
                  <c:v>0</c:v>
                </c:pt>
                <c:pt idx="7">
                  <c:v>0.49923469387755104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0.7903472222222222</c:v>
                </c:pt>
                <c:pt idx="12">
                  <c:v>0.28904914529914533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0.28833776863503752</c:v>
                </c:pt>
                <c:pt idx="1">
                  <c:v>0.28833776863503752</c:v>
                </c:pt>
                <c:pt idx="2">
                  <c:v>0.28833776863503752</c:v>
                </c:pt>
                <c:pt idx="3">
                  <c:v>0.28833776863503752</c:v>
                </c:pt>
                <c:pt idx="4">
                  <c:v>0.28833776863503752</c:v>
                </c:pt>
                <c:pt idx="5">
                  <c:v>0.28833776863503752</c:v>
                </c:pt>
                <c:pt idx="6">
                  <c:v>0.28833776863503752</c:v>
                </c:pt>
                <c:pt idx="7">
                  <c:v>0.28833776863503752</c:v>
                </c:pt>
                <c:pt idx="8">
                  <c:v>0.28833776863503752</c:v>
                </c:pt>
                <c:pt idx="9">
                  <c:v>0.28833776863503752</c:v>
                </c:pt>
                <c:pt idx="10">
                  <c:v>0.28833776863503752</c:v>
                </c:pt>
                <c:pt idx="11">
                  <c:v>0.28833776863503752</c:v>
                </c:pt>
                <c:pt idx="12">
                  <c:v>0.28833776863503752</c:v>
                </c:pt>
                <c:pt idx="13">
                  <c:v>0.28833776863503752</c:v>
                </c:pt>
                <c:pt idx="14">
                  <c:v>0.28833776863503752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257728"/>
        <c:axId val="486016704"/>
      </c:lineChart>
      <c:catAx>
        <c:axId val="429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6016704"/>
        <c:crosses val="autoZero"/>
        <c:auto val="1"/>
        <c:lblAlgn val="ctr"/>
        <c:lblOffset val="100"/>
        <c:noMultiLvlLbl val="0"/>
      </c:catAx>
      <c:valAx>
        <c:axId val="486016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29257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752320"/>
        <c:axId val="4860190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752320"/>
        <c:axId val="486019008"/>
      </c:lineChart>
      <c:catAx>
        <c:axId val="39775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486019008"/>
        <c:crosses val="autoZero"/>
        <c:auto val="1"/>
        <c:lblAlgn val="ctr"/>
        <c:lblOffset val="100"/>
        <c:noMultiLvlLbl val="0"/>
      </c:catAx>
      <c:valAx>
        <c:axId val="486019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77523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4862</c:v>
                </c:pt>
                <c:pt idx="3">
                  <c:v>2180</c:v>
                </c:pt>
                <c:pt idx="4">
                  <c:v>3690</c:v>
                </c:pt>
                <c:pt idx="11">
                  <c:v>2312</c:v>
                </c:pt>
                <c:pt idx="13">
                  <c:v>4798</c:v>
                </c:pt>
                <c:pt idx="14">
                  <c:v>47012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4870</c:v>
                </c:pt>
                <c:pt idx="3">
                  <c:v>2180</c:v>
                </c:pt>
                <c:pt idx="4">
                  <c:v>3690</c:v>
                </c:pt>
                <c:pt idx="5">
                  <c:v>710</c:v>
                </c:pt>
                <c:pt idx="6">
                  <c:v>350</c:v>
                </c:pt>
                <c:pt idx="7">
                  <c:v>1960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2320</c:v>
                </c:pt>
                <c:pt idx="12">
                  <c:v>780</c:v>
                </c:pt>
                <c:pt idx="13">
                  <c:v>4800</c:v>
                </c:pt>
                <c:pt idx="14">
                  <c:v>47020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344128"/>
        <c:axId val="486021888"/>
      </c:lineChart>
      <c:catAx>
        <c:axId val="431344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6021888"/>
        <c:crosses val="autoZero"/>
        <c:auto val="1"/>
        <c:lblAlgn val="ctr"/>
        <c:lblOffset val="100"/>
        <c:noMultiLvlLbl val="0"/>
      </c:catAx>
      <c:valAx>
        <c:axId val="4860218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1344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0% 100% 54% 79% 0% 0% 0% 0% 0% 0% 54% 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0.99835728952772074</c:v>
                </c:pt>
                <c:pt idx="3">
                  <c:v>0.54166666666666663</c:v>
                </c:pt>
                <c:pt idx="4">
                  <c:v>0.79166666666666663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0.53979885057471255</c:v>
                </c:pt>
                <c:pt idx="12">
                  <c:v>0</c:v>
                </c:pt>
                <c:pt idx="13">
                  <c:v>0.99958333333333338</c:v>
                </c:pt>
                <c:pt idx="14">
                  <c:v>0.99982985963419824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0.32472684442688654</c:v>
                </c:pt>
                <c:pt idx="1">
                  <c:v>0.32472684442688654</c:v>
                </c:pt>
                <c:pt idx="2">
                  <c:v>0.32472684442688654</c:v>
                </c:pt>
                <c:pt idx="3">
                  <c:v>0.32472684442688654</c:v>
                </c:pt>
                <c:pt idx="4">
                  <c:v>0.32472684442688654</c:v>
                </c:pt>
                <c:pt idx="5">
                  <c:v>0.32472684442688654</c:v>
                </c:pt>
                <c:pt idx="6">
                  <c:v>0.32472684442688654</c:v>
                </c:pt>
                <c:pt idx="7">
                  <c:v>0.32472684442688654</c:v>
                </c:pt>
                <c:pt idx="8">
                  <c:v>0.32472684442688654</c:v>
                </c:pt>
                <c:pt idx="9">
                  <c:v>0.32472684442688654</c:v>
                </c:pt>
                <c:pt idx="10">
                  <c:v>0.32472684442688654</c:v>
                </c:pt>
                <c:pt idx="11">
                  <c:v>0.32472684442688654</c:v>
                </c:pt>
                <c:pt idx="12">
                  <c:v>0.32472684442688654</c:v>
                </c:pt>
                <c:pt idx="13">
                  <c:v>0.32472684442688654</c:v>
                </c:pt>
                <c:pt idx="14">
                  <c:v>0.32472684442688654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067840"/>
        <c:axId val="614187584"/>
      </c:lineChart>
      <c:catAx>
        <c:axId val="4360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187584"/>
        <c:crosses val="autoZero"/>
        <c:auto val="1"/>
        <c:lblAlgn val="ctr"/>
        <c:lblOffset val="100"/>
        <c:noMultiLvlLbl val="0"/>
      </c:catAx>
      <c:valAx>
        <c:axId val="614187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6067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4862</c:v>
                </c:pt>
                <c:pt idx="3">
                  <c:v>2180</c:v>
                </c:pt>
                <c:pt idx="4">
                  <c:v>3690</c:v>
                </c:pt>
                <c:pt idx="11">
                  <c:v>2312</c:v>
                </c:pt>
                <c:pt idx="13">
                  <c:v>4798</c:v>
                </c:pt>
                <c:pt idx="14">
                  <c:v>47012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4870</c:v>
                </c:pt>
                <c:pt idx="3">
                  <c:v>2180</c:v>
                </c:pt>
                <c:pt idx="4">
                  <c:v>3690</c:v>
                </c:pt>
                <c:pt idx="5">
                  <c:v>710</c:v>
                </c:pt>
                <c:pt idx="6">
                  <c:v>350</c:v>
                </c:pt>
                <c:pt idx="7">
                  <c:v>1960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2320</c:v>
                </c:pt>
                <c:pt idx="12">
                  <c:v>780</c:v>
                </c:pt>
                <c:pt idx="13">
                  <c:v>4800</c:v>
                </c:pt>
                <c:pt idx="14">
                  <c:v>47020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784128"/>
        <c:axId val="614189888"/>
      </c:lineChart>
      <c:catAx>
        <c:axId val="436784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4189888"/>
        <c:crosses val="autoZero"/>
        <c:auto val="1"/>
        <c:lblAlgn val="ctr"/>
        <c:lblOffset val="100"/>
        <c:noMultiLvlLbl val="0"/>
      </c:catAx>
      <c:valAx>
        <c:axId val="6141898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6784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0% 100% 54% 79% 0% 0% 0% 0% 0% 0% 54% 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0.99835728952772074</c:v>
                </c:pt>
                <c:pt idx="3">
                  <c:v>0.54166666666666663</c:v>
                </c:pt>
                <c:pt idx="4">
                  <c:v>0.79166666666666663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0.53979885057471255</c:v>
                </c:pt>
                <c:pt idx="12">
                  <c:v>0</c:v>
                </c:pt>
                <c:pt idx="13">
                  <c:v>0.99958333333333338</c:v>
                </c:pt>
                <c:pt idx="14">
                  <c:v>0.99982985963419824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0.32472684442688654</c:v>
                </c:pt>
                <c:pt idx="1">
                  <c:v>0.32472684442688654</c:v>
                </c:pt>
                <c:pt idx="2">
                  <c:v>0.32472684442688654</c:v>
                </c:pt>
                <c:pt idx="3">
                  <c:v>0.32472684442688654</c:v>
                </c:pt>
                <c:pt idx="4">
                  <c:v>0.32472684442688654</c:v>
                </c:pt>
                <c:pt idx="5">
                  <c:v>0.32472684442688654</c:v>
                </c:pt>
                <c:pt idx="6">
                  <c:v>0.32472684442688654</c:v>
                </c:pt>
                <c:pt idx="7">
                  <c:v>0.32472684442688654</c:v>
                </c:pt>
                <c:pt idx="8">
                  <c:v>0.32472684442688654</c:v>
                </c:pt>
                <c:pt idx="9">
                  <c:v>0.32472684442688654</c:v>
                </c:pt>
                <c:pt idx="10">
                  <c:v>0.32472684442688654</c:v>
                </c:pt>
                <c:pt idx="11">
                  <c:v>0.32472684442688654</c:v>
                </c:pt>
                <c:pt idx="12">
                  <c:v>0.32472684442688654</c:v>
                </c:pt>
                <c:pt idx="13">
                  <c:v>0.32472684442688654</c:v>
                </c:pt>
                <c:pt idx="14">
                  <c:v>0.32472684442688654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452800"/>
        <c:axId val="614191616"/>
      </c:lineChart>
      <c:catAx>
        <c:axId val="43745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191616"/>
        <c:crosses val="autoZero"/>
        <c:auto val="1"/>
        <c:lblAlgn val="ctr"/>
        <c:lblOffset val="100"/>
        <c:noMultiLvlLbl val="0"/>
      </c:catAx>
      <c:valAx>
        <c:axId val="614191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7452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75328"/>
        <c:axId val="6141939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475328"/>
        <c:axId val="614193920"/>
      </c:lineChart>
      <c:catAx>
        <c:axId val="43747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614193920"/>
        <c:crosses val="autoZero"/>
        <c:auto val="1"/>
        <c:lblAlgn val="ctr"/>
        <c:lblOffset val="100"/>
        <c:noMultiLvlLbl val="0"/>
      </c:catAx>
      <c:valAx>
        <c:axId val="614193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374753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5249</c:v>
                </c:pt>
                <c:pt idx="3">
                  <c:v>5717</c:v>
                </c:pt>
                <c:pt idx="4">
                  <c:v>4394</c:v>
                </c:pt>
                <c:pt idx="5">
                  <c:v>494</c:v>
                </c:pt>
                <c:pt idx="7">
                  <c:v>359</c:v>
                </c:pt>
                <c:pt idx="11">
                  <c:v>2975</c:v>
                </c:pt>
                <c:pt idx="13">
                  <c:v>5155</c:v>
                </c:pt>
                <c:pt idx="14">
                  <c:v>47672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5250</c:v>
                </c:pt>
                <c:pt idx="3">
                  <c:v>5720</c:v>
                </c:pt>
                <c:pt idx="4">
                  <c:v>4400</c:v>
                </c:pt>
                <c:pt idx="5">
                  <c:v>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2980</c:v>
                </c:pt>
                <c:pt idx="12">
                  <c:v>780</c:v>
                </c:pt>
                <c:pt idx="13">
                  <c:v>5160</c:v>
                </c:pt>
                <c:pt idx="14">
                  <c:v>47680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41408"/>
        <c:axId val="634267328"/>
      </c:lineChart>
      <c:catAx>
        <c:axId val="5786414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4267328"/>
        <c:crosses val="autoZero"/>
        <c:auto val="1"/>
        <c:lblAlgn val="ctr"/>
        <c:lblOffset val="100"/>
        <c:noMultiLvlLbl val="0"/>
      </c:catAx>
      <c:valAx>
        <c:axId val="6342673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78641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0% 100% 100% 92% 16% 0% 12% 0% 0% 0% 58% 0% 96%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0.99980952380952381</c:v>
                </c:pt>
                <c:pt idx="3">
                  <c:v>0.99947552447552446</c:v>
                </c:pt>
                <c:pt idx="4">
                  <c:v>0.91541666666666666</c:v>
                </c:pt>
                <c:pt idx="5">
                  <c:v>0.16466666666666666</c:v>
                </c:pt>
                <c:pt idx="6">
                  <c:v>0</c:v>
                </c:pt>
                <c:pt idx="7">
                  <c:v>0.12465277777777778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0.58235458612975388</c:v>
                </c:pt>
                <c:pt idx="12">
                  <c:v>0</c:v>
                </c:pt>
                <c:pt idx="13">
                  <c:v>0.95740471576227393</c:v>
                </c:pt>
                <c:pt idx="14">
                  <c:v>0.99983221476510065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0.38290751173688586</c:v>
                </c:pt>
                <c:pt idx="1">
                  <c:v>0.38290751173688586</c:v>
                </c:pt>
                <c:pt idx="2">
                  <c:v>0.38290751173688586</c:v>
                </c:pt>
                <c:pt idx="3">
                  <c:v>0.38290751173688586</c:v>
                </c:pt>
                <c:pt idx="4">
                  <c:v>0.38290751173688586</c:v>
                </c:pt>
                <c:pt idx="5">
                  <c:v>0.38290751173688586</c:v>
                </c:pt>
                <c:pt idx="6">
                  <c:v>0.38290751173688586</c:v>
                </c:pt>
                <c:pt idx="7">
                  <c:v>0.38290751173688586</c:v>
                </c:pt>
                <c:pt idx="8">
                  <c:v>0.38290751173688586</c:v>
                </c:pt>
                <c:pt idx="9">
                  <c:v>0.38290751173688586</c:v>
                </c:pt>
                <c:pt idx="10">
                  <c:v>0.38290751173688586</c:v>
                </c:pt>
                <c:pt idx="11">
                  <c:v>0.38290751173688586</c:v>
                </c:pt>
                <c:pt idx="12">
                  <c:v>0.38290751173688586</c:v>
                </c:pt>
                <c:pt idx="13">
                  <c:v>0.38290751173688586</c:v>
                </c:pt>
                <c:pt idx="14">
                  <c:v>0.38290751173688586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09024"/>
        <c:axId val="634269056"/>
      </c:lineChart>
      <c:catAx>
        <c:axId val="611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4269056"/>
        <c:crosses val="autoZero"/>
        <c:auto val="1"/>
        <c:lblAlgn val="ctr"/>
        <c:lblOffset val="100"/>
        <c:noMultiLvlLbl val="0"/>
      </c:catAx>
      <c:valAx>
        <c:axId val="6342690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10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5249</c:v>
                </c:pt>
                <c:pt idx="3">
                  <c:v>5717</c:v>
                </c:pt>
                <c:pt idx="4">
                  <c:v>4394</c:v>
                </c:pt>
                <c:pt idx="5">
                  <c:v>494</c:v>
                </c:pt>
                <c:pt idx="7">
                  <c:v>359</c:v>
                </c:pt>
                <c:pt idx="11">
                  <c:v>2975</c:v>
                </c:pt>
                <c:pt idx="13">
                  <c:v>5155</c:v>
                </c:pt>
                <c:pt idx="14">
                  <c:v>47672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5250</c:v>
                </c:pt>
                <c:pt idx="3">
                  <c:v>5720</c:v>
                </c:pt>
                <c:pt idx="4">
                  <c:v>4400</c:v>
                </c:pt>
                <c:pt idx="5">
                  <c:v>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2980</c:v>
                </c:pt>
                <c:pt idx="12">
                  <c:v>780</c:v>
                </c:pt>
                <c:pt idx="13">
                  <c:v>5160</c:v>
                </c:pt>
                <c:pt idx="14">
                  <c:v>47680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10048"/>
        <c:axId val="634271360"/>
      </c:lineChart>
      <c:catAx>
        <c:axId val="6110100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4271360"/>
        <c:crosses val="autoZero"/>
        <c:auto val="1"/>
        <c:lblAlgn val="ctr"/>
        <c:lblOffset val="100"/>
        <c:noMultiLvlLbl val="0"/>
      </c:catAx>
      <c:valAx>
        <c:axId val="6342713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101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0% 100% 100% 92% 16% 0% 12% 0% 0% 0% 58% 0% 96%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0.99980952380952381</c:v>
                </c:pt>
                <c:pt idx="3">
                  <c:v>0.99947552447552446</c:v>
                </c:pt>
                <c:pt idx="4">
                  <c:v>0.91541666666666666</c:v>
                </c:pt>
                <c:pt idx="5">
                  <c:v>0.16466666666666666</c:v>
                </c:pt>
                <c:pt idx="6">
                  <c:v>0</c:v>
                </c:pt>
                <c:pt idx="7">
                  <c:v>0.12465277777777778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0.58235458612975388</c:v>
                </c:pt>
                <c:pt idx="12">
                  <c:v>0</c:v>
                </c:pt>
                <c:pt idx="13">
                  <c:v>0.95740471576227393</c:v>
                </c:pt>
                <c:pt idx="14">
                  <c:v>0.99983221476510065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0.38290751173688586</c:v>
                </c:pt>
                <c:pt idx="1">
                  <c:v>0.38290751173688586</c:v>
                </c:pt>
                <c:pt idx="2">
                  <c:v>0.38290751173688586</c:v>
                </c:pt>
                <c:pt idx="3">
                  <c:v>0.38290751173688586</c:v>
                </c:pt>
                <c:pt idx="4">
                  <c:v>0.38290751173688586</c:v>
                </c:pt>
                <c:pt idx="5">
                  <c:v>0.38290751173688586</c:v>
                </c:pt>
                <c:pt idx="6">
                  <c:v>0.38290751173688586</c:v>
                </c:pt>
                <c:pt idx="7">
                  <c:v>0.38290751173688586</c:v>
                </c:pt>
                <c:pt idx="8">
                  <c:v>0.38290751173688586</c:v>
                </c:pt>
                <c:pt idx="9">
                  <c:v>0.38290751173688586</c:v>
                </c:pt>
                <c:pt idx="10">
                  <c:v>0.38290751173688586</c:v>
                </c:pt>
                <c:pt idx="11">
                  <c:v>0.38290751173688586</c:v>
                </c:pt>
                <c:pt idx="12">
                  <c:v>0.38290751173688586</c:v>
                </c:pt>
                <c:pt idx="13">
                  <c:v>0.38290751173688586</c:v>
                </c:pt>
                <c:pt idx="14">
                  <c:v>0.38290751173688586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10560"/>
        <c:axId val="634273088"/>
      </c:lineChart>
      <c:catAx>
        <c:axId val="61101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4273088"/>
        <c:crosses val="autoZero"/>
        <c:auto val="1"/>
        <c:lblAlgn val="ctr"/>
        <c:lblOffset val="100"/>
        <c:noMultiLvlLbl val="0"/>
      </c:catAx>
      <c:valAx>
        <c:axId val="634273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101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011072"/>
        <c:axId val="3475063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11072"/>
        <c:axId val="347506368"/>
      </c:lineChart>
      <c:catAx>
        <c:axId val="611011072"/>
        <c:scaling>
          <c:orientation val="minMax"/>
        </c:scaling>
        <c:delete val="0"/>
        <c:axPos val="b"/>
        <c:majorTickMark val="out"/>
        <c:minorTickMark val="none"/>
        <c:tickLblPos val="nextTo"/>
        <c:crossAx val="347506368"/>
        <c:crosses val="autoZero"/>
        <c:auto val="1"/>
        <c:lblAlgn val="ctr"/>
        <c:lblOffset val="100"/>
        <c:noMultiLvlLbl val="0"/>
      </c:catAx>
      <c:valAx>
        <c:axId val="3475063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10110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1314</c:v>
                </c:pt>
                <c:pt idx="4">
                  <c:v>3188</c:v>
                </c:pt>
                <c:pt idx="11">
                  <c:v>350</c:v>
                </c:pt>
                <c:pt idx="14">
                  <c:v>47376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5250</c:v>
                </c:pt>
                <c:pt idx="3">
                  <c:v>1320</c:v>
                </c:pt>
                <c:pt idx="4">
                  <c:v>3190</c:v>
                </c:pt>
                <c:pt idx="5">
                  <c:v>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350</c:v>
                </c:pt>
                <c:pt idx="12">
                  <c:v>780</c:v>
                </c:pt>
                <c:pt idx="13">
                  <c:v>5160</c:v>
                </c:pt>
                <c:pt idx="14">
                  <c:v>47380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20416"/>
        <c:axId val="347509248"/>
      </c:lineChart>
      <c:catAx>
        <c:axId val="612220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509248"/>
        <c:crosses val="autoZero"/>
        <c:auto val="1"/>
        <c:lblAlgn val="ctr"/>
        <c:lblOffset val="100"/>
        <c:noMultiLvlLbl val="0"/>
      </c:catAx>
      <c:valAx>
        <c:axId val="3475092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220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0% 37% 58% 0% 0% 0% 0% 0% 0% 17%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0.37329545454545454</c:v>
                </c:pt>
                <c:pt idx="4">
                  <c:v>0.58296760710553819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0.99991557619248628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0.1415230203006764</c:v>
                </c:pt>
                <c:pt idx="1">
                  <c:v>0.1415230203006764</c:v>
                </c:pt>
                <c:pt idx="2">
                  <c:v>0.1415230203006764</c:v>
                </c:pt>
                <c:pt idx="3">
                  <c:v>0.1415230203006764</c:v>
                </c:pt>
                <c:pt idx="4">
                  <c:v>0.1415230203006764</c:v>
                </c:pt>
                <c:pt idx="5">
                  <c:v>0.1415230203006764</c:v>
                </c:pt>
                <c:pt idx="6">
                  <c:v>0.1415230203006764</c:v>
                </c:pt>
                <c:pt idx="7">
                  <c:v>0.1415230203006764</c:v>
                </c:pt>
                <c:pt idx="8">
                  <c:v>0.1415230203006764</c:v>
                </c:pt>
                <c:pt idx="9">
                  <c:v>0.1415230203006764</c:v>
                </c:pt>
                <c:pt idx="10">
                  <c:v>0.1415230203006764</c:v>
                </c:pt>
                <c:pt idx="11">
                  <c:v>0.1415230203006764</c:v>
                </c:pt>
                <c:pt idx="12">
                  <c:v>0.1415230203006764</c:v>
                </c:pt>
                <c:pt idx="13">
                  <c:v>0.1415230203006764</c:v>
                </c:pt>
                <c:pt idx="14">
                  <c:v>0.1415230203006764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427264"/>
        <c:axId val="347510976"/>
      </c:lineChart>
      <c:catAx>
        <c:axId val="61242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510976"/>
        <c:crosses val="autoZero"/>
        <c:auto val="1"/>
        <c:lblAlgn val="ctr"/>
        <c:lblOffset val="100"/>
        <c:noMultiLvlLbl val="0"/>
      </c:catAx>
      <c:valAx>
        <c:axId val="347510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427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1314</c:v>
                </c:pt>
                <c:pt idx="4">
                  <c:v>3188</c:v>
                </c:pt>
                <c:pt idx="11">
                  <c:v>350</c:v>
                </c:pt>
                <c:pt idx="14">
                  <c:v>47376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5250</c:v>
                </c:pt>
                <c:pt idx="3">
                  <c:v>1320</c:v>
                </c:pt>
                <c:pt idx="4">
                  <c:v>3190</c:v>
                </c:pt>
                <c:pt idx="5">
                  <c:v>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350</c:v>
                </c:pt>
                <c:pt idx="12">
                  <c:v>780</c:v>
                </c:pt>
                <c:pt idx="13">
                  <c:v>5160</c:v>
                </c:pt>
                <c:pt idx="14">
                  <c:v>47380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428288"/>
        <c:axId val="347972160"/>
      </c:lineChart>
      <c:catAx>
        <c:axId val="6124282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972160"/>
        <c:crosses val="autoZero"/>
        <c:auto val="1"/>
        <c:lblAlgn val="ctr"/>
        <c:lblOffset val="100"/>
        <c:noMultiLvlLbl val="0"/>
      </c:catAx>
      <c:valAx>
        <c:axId val="3479721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428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0% 37% 58% 0% 0% 0% 0% 0% 0% 17% 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0.37329545454545454</c:v>
                </c:pt>
                <c:pt idx="4">
                  <c:v>0.58296760710553819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0.99991557619248628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0.1415230203006764</c:v>
                </c:pt>
                <c:pt idx="1">
                  <c:v>0.1415230203006764</c:v>
                </c:pt>
                <c:pt idx="2">
                  <c:v>0.1415230203006764</c:v>
                </c:pt>
                <c:pt idx="3">
                  <c:v>0.1415230203006764</c:v>
                </c:pt>
                <c:pt idx="4">
                  <c:v>0.1415230203006764</c:v>
                </c:pt>
                <c:pt idx="5">
                  <c:v>0.1415230203006764</c:v>
                </c:pt>
                <c:pt idx="6">
                  <c:v>0.1415230203006764</c:v>
                </c:pt>
                <c:pt idx="7">
                  <c:v>0.1415230203006764</c:v>
                </c:pt>
                <c:pt idx="8">
                  <c:v>0.1415230203006764</c:v>
                </c:pt>
                <c:pt idx="9">
                  <c:v>0.1415230203006764</c:v>
                </c:pt>
                <c:pt idx="10">
                  <c:v>0.1415230203006764</c:v>
                </c:pt>
                <c:pt idx="11">
                  <c:v>0.1415230203006764</c:v>
                </c:pt>
                <c:pt idx="12">
                  <c:v>0.1415230203006764</c:v>
                </c:pt>
                <c:pt idx="13">
                  <c:v>0.1415230203006764</c:v>
                </c:pt>
                <c:pt idx="14">
                  <c:v>0.1415230203006764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388288"/>
        <c:axId val="347973888"/>
      </c:lineChart>
      <c:catAx>
        <c:axId val="6133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973888"/>
        <c:crosses val="autoZero"/>
        <c:auto val="1"/>
        <c:lblAlgn val="ctr"/>
        <c:lblOffset val="100"/>
        <c:noMultiLvlLbl val="0"/>
      </c:catAx>
      <c:valAx>
        <c:axId val="347973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38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388800"/>
        <c:axId val="347976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388800"/>
        <c:axId val="347976192"/>
      </c:lineChart>
      <c:catAx>
        <c:axId val="61338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347976192"/>
        <c:crosses val="autoZero"/>
        <c:auto val="1"/>
        <c:lblAlgn val="ctr"/>
        <c:lblOffset val="100"/>
        <c:noMultiLvlLbl val="0"/>
      </c:catAx>
      <c:valAx>
        <c:axId val="347976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33888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13888</c:v>
                </c:pt>
                <c:pt idx="3">
                  <c:v>3904</c:v>
                </c:pt>
                <c:pt idx="5">
                  <c:v>2500</c:v>
                </c:pt>
                <c:pt idx="9">
                  <c:v>15393</c:v>
                </c:pt>
                <c:pt idx="12">
                  <c:v>5209</c:v>
                </c:pt>
                <c:pt idx="13">
                  <c:v>1148</c:v>
                </c:pt>
                <c:pt idx="14">
                  <c:v>47532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13890</c:v>
                </c:pt>
                <c:pt idx="2">
                  <c:v>5250</c:v>
                </c:pt>
                <c:pt idx="3">
                  <c:v>3905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15400</c:v>
                </c:pt>
                <c:pt idx="10">
                  <c:v>490</c:v>
                </c:pt>
                <c:pt idx="11">
                  <c:v>350</c:v>
                </c:pt>
                <c:pt idx="12">
                  <c:v>5210</c:v>
                </c:pt>
                <c:pt idx="13">
                  <c:v>1150</c:v>
                </c:pt>
                <c:pt idx="14">
                  <c:v>47540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44800"/>
        <c:axId val="347979072"/>
      </c:lineChart>
      <c:catAx>
        <c:axId val="6136448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979072"/>
        <c:crosses val="autoZero"/>
        <c:auto val="1"/>
        <c:lblAlgn val="ctr"/>
        <c:lblOffset val="100"/>
        <c:noMultiLvlLbl val="0"/>
      </c:catAx>
      <c:valAx>
        <c:axId val="347979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3644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75% 0% 79% 0% 58% 0% 0% 0% 87% 0% 0% 96%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0.74989200863930883</c:v>
                </c:pt>
                <c:pt idx="2">
                  <c:v>0</c:v>
                </c:pt>
                <c:pt idx="3">
                  <c:v>0.79146393512590685</c:v>
                </c:pt>
                <c:pt idx="4">
                  <c:v>0</c:v>
                </c:pt>
                <c:pt idx="5">
                  <c:v>0.58333333333333337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0.87460227272727264</c:v>
                </c:pt>
                <c:pt idx="10">
                  <c:v>0</c:v>
                </c:pt>
                <c:pt idx="11">
                  <c:v>0</c:v>
                </c:pt>
                <c:pt idx="12">
                  <c:v>0.9581493921944978</c:v>
                </c:pt>
                <c:pt idx="13">
                  <c:v>0.24956521739130436</c:v>
                </c:pt>
                <c:pt idx="14">
                  <c:v>0.99983172065628945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0.34712252533786092</c:v>
                </c:pt>
                <c:pt idx="1">
                  <c:v>0.34712252533786092</c:v>
                </c:pt>
                <c:pt idx="2">
                  <c:v>0.34712252533786092</c:v>
                </c:pt>
                <c:pt idx="3">
                  <c:v>0.34712252533786092</c:v>
                </c:pt>
                <c:pt idx="4">
                  <c:v>0.34712252533786092</c:v>
                </c:pt>
                <c:pt idx="5">
                  <c:v>0.34712252533786092</c:v>
                </c:pt>
                <c:pt idx="6">
                  <c:v>0.34712252533786092</c:v>
                </c:pt>
                <c:pt idx="7">
                  <c:v>0.34712252533786092</c:v>
                </c:pt>
                <c:pt idx="8">
                  <c:v>0.34712252533786092</c:v>
                </c:pt>
                <c:pt idx="9">
                  <c:v>0.34712252533786092</c:v>
                </c:pt>
                <c:pt idx="10">
                  <c:v>0.34712252533786092</c:v>
                </c:pt>
                <c:pt idx="11">
                  <c:v>0.34712252533786092</c:v>
                </c:pt>
                <c:pt idx="12">
                  <c:v>0.34712252533786092</c:v>
                </c:pt>
                <c:pt idx="13">
                  <c:v>0.34712252533786092</c:v>
                </c:pt>
                <c:pt idx="14">
                  <c:v>0.34712252533786092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773312"/>
        <c:axId val="348464256"/>
      </c:lineChart>
      <c:catAx>
        <c:axId val="61377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8464256"/>
        <c:crosses val="autoZero"/>
        <c:auto val="1"/>
        <c:lblAlgn val="ctr"/>
        <c:lblOffset val="100"/>
        <c:noMultiLvlLbl val="0"/>
      </c:catAx>
      <c:valAx>
        <c:axId val="348464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77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13888</c:v>
                </c:pt>
                <c:pt idx="3">
                  <c:v>3904</c:v>
                </c:pt>
                <c:pt idx="5">
                  <c:v>2500</c:v>
                </c:pt>
                <c:pt idx="9">
                  <c:v>15393</c:v>
                </c:pt>
                <c:pt idx="12">
                  <c:v>5209</c:v>
                </c:pt>
                <c:pt idx="13">
                  <c:v>1148</c:v>
                </c:pt>
                <c:pt idx="14">
                  <c:v>47532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13890</c:v>
                </c:pt>
                <c:pt idx="2">
                  <c:v>5250</c:v>
                </c:pt>
                <c:pt idx="3">
                  <c:v>3905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15400</c:v>
                </c:pt>
                <c:pt idx="10">
                  <c:v>490</c:v>
                </c:pt>
                <c:pt idx="11">
                  <c:v>350</c:v>
                </c:pt>
                <c:pt idx="12">
                  <c:v>5210</c:v>
                </c:pt>
                <c:pt idx="13">
                  <c:v>1150</c:v>
                </c:pt>
                <c:pt idx="14">
                  <c:v>47540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773824"/>
        <c:axId val="348466560"/>
      </c:lineChart>
      <c:catAx>
        <c:axId val="6137738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8466560"/>
        <c:crosses val="autoZero"/>
        <c:auto val="1"/>
        <c:lblAlgn val="ctr"/>
        <c:lblOffset val="100"/>
        <c:noMultiLvlLbl val="0"/>
      </c:catAx>
      <c:valAx>
        <c:axId val="348466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377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75% 0% 79% 0% 58% 0% 0% 0% 87% 0% 0% 96% 25%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0.74989200863930883</c:v>
                </c:pt>
                <c:pt idx="2">
                  <c:v>0</c:v>
                </c:pt>
                <c:pt idx="3">
                  <c:v>0.79146393512590685</c:v>
                </c:pt>
                <c:pt idx="4">
                  <c:v>0</c:v>
                </c:pt>
                <c:pt idx="5">
                  <c:v>0.58333333333333337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0.87460227272727264</c:v>
                </c:pt>
                <c:pt idx="10">
                  <c:v>0</c:v>
                </c:pt>
                <c:pt idx="11">
                  <c:v>0</c:v>
                </c:pt>
                <c:pt idx="12">
                  <c:v>0.9581493921944978</c:v>
                </c:pt>
                <c:pt idx="13">
                  <c:v>0.24956521739130436</c:v>
                </c:pt>
                <c:pt idx="14">
                  <c:v>0.99983172065628945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COVER</c:v>
                </c:pt>
                <c:pt idx="11">
                  <c:v>IC GUIDE</c:v>
                </c:pt>
                <c:pt idx="12">
                  <c:v>38P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0.34712252533786092</c:v>
                </c:pt>
                <c:pt idx="1">
                  <c:v>0.34712252533786092</c:v>
                </c:pt>
                <c:pt idx="2">
                  <c:v>0.34712252533786092</c:v>
                </c:pt>
                <c:pt idx="3">
                  <c:v>0.34712252533786092</c:v>
                </c:pt>
                <c:pt idx="4">
                  <c:v>0.34712252533786092</c:v>
                </c:pt>
                <c:pt idx="5">
                  <c:v>0.34712252533786092</c:v>
                </c:pt>
                <c:pt idx="6">
                  <c:v>0.34712252533786092</c:v>
                </c:pt>
                <c:pt idx="7">
                  <c:v>0.34712252533786092</c:v>
                </c:pt>
                <c:pt idx="8">
                  <c:v>0.34712252533786092</c:v>
                </c:pt>
                <c:pt idx="9">
                  <c:v>0.34712252533786092</c:v>
                </c:pt>
                <c:pt idx="10">
                  <c:v>0.34712252533786092</c:v>
                </c:pt>
                <c:pt idx="11">
                  <c:v>0.34712252533786092</c:v>
                </c:pt>
                <c:pt idx="12">
                  <c:v>0.34712252533786092</c:v>
                </c:pt>
                <c:pt idx="13">
                  <c:v>0.34712252533786092</c:v>
                </c:pt>
                <c:pt idx="14">
                  <c:v>0.34712252533786092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775360"/>
        <c:axId val="348468288"/>
      </c:lineChart>
      <c:catAx>
        <c:axId val="61377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8468288"/>
        <c:crosses val="autoZero"/>
        <c:auto val="1"/>
        <c:lblAlgn val="ctr"/>
        <c:lblOffset val="100"/>
        <c:noMultiLvlLbl val="0"/>
      </c:catAx>
      <c:valAx>
        <c:axId val="348468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775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389824"/>
        <c:axId val="3484705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389824"/>
        <c:axId val="348470592"/>
      </c:lineChart>
      <c:catAx>
        <c:axId val="61338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348470592"/>
        <c:crosses val="autoZero"/>
        <c:auto val="1"/>
        <c:lblAlgn val="ctr"/>
        <c:lblOffset val="100"/>
        <c:noMultiLvlLbl val="0"/>
      </c:catAx>
      <c:valAx>
        <c:axId val="3484705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33898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1">
                  <c:v>20084</c:v>
                </c:pt>
                <c:pt idx="3">
                  <c:v>4023</c:v>
                </c:pt>
                <c:pt idx="9">
                  <c:v>17976</c:v>
                </c:pt>
                <c:pt idx="10">
                  <c:v>8490</c:v>
                </c:pt>
                <c:pt idx="12">
                  <c:v>3314</c:v>
                </c:pt>
                <c:pt idx="13">
                  <c:v>1574</c:v>
                </c:pt>
                <c:pt idx="14">
                  <c:v>20908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20090</c:v>
                </c:pt>
                <c:pt idx="2">
                  <c:v>5250</c:v>
                </c:pt>
                <c:pt idx="3">
                  <c:v>4030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17980</c:v>
                </c:pt>
                <c:pt idx="10">
                  <c:v>8490</c:v>
                </c:pt>
                <c:pt idx="11">
                  <c:v>350</c:v>
                </c:pt>
                <c:pt idx="12">
                  <c:v>3320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226560"/>
        <c:axId val="390827392"/>
      </c:lineChart>
      <c:catAx>
        <c:axId val="6202265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0827392"/>
        <c:crosses val="autoZero"/>
        <c:auto val="1"/>
        <c:lblAlgn val="ctr"/>
        <c:lblOffset val="100"/>
        <c:noMultiLvlLbl val="0"/>
      </c:catAx>
      <c:valAx>
        <c:axId val="3908273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2022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100% 0% 79% 0% 0% 0% 0% 0% 87% 96% 0% 75% 25%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0.99970134395221499</c:v>
                </c:pt>
                <c:pt idx="2">
                  <c:v>0</c:v>
                </c:pt>
                <c:pt idx="3">
                  <c:v>0.79029156327543426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0.87480533926585091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0.74864457831325304</c:v>
                </c:pt>
                <c:pt idx="13">
                  <c:v>0.2490506329113924</c:v>
                </c:pt>
                <c:pt idx="14">
                  <c:v>0.49995217599234815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0.34138526446958845</c:v>
                </c:pt>
                <c:pt idx="1">
                  <c:v>0.34138526446958845</c:v>
                </c:pt>
                <c:pt idx="2">
                  <c:v>0.34138526446958845</c:v>
                </c:pt>
                <c:pt idx="3">
                  <c:v>0.34138526446958845</c:v>
                </c:pt>
                <c:pt idx="4">
                  <c:v>0.34138526446958845</c:v>
                </c:pt>
                <c:pt idx="5">
                  <c:v>0.34138526446958845</c:v>
                </c:pt>
                <c:pt idx="6">
                  <c:v>0.34138526446958845</c:v>
                </c:pt>
                <c:pt idx="7">
                  <c:v>0.34138526446958845</c:v>
                </c:pt>
                <c:pt idx="8">
                  <c:v>0.34138526446958845</c:v>
                </c:pt>
                <c:pt idx="9">
                  <c:v>0.34138526446958845</c:v>
                </c:pt>
                <c:pt idx="10">
                  <c:v>0.34138526446958845</c:v>
                </c:pt>
                <c:pt idx="11">
                  <c:v>0.34138526446958845</c:v>
                </c:pt>
                <c:pt idx="12">
                  <c:v>0.34138526446958845</c:v>
                </c:pt>
                <c:pt idx="13">
                  <c:v>0.34138526446958845</c:v>
                </c:pt>
                <c:pt idx="14">
                  <c:v>0.34138526446958845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228096"/>
        <c:axId val="390829120"/>
      </c:lineChart>
      <c:catAx>
        <c:axId val="62022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0829120"/>
        <c:crosses val="autoZero"/>
        <c:auto val="1"/>
        <c:lblAlgn val="ctr"/>
        <c:lblOffset val="100"/>
        <c:noMultiLvlLbl val="0"/>
      </c:catAx>
      <c:valAx>
        <c:axId val="390829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2022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1">
                  <c:v>20084</c:v>
                </c:pt>
                <c:pt idx="3">
                  <c:v>4023</c:v>
                </c:pt>
                <c:pt idx="9">
                  <c:v>17976</c:v>
                </c:pt>
                <c:pt idx="10">
                  <c:v>8490</c:v>
                </c:pt>
                <c:pt idx="12">
                  <c:v>3314</c:v>
                </c:pt>
                <c:pt idx="13">
                  <c:v>1574</c:v>
                </c:pt>
                <c:pt idx="14">
                  <c:v>20908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20090</c:v>
                </c:pt>
                <c:pt idx="2">
                  <c:v>5250</c:v>
                </c:pt>
                <c:pt idx="3">
                  <c:v>4030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17980</c:v>
                </c:pt>
                <c:pt idx="10">
                  <c:v>8490</c:v>
                </c:pt>
                <c:pt idx="11">
                  <c:v>350</c:v>
                </c:pt>
                <c:pt idx="12">
                  <c:v>3320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592512"/>
        <c:axId val="390831424"/>
      </c:lineChart>
      <c:catAx>
        <c:axId val="7505925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0831424"/>
        <c:crosses val="autoZero"/>
        <c:auto val="1"/>
        <c:lblAlgn val="ctr"/>
        <c:lblOffset val="100"/>
        <c:noMultiLvlLbl val="0"/>
      </c:catAx>
      <c:valAx>
        <c:axId val="3908314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50592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100% 0% 79% 0% 0% 0% 0% 0% 87% 96% 0% 75% 25%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0.99970134395221499</c:v>
                </c:pt>
                <c:pt idx="2">
                  <c:v>0</c:v>
                </c:pt>
                <c:pt idx="3">
                  <c:v>0.79029156327543426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0.87480533926585091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0.74864457831325304</c:v>
                </c:pt>
                <c:pt idx="13">
                  <c:v>0.2490506329113924</c:v>
                </c:pt>
                <c:pt idx="14">
                  <c:v>0.49995217599234815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STOPPER</c:v>
                </c:pt>
                <c:pt idx="11">
                  <c:v>SAM</c:v>
                </c:pt>
                <c:pt idx="12">
                  <c:v>38P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0.34138526446958845</c:v>
                </c:pt>
                <c:pt idx="1">
                  <c:v>0.34138526446958845</c:v>
                </c:pt>
                <c:pt idx="2">
                  <c:v>0.34138526446958845</c:v>
                </c:pt>
                <c:pt idx="3">
                  <c:v>0.34138526446958845</c:v>
                </c:pt>
                <c:pt idx="4">
                  <c:v>0.34138526446958845</c:v>
                </c:pt>
                <c:pt idx="5">
                  <c:v>0.34138526446958845</c:v>
                </c:pt>
                <c:pt idx="6">
                  <c:v>0.34138526446958845</c:v>
                </c:pt>
                <c:pt idx="7">
                  <c:v>0.34138526446958845</c:v>
                </c:pt>
                <c:pt idx="8">
                  <c:v>0.34138526446958845</c:v>
                </c:pt>
                <c:pt idx="9">
                  <c:v>0.34138526446958845</c:v>
                </c:pt>
                <c:pt idx="10">
                  <c:v>0.34138526446958845</c:v>
                </c:pt>
                <c:pt idx="11">
                  <c:v>0.34138526446958845</c:v>
                </c:pt>
                <c:pt idx="12">
                  <c:v>0.34138526446958845</c:v>
                </c:pt>
                <c:pt idx="13">
                  <c:v>0.34138526446958845</c:v>
                </c:pt>
                <c:pt idx="14">
                  <c:v>0.34138526446958845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593536"/>
        <c:axId val="390849664"/>
      </c:lineChart>
      <c:catAx>
        <c:axId val="75059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0849664"/>
        <c:crosses val="autoZero"/>
        <c:auto val="1"/>
        <c:lblAlgn val="ctr"/>
        <c:lblOffset val="100"/>
        <c:noMultiLvlLbl val="0"/>
      </c:catAx>
      <c:valAx>
        <c:axId val="390849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50593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594048"/>
        <c:axId val="390851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594048"/>
        <c:axId val="390851968"/>
      </c:lineChart>
      <c:catAx>
        <c:axId val="75059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390851968"/>
        <c:crosses val="autoZero"/>
        <c:auto val="1"/>
        <c:lblAlgn val="ctr"/>
        <c:lblOffset val="100"/>
        <c:noMultiLvlLbl val="0"/>
      </c:catAx>
      <c:valAx>
        <c:axId val="390851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505940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3">
                  <c:v>5051</c:v>
                </c:pt>
                <c:pt idx="9">
                  <c:v>15822</c:v>
                </c:pt>
                <c:pt idx="10">
                  <c:v>3391</c:v>
                </c:pt>
                <c:pt idx="12">
                  <c:v>2096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20090</c:v>
                </c:pt>
                <c:pt idx="2">
                  <c:v>5250</c:v>
                </c:pt>
                <c:pt idx="3">
                  <c:v>5052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15830</c:v>
                </c:pt>
                <c:pt idx="10">
                  <c:v>3400</c:v>
                </c:pt>
                <c:pt idx="11">
                  <c:v>350</c:v>
                </c:pt>
                <c:pt idx="12">
                  <c:v>2096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18784"/>
        <c:axId val="390854848"/>
      </c:lineChart>
      <c:catAx>
        <c:axId val="4273187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0854848"/>
        <c:crosses val="autoZero"/>
        <c:auto val="1"/>
        <c:lblAlgn val="ctr"/>
        <c:lblOffset val="100"/>
        <c:noMultiLvlLbl val="0"/>
      </c:catAx>
      <c:valAx>
        <c:axId val="390854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2731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0% 100% 0% 0% 0% 0% 0% 100% 83% 0% 50%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0.99980205859065718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0.9994946304485155</c:v>
                </c:pt>
                <c:pt idx="10">
                  <c:v>0.8311274509803922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0.22202827600130431</c:v>
                </c:pt>
                <c:pt idx="1">
                  <c:v>0.22202827600130431</c:v>
                </c:pt>
                <c:pt idx="2">
                  <c:v>0.22202827600130431</c:v>
                </c:pt>
                <c:pt idx="3">
                  <c:v>0.22202827600130431</c:v>
                </c:pt>
                <c:pt idx="4">
                  <c:v>0.22202827600130431</c:v>
                </c:pt>
                <c:pt idx="5">
                  <c:v>0.22202827600130431</c:v>
                </c:pt>
                <c:pt idx="6">
                  <c:v>0.22202827600130431</c:v>
                </c:pt>
                <c:pt idx="7">
                  <c:v>0.22202827600130431</c:v>
                </c:pt>
                <c:pt idx="8">
                  <c:v>0.22202827600130431</c:v>
                </c:pt>
                <c:pt idx="9">
                  <c:v>0.22202827600130431</c:v>
                </c:pt>
                <c:pt idx="10">
                  <c:v>0.22202827600130431</c:v>
                </c:pt>
                <c:pt idx="11">
                  <c:v>0.22202827600130431</c:v>
                </c:pt>
                <c:pt idx="12">
                  <c:v>0.22202827600130431</c:v>
                </c:pt>
                <c:pt idx="13">
                  <c:v>0.22202827600130431</c:v>
                </c:pt>
                <c:pt idx="14">
                  <c:v>0.22202827600130431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32096"/>
        <c:axId val="312508416"/>
      </c:lineChart>
      <c:catAx>
        <c:axId val="4273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12508416"/>
        <c:crosses val="autoZero"/>
        <c:auto val="1"/>
        <c:lblAlgn val="ctr"/>
        <c:lblOffset val="100"/>
        <c:noMultiLvlLbl val="0"/>
      </c:catAx>
      <c:valAx>
        <c:axId val="312508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2733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3">
                  <c:v>5051</c:v>
                </c:pt>
                <c:pt idx="9">
                  <c:v>15822</c:v>
                </c:pt>
                <c:pt idx="10">
                  <c:v>3391</c:v>
                </c:pt>
                <c:pt idx="12">
                  <c:v>2096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20090</c:v>
                </c:pt>
                <c:pt idx="2">
                  <c:v>5250</c:v>
                </c:pt>
                <c:pt idx="3">
                  <c:v>5052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15830</c:v>
                </c:pt>
                <c:pt idx="10">
                  <c:v>3400</c:v>
                </c:pt>
                <c:pt idx="11">
                  <c:v>350</c:v>
                </c:pt>
                <c:pt idx="12">
                  <c:v>2096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33120"/>
        <c:axId val="312510720"/>
      </c:lineChart>
      <c:catAx>
        <c:axId val="427333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12510720"/>
        <c:crosses val="autoZero"/>
        <c:auto val="1"/>
        <c:lblAlgn val="ctr"/>
        <c:lblOffset val="100"/>
        <c:noMultiLvlLbl val="0"/>
      </c:catAx>
      <c:valAx>
        <c:axId val="3125107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27333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0% 100% 0% 0% 0% 0% 0% 100% 83% 0% 50%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0.99980205859065718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0.9994946304485155</c:v>
                </c:pt>
                <c:pt idx="10">
                  <c:v>0.8311274509803922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0.22202827600130431</c:v>
                </c:pt>
                <c:pt idx="1">
                  <c:v>0.22202827600130431</c:v>
                </c:pt>
                <c:pt idx="2">
                  <c:v>0.22202827600130431</c:v>
                </c:pt>
                <c:pt idx="3">
                  <c:v>0.22202827600130431</c:v>
                </c:pt>
                <c:pt idx="4">
                  <c:v>0.22202827600130431</c:v>
                </c:pt>
                <c:pt idx="5">
                  <c:v>0.22202827600130431</c:v>
                </c:pt>
                <c:pt idx="6">
                  <c:v>0.22202827600130431</c:v>
                </c:pt>
                <c:pt idx="7">
                  <c:v>0.22202827600130431</c:v>
                </c:pt>
                <c:pt idx="8">
                  <c:v>0.22202827600130431</c:v>
                </c:pt>
                <c:pt idx="9">
                  <c:v>0.22202827600130431</c:v>
                </c:pt>
                <c:pt idx="10">
                  <c:v>0.22202827600130431</c:v>
                </c:pt>
                <c:pt idx="11">
                  <c:v>0.22202827600130431</c:v>
                </c:pt>
                <c:pt idx="12">
                  <c:v>0.22202827600130431</c:v>
                </c:pt>
                <c:pt idx="13">
                  <c:v>0.22202827600130431</c:v>
                </c:pt>
                <c:pt idx="14">
                  <c:v>0.22202827600130431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33632"/>
        <c:axId val="312512448"/>
      </c:lineChart>
      <c:catAx>
        <c:axId val="42733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12512448"/>
        <c:crosses val="autoZero"/>
        <c:auto val="1"/>
        <c:lblAlgn val="ctr"/>
        <c:lblOffset val="100"/>
        <c:noMultiLvlLbl val="0"/>
      </c:catAx>
      <c:valAx>
        <c:axId val="312512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2733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334144"/>
        <c:axId val="312514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34144"/>
        <c:axId val="312514752"/>
      </c:lineChart>
      <c:catAx>
        <c:axId val="42733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312514752"/>
        <c:crosses val="autoZero"/>
        <c:auto val="1"/>
        <c:lblAlgn val="ctr"/>
        <c:lblOffset val="100"/>
        <c:noMultiLvlLbl val="0"/>
      </c:catAx>
      <c:valAx>
        <c:axId val="312514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273341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14448</c:v>
                </c:pt>
                <c:pt idx="3">
                  <c:v>3666</c:v>
                </c:pt>
                <c:pt idx="9">
                  <c:v>5700</c:v>
                </c:pt>
                <c:pt idx="11">
                  <c:v>4064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14450</c:v>
                </c:pt>
                <c:pt idx="2">
                  <c:v>5250</c:v>
                </c:pt>
                <c:pt idx="3">
                  <c:v>3670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5700</c:v>
                </c:pt>
                <c:pt idx="10">
                  <c:v>3400</c:v>
                </c:pt>
                <c:pt idx="11">
                  <c:v>4070</c:v>
                </c:pt>
                <c:pt idx="12">
                  <c:v>2096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803008"/>
        <c:axId val="431228032"/>
      </c:lineChart>
      <c:catAx>
        <c:axId val="4298030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31228032"/>
        <c:crosses val="autoZero"/>
        <c:auto val="1"/>
        <c:lblAlgn val="ctr"/>
        <c:lblOffset val="100"/>
        <c:noMultiLvlLbl val="0"/>
      </c:catAx>
      <c:valAx>
        <c:axId val="431228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29803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83% 0% 79% 0% 0% 0% 0% 0% 38% 0% 79%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0.83321799307958477</c:v>
                </c:pt>
                <c:pt idx="2">
                  <c:v>0</c:v>
                </c:pt>
                <c:pt idx="3">
                  <c:v>0.79080381471389638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0.375</c:v>
                </c:pt>
                <c:pt idx="10">
                  <c:v>0</c:v>
                </c:pt>
                <c:pt idx="11">
                  <c:v>0.7904995904995904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0.18596809321953811</c:v>
                </c:pt>
                <c:pt idx="1">
                  <c:v>0.18596809321953811</c:v>
                </c:pt>
                <c:pt idx="2">
                  <c:v>0.18596809321953811</c:v>
                </c:pt>
                <c:pt idx="3">
                  <c:v>0.18596809321953811</c:v>
                </c:pt>
                <c:pt idx="4">
                  <c:v>0.18596809321953811</c:v>
                </c:pt>
                <c:pt idx="5">
                  <c:v>0.18596809321953811</c:v>
                </c:pt>
                <c:pt idx="6">
                  <c:v>0.18596809321953811</c:v>
                </c:pt>
                <c:pt idx="7">
                  <c:v>0.18596809321953811</c:v>
                </c:pt>
                <c:pt idx="8">
                  <c:v>0.18596809321953811</c:v>
                </c:pt>
                <c:pt idx="9">
                  <c:v>0.18596809321953811</c:v>
                </c:pt>
                <c:pt idx="10">
                  <c:v>0.18596809321953811</c:v>
                </c:pt>
                <c:pt idx="11">
                  <c:v>0.18596809321953811</c:v>
                </c:pt>
                <c:pt idx="12">
                  <c:v>0.18596809321953811</c:v>
                </c:pt>
                <c:pt idx="13">
                  <c:v>0.18596809321953811</c:v>
                </c:pt>
                <c:pt idx="14">
                  <c:v>0.18596809321953811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805056"/>
        <c:axId val="431229760"/>
      </c:lineChart>
      <c:catAx>
        <c:axId val="42980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31229760"/>
        <c:crosses val="autoZero"/>
        <c:auto val="1"/>
        <c:lblAlgn val="ctr"/>
        <c:lblOffset val="100"/>
        <c:noMultiLvlLbl val="0"/>
      </c:catAx>
      <c:valAx>
        <c:axId val="431229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298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14448</c:v>
                </c:pt>
                <c:pt idx="3">
                  <c:v>3666</c:v>
                </c:pt>
                <c:pt idx="9">
                  <c:v>5700</c:v>
                </c:pt>
                <c:pt idx="11">
                  <c:v>4064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14450</c:v>
                </c:pt>
                <c:pt idx="2">
                  <c:v>5250</c:v>
                </c:pt>
                <c:pt idx="3">
                  <c:v>3670</c:v>
                </c:pt>
                <c:pt idx="4">
                  <c:v>3190</c:v>
                </c:pt>
                <c:pt idx="5">
                  <c:v>2500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5700</c:v>
                </c:pt>
                <c:pt idx="10">
                  <c:v>3400</c:v>
                </c:pt>
                <c:pt idx="11">
                  <c:v>4070</c:v>
                </c:pt>
                <c:pt idx="12">
                  <c:v>2096</c:v>
                </c:pt>
                <c:pt idx="13">
                  <c:v>1580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276608"/>
        <c:axId val="431232064"/>
      </c:lineChart>
      <c:catAx>
        <c:axId val="4302766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31232064"/>
        <c:crosses val="autoZero"/>
        <c:auto val="1"/>
        <c:lblAlgn val="ctr"/>
        <c:lblOffset val="100"/>
        <c:noMultiLvlLbl val="0"/>
      </c:catAx>
      <c:valAx>
        <c:axId val="431232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0276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83% 0% 79% 0% 0% 0% 0% 0% 38% 0% 79%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0.83321799307958477</c:v>
                </c:pt>
                <c:pt idx="2">
                  <c:v>0</c:v>
                </c:pt>
                <c:pt idx="3">
                  <c:v>0.79080381471389638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0.375</c:v>
                </c:pt>
                <c:pt idx="10">
                  <c:v>0</c:v>
                </c:pt>
                <c:pt idx="11">
                  <c:v>0.7904995904995904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COVER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INNER CASE</c:v>
                </c:pt>
                <c:pt idx="10">
                  <c:v>BODY</c:v>
                </c:pt>
                <c:pt idx="11">
                  <c:v>SAM</c:v>
                </c:pt>
                <c:pt idx="12">
                  <c:v>BODY</c:v>
                </c:pt>
                <c:pt idx="13">
                  <c:v>STOPPER</c:v>
                </c:pt>
                <c:pt idx="14">
                  <c:v>22P(4P)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0.18596809321953811</c:v>
                </c:pt>
                <c:pt idx="1">
                  <c:v>0.18596809321953811</c:v>
                </c:pt>
                <c:pt idx="2">
                  <c:v>0.18596809321953811</c:v>
                </c:pt>
                <c:pt idx="3">
                  <c:v>0.18596809321953811</c:v>
                </c:pt>
                <c:pt idx="4">
                  <c:v>0.18596809321953811</c:v>
                </c:pt>
                <c:pt idx="5">
                  <c:v>0.18596809321953811</c:v>
                </c:pt>
                <c:pt idx="6">
                  <c:v>0.18596809321953811</c:v>
                </c:pt>
                <c:pt idx="7">
                  <c:v>0.18596809321953811</c:v>
                </c:pt>
                <c:pt idx="8">
                  <c:v>0.18596809321953811</c:v>
                </c:pt>
                <c:pt idx="9">
                  <c:v>0.18596809321953811</c:v>
                </c:pt>
                <c:pt idx="10">
                  <c:v>0.18596809321953811</c:v>
                </c:pt>
                <c:pt idx="11">
                  <c:v>0.18596809321953811</c:v>
                </c:pt>
                <c:pt idx="12">
                  <c:v>0.18596809321953811</c:v>
                </c:pt>
                <c:pt idx="13">
                  <c:v>0.18596809321953811</c:v>
                </c:pt>
                <c:pt idx="14">
                  <c:v>0.18596809321953811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278144"/>
        <c:axId val="431233792"/>
      </c:lineChart>
      <c:catAx>
        <c:axId val="43027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31233792"/>
        <c:crosses val="autoZero"/>
        <c:auto val="1"/>
        <c:lblAlgn val="ctr"/>
        <c:lblOffset val="100"/>
        <c:noMultiLvlLbl val="0"/>
      </c:catAx>
      <c:valAx>
        <c:axId val="431233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0278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278656"/>
        <c:axId val="6115994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278656"/>
        <c:axId val="611599488"/>
      </c:lineChart>
      <c:catAx>
        <c:axId val="43027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611599488"/>
        <c:crosses val="autoZero"/>
        <c:auto val="1"/>
        <c:lblAlgn val="ctr"/>
        <c:lblOffset val="100"/>
        <c:noMultiLvlLbl val="0"/>
      </c:catAx>
      <c:valAx>
        <c:axId val="6115994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302786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20152</c:v>
                </c:pt>
                <c:pt idx="2">
                  <c:v>10208</c:v>
                </c:pt>
                <c:pt idx="3">
                  <c:v>5026</c:v>
                </c:pt>
                <c:pt idx="5">
                  <c:v>7510</c:v>
                </c:pt>
                <c:pt idx="9">
                  <c:v>2068</c:v>
                </c:pt>
                <c:pt idx="10">
                  <c:v>428</c:v>
                </c:pt>
                <c:pt idx="11">
                  <c:v>4130</c:v>
                </c:pt>
                <c:pt idx="12">
                  <c:v>1994</c:v>
                </c:pt>
                <c:pt idx="13">
                  <c:v>6264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20160</c:v>
                </c:pt>
                <c:pt idx="2">
                  <c:v>10210</c:v>
                </c:pt>
                <c:pt idx="3">
                  <c:v>5030</c:v>
                </c:pt>
                <c:pt idx="4">
                  <c:v>3190</c:v>
                </c:pt>
                <c:pt idx="5">
                  <c:v>7510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2070</c:v>
                </c:pt>
                <c:pt idx="10">
                  <c:v>430</c:v>
                </c:pt>
                <c:pt idx="11">
                  <c:v>4130</c:v>
                </c:pt>
                <c:pt idx="12">
                  <c:v>1995</c:v>
                </c:pt>
                <c:pt idx="13">
                  <c:v>6270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18496"/>
        <c:axId val="611602368"/>
      </c:lineChart>
      <c:catAx>
        <c:axId val="480618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1602368"/>
        <c:crosses val="autoZero"/>
        <c:auto val="1"/>
        <c:lblAlgn val="ctr"/>
        <c:lblOffset val="100"/>
        <c:noMultiLvlLbl val="0"/>
      </c:catAx>
      <c:valAx>
        <c:axId val="611602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0618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100% 100% 100% 0% 83% 0% 0% 0% 37% 12% 83% 50%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0.9996031746031746</c:v>
                </c:pt>
                <c:pt idx="2">
                  <c:v>0.99980411361410382</c:v>
                </c:pt>
                <c:pt idx="3">
                  <c:v>0.99920477137176933</c:v>
                </c:pt>
                <c:pt idx="4">
                  <c:v>0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0.37463768115942031</c:v>
                </c:pt>
                <c:pt idx="10">
                  <c:v>0.12441860465116279</c:v>
                </c:pt>
                <c:pt idx="11">
                  <c:v>0.83333333333333337</c:v>
                </c:pt>
                <c:pt idx="12">
                  <c:v>0.49974937343358394</c:v>
                </c:pt>
                <c:pt idx="13">
                  <c:v>0.87416267942583736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0.4358831376617146</c:v>
                </c:pt>
                <c:pt idx="1">
                  <c:v>0.4358831376617146</c:v>
                </c:pt>
                <c:pt idx="2">
                  <c:v>0.4358831376617146</c:v>
                </c:pt>
                <c:pt idx="3">
                  <c:v>0.4358831376617146</c:v>
                </c:pt>
                <c:pt idx="4">
                  <c:v>0.4358831376617146</c:v>
                </c:pt>
                <c:pt idx="5">
                  <c:v>0.4358831376617146</c:v>
                </c:pt>
                <c:pt idx="6">
                  <c:v>0.4358831376617146</c:v>
                </c:pt>
                <c:pt idx="7">
                  <c:v>0.4358831376617146</c:v>
                </c:pt>
                <c:pt idx="8">
                  <c:v>0.4358831376617146</c:v>
                </c:pt>
                <c:pt idx="9">
                  <c:v>0.4358831376617146</c:v>
                </c:pt>
                <c:pt idx="10">
                  <c:v>0.4358831376617146</c:v>
                </c:pt>
                <c:pt idx="11">
                  <c:v>0.4358831376617146</c:v>
                </c:pt>
                <c:pt idx="12">
                  <c:v>0.4358831376617146</c:v>
                </c:pt>
                <c:pt idx="13">
                  <c:v>0.4358831376617146</c:v>
                </c:pt>
                <c:pt idx="14">
                  <c:v>0.4358831376617146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20032"/>
        <c:axId val="611604096"/>
      </c:lineChart>
      <c:catAx>
        <c:axId val="48062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1604096"/>
        <c:crosses val="autoZero"/>
        <c:auto val="1"/>
        <c:lblAlgn val="ctr"/>
        <c:lblOffset val="100"/>
        <c:noMultiLvlLbl val="0"/>
      </c:catAx>
      <c:valAx>
        <c:axId val="611604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0620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20152</c:v>
                </c:pt>
                <c:pt idx="2">
                  <c:v>10208</c:v>
                </c:pt>
                <c:pt idx="3">
                  <c:v>5026</c:v>
                </c:pt>
                <c:pt idx="5">
                  <c:v>7510</c:v>
                </c:pt>
                <c:pt idx="9">
                  <c:v>2068</c:v>
                </c:pt>
                <c:pt idx="10">
                  <c:v>428</c:v>
                </c:pt>
                <c:pt idx="11">
                  <c:v>4130</c:v>
                </c:pt>
                <c:pt idx="12">
                  <c:v>1994</c:v>
                </c:pt>
                <c:pt idx="13">
                  <c:v>6264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20160</c:v>
                </c:pt>
                <c:pt idx="2">
                  <c:v>10210</c:v>
                </c:pt>
                <c:pt idx="3">
                  <c:v>5030</c:v>
                </c:pt>
                <c:pt idx="4">
                  <c:v>3190</c:v>
                </c:pt>
                <c:pt idx="5">
                  <c:v>7510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2070</c:v>
                </c:pt>
                <c:pt idx="10">
                  <c:v>430</c:v>
                </c:pt>
                <c:pt idx="11">
                  <c:v>4130</c:v>
                </c:pt>
                <c:pt idx="12">
                  <c:v>1995</c:v>
                </c:pt>
                <c:pt idx="13">
                  <c:v>6270</c:v>
                </c:pt>
                <c:pt idx="14">
                  <c:v>20910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86080"/>
        <c:axId val="611753984"/>
      </c:lineChart>
      <c:catAx>
        <c:axId val="480686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1753984"/>
        <c:crosses val="autoZero"/>
        <c:auto val="1"/>
        <c:lblAlgn val="ctr"/>
        <c:lblOffset val="100"/>
        <c:noMultiLvlLbl val="0"/>
      </c:catAx>
      <c:valAx>
        <c:axId val="6117539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068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100% 100% 100% 0% 83% 0% 0% 0% 37% 12% 83% 50%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0.9996031746031746</c:v>
                </c:pt>
                <c:pt idx="2">
                  <c:v>0.99980411361410382</c:v>
                </c:pt>
                <c:pt idx="3">
                  <c:v>0.99920477137176933</c:v>
                </c:pt>
                <c:pt idx="4">
                  <c:v>0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0.37463768115942031</c:v>
                </c:pt>
                <c:pt idx="10">
                  <c:v>0.12441860465116279</c:v>
                </c:pt>
                <c:pt idx="11">
                  <c:v>0.83333333333333337</c:v>
                </c:pt>
                <c:pt idx="12">
                  <c:v>0.49974937343358394</c:v>
                </c:pt>
                <c:pt idx="13">
                  <c:v>0.87416267942583736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0.4358831376617146</c:v>
                </c:pt>
                <c:pt idx="1">
                  <c:v>0.4358831376617146</c:v>
                </c:pt>
                <c:pt idx="2">
                  <c:v>0.4358831376617146</c:v>
                </c:pt>
                <c:pt idx="3">
                  <c:v>0.4358831376617146</c:v>
                </c:pt>
                <c:pt idx="4">
                  <c:v>0.4358831376617146</c:v>
                </c:pt>
                <c:pt idx="5">
                  <c:v>0.4358831376617146</c:v>
                </c:pt>
                <c:pt idx="6">
                  <c:v>0.4358831376617146</c:v>
                </c:pt>
                <c:pt idx="7">
                  <c:v>0.4358831376617146</c:v>
                </c:pt>
                <c:pt idx="8">
                  <c:v>0.4358831376617146</c:v>
                </c:pt>
                <c:pt idx="9">
                  <c:v>0.4358831376617146</c:v>
                </c:pt>
                <c:pt idx="10">
                  <c:v>0.4358831376617146</c:v>
                </c:pt>
                <c:pt idx="11">
                  <c:v>0.4358831376617146</c:v>
                </c:pt>
                <c:pt idx="12">
                  <c:v>0.4358831376617146</c:v>
                </c:pt>
                <c:pt idx="13">
                  <c:v>0.4358831376617146</c:v>
                </c:pt>
                <c:pt idx="14">
                  <c:v>0.4358831376617146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87616"/>
        <c:axId val="611755712"/>
      </c:lineChart>
      <c:catAx>
        <c:axId val="48068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1755712"/>
        <c:crosses val="autoZero"/>
        <c:auto val="1"/>
        <c:lblAlgn val="ctr"/>
        <c:lblOffset val="100"/>
        <c:noMultiLvlLbl val="0"/>
      </c:catAx>
      <c:valAx>
        <c:axId val="6117557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068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689152"/>
        <c:axId val="6117580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89152"/>
        <c:axId val="611758016"/>
      </c:lineChart>
      <c:catAx>
        <c:axId val="48068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611758016"/>
        <c:crosses val="autoZero"/>
        <c:auto val="1"/>
        <c:lblAlgn val="ctr"/>
        <c:lblOffset val="100"/>
        <c:noMultiLvlLbl val="0"/>
      </c:catAx>
      <c:valAx>
        <c:axId val="6117580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06891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19952</c:v>
                </c:pt>
                <c:pt idx="2">
                  <c:v>11248</c:v>
                </c:pt>
                <c:pt idx="3">
                  <c:v>4725</c:v>
                </c:pt>
                <c:pt idx="5">
                  <c:v>8800</c:v>
                </c:pt>
                <c:pt idx="9">
                  <c:v>5036</c:v>
                </c:pt>
                <c:pt idx="11">
                  <c:v>1848</c:v>
                </c:pt>
                <c:pt idx="13">
                  <c:v>10600</c:v>
                </c:pt>
                <c:pt idx="14">
                  <c:v>19179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19960</c:v>
                </c:pt>
                <c:pt idx="2">
                  <c:v>11250</c:v>
                </c:pt>
                <c:pt idx="3">
                  <c:v>4730</c:v>
                </c:pt>
                <c:pt idx="4">
                  <c:v>3190</c:v>
                </c:pt>
                <c:pt idx="5">
                  <c:v>8800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5040</c:v>
                </c:pt>
                <c:pt idx="10">
                  <c:v>430</c:v>
                </c:pt>
                <c:pt idx="11">
                  <c:v>1850</c:v>
                </c:pt>
                <c:pt idx="12">
                  <c:v>1995</c:v>
                </c:pt>
                <c:pt idx="13">
                  <c:v>10600</c:v>
                </c:pt>
                <c:pt idx="14">
                  <c:v>19180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036800"/>
        <c:axId val="611760896"/>
      </c:lineChart>
      <c:catAx>
        <c:axId val="4810368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1760896"/>
        <c:crosses val="autoZero"/>
        <c:auto val="1"/>
        <c:lblAlgn val="ctr"/>
        <c:lblOffset val="100"/>
        <c:noMultiLvlLbl val="0"/>
      </c:catAx>
      <c:valAx>
        <c:axId val="6117608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103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100% 100% 100% 0% 88% 0% 0% 0% 58% 0% 37% 0% 100%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0.99959919839679356</c:v>
                </c:pt>
                <c:pt idx="2">
                  <c:v>0.99982222222222217</c:v>
                </c:pt>
                <c:pt idx="3">
                  <c:v>0.9989429175475687</c:v>
                </c:pt>
                <c:pt idx="4">
                  <c:v>0</c:v>
                </c:pt>
                <c:pt idx="5">
                  <c:v>0.875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0.58287037037037037</c:v>
                </c:pt>
                <c:pt idx="10">
                  <c:v>0</c:v>
                </c:pt>
                <c:pt idx="11">
                  <c:v>0.3745945945945946</c:v>
                </c:pt>
                <c:pt idx="12">
                  <c:v>0</c:v>
                </c:pt>
                <c:pt idx="13">
                  <c:v>1</c:v>
                </c:pt>
                <c:pt idx="14">
                  <c:v>0.58330291970802928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0.42760881485597196</c:v>
                </c:pt>
                <c:pt idx="1">
                  <c:v>0.42760881485597196</c:v>
                </c:pt>
                <c:pt idx="2">
                  <c:v>0.42760881485597196</c:v>
                </c:pt>
                <c:pt idx="3">
                  <c:v>0.42760881485597196</c:v>
                </c:pt>
                <c:pt idx="4">
                  <c:v>0.42760881485597196</c:v>
                </c:pt>
                <c:pt idx="5">
                  <c:v>0.42760881485597196</c:v>
                </c:pt>
                <c:pt idx="6">
                  <c:v>0.42760881485597196</c:v>
                </c:pt>
                <c:pt idx="7">
                  <c:v>0.42760881485597196</c:v>
                </c:pt>
                <c:pt idx="8">
                  <c:v>0.42760881485597196</c:v>
                </c:pt>
                <c:pt idx="9">
                  <c:v>0.42760881485597196</c:v>
                </c:pt>
                <c:pt idx="10">
                  <c:v>0.42760881485597196</c:v>
                </c:pt>
                <c:pt idx="11">
                  <c:v>0.42760881485597196</c:v>
                </c:pt>
                <c:pt idx="12">
                  <c:v>0.42760881485597196</c:v>
                </c:pt>
                <c:pt idx="13">
                  <c:v>0.42760881485597196</c:v>
                </c:pt>
                <c:pt idx="14">
                  <c:v>0.42760881485597196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059328"/>
        <c:axId val="611844672"/>
      </c:lineChart>
      <c:catAx>
        <c:axId val="48105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1844672"/>
        <c:crosses val="autoZero"/>
        <c:auto val="1"/>
        <c:lblAlgn val="ctr"/>
        <c:lblOffset val="100"/>
        <c:noMultiLvlLbl val="0"/>
      </c:catAx>
      <c:valAx>
        <c:axId val="611844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105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19952</c:v>
                </c:pt>
                <c:pt idx="2">
                  <c:v>11248</c:v>
                </c:pt>
                <c:pt idx="3">
                  <c:v>4725</c:v>
                </c:pt>
                <c:pt idx="5">
                  <c:v>8800</c:v>
                </c:pt>
                <c:pt idx="9">
                  <c:v>5036</c:v>
                </c:pt>
                <c:pt idx="11">
                  <c:v>1848</c:v>
                </c:pt>
                <c:pt idx="13">
                  <c:v>10600</c:v>
                </c:pt>
                <c:pt idx="14">
                  <c:v>19179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19960</c:v>
                </c:pt>
                <c:pt idx="2">
                  <c:v>11250</c:v>
                </c:pt>
                <c:pt idx="3">
                  <c:v>4730</c:v>
                </c:pt>
                <c:pt idx="4">
                  <c:v>3190</c:v>
                </c:pt>
                <c:pt idx="5">
                  <c:v>8800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5040</c:v>
                </c:pt>
                <c:pt idx="10">
                  <c:v>430</c:v>
                </c:pt>
                <c:pt idx="11">
                  <c:v>1850</c:v>
                </c:pt>
                <c:pt idx="12">
                  <c:v>1995</c:v>
                </c:pt>
                <c:pt idx="13">
                  <c:v>10600</c:v>
                </c:pt>
                <c:pt idx="14">
                  <c:v>19180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059840"/>
        <c:axId val="611846976"/>
      </c:lineChart>
      <c:catAx>
        <c:axId val="481059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1846976"/>
        <c:crosses val="autoZero"/>
        <c:auto val="1"/>
        <c:lblAlgn val="ctr"/>
        <c:lblOffset val="100"/>
        <c:noMultiLvlLbl val="0"/>
      </c:catAx>
      <c:valAx>
        <c:axId val="611846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1059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100% 100% 100% 0% 88% 0% 0% 0% 58% 0% 37% 0% 100%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0.99959919839679356</c:v>
                </c:pt>
                <c:pt idx="2">
                  <c:v>0.99982222222222217</c:v>
                </c:pt>
                <c:pt idx="3">
                  <c:v>0.9989429175475687</c:v>
                </c:pt>
                <c:pt idx="4">
                  <c:v>0</c:v>
                </c:pt>
                <c:pt idx="5">
                  <c:v>0.875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0.58287037037037037</c:v>
                </c:pt>
                <c:pt idx="10">
                  <c:v>0</c:v>
                </c:pt>
                <c:pt idx="11">
                  <c:v>0.3745945945945946</c:v>
                </c:pt>
                <c:pt idx="12">
                  <c:v>0</c:v>
                </c:pt>
                <c:pt idx="13">
                  <c:v>1</c:v>
                </c:pt>
                <c:pt idx="14">
                  <c:v>0.58330291970802928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PUSHER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0.42760881485597196</c:v>
                </c:pt>
                <c:pt idx="1">
                  <c:v>0.42760881485597196</c:v>
                </c:pt>
                <c:pt idx="2">
                  <c:v>0.42760881485597196</c:v>
                </c:pt>
                <c:pt idx="3">
                  <c:v>0.42760881485597196</c:v>
                </c:pt>
                <c:pt idx="4">
                  <c:v>0.42760881485597196</c:v>
                </c:pt>
                <c:pt idx="5">
                  <c:v>0.42760881485597196</c:v>
                </c:pt>
                <c:pt idx="6">
                  <c:v>0.42760881485597196</c:v>
                </c:pt>
                <c:pt idx="7">
                  <c:v>0.42760881485597196</c:v>
                </c:pt>
                <c:pt idx="8">
                  <c:v>0.42760881485597196</c:v>
                </c:pt>
                <c:pt idx="9">
                  <c:v>0.42760881485597196</c:v>
                </c:pt>
                <c:pt idx="10">
                  <c:v>0.42760881485597196</c:v>
                </c:pt>
                <c:pt idx="11">
                  <c:v>0.42760881485597196</c:v>
                </c:pt>
                <c:pt idx="12">
                  <c:v>0.42760881485597196</c:v>
                </c:pt>
                <c:pt idx="13">
                  <c:v>0.42760881485597196</c:v>
                </c:pt>
                <c:pt idx="14">
                  <c:v>0.42760881485597196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060864"/>
        <c:axId val="611848704"/>
      </c:lineChart>
      <c:catAx>
        <c:axId val="48106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1848704"/>
        <c:crosses val="autoZero"/>
        <c:auto val="1"/>
        <c:lblAlgn val="ctr"/>
        <c:lblOffset val="100"/>
        <c:noMultiLvlLbl val="0"/>
      </c:catAx>
      <c:valAx>
        <c:axId val="611848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1060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061376"/>
        <c:axId val="6118510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061376"/>
        <c:axId val="611851008"/>
      </c:lineChart>
      <c:catAx>
        <c:axId val="48106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11851008"/>
        <c:crosses val="autoZero"/>
        <c:auto val="1"/>
        <c:lblAlgn val="ctr"/>
        <c:lblOffset val="100"/>
        <c:noMultiLvlLbl val="0"/>
      </c:catAx>
      <c:valAx>
        <c:axId val="611851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10613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0">
                  <c:v>2669</c:v>
                </c:pt>
                <c:pt idx="1">
                  <c:v>19964</c:v>
                </c:pt>
                <c:pt idx="2">
                  <c:v>11216</c:v>
                </c:pt>
                <c:pt idx="3">
                  <c:v>5164</c:v>
                </c:pt>
                <c:pt idx="4">
                  <c:v>7448</c:v>
                </c:pt>
                <c:pt idx="5">
                  <c:v>2481</c:v>
                </c:pt>
                <c:pt idx="9">
                  <c:v>10624</c:v>
                </c:pt>
                <c:pt idx="10">
                  <c:v>5928</c:v>
                </c:pt>
                <c:pt idx="12">
                  <c:v>2359</c:v>
                </c:pt>
                <c:pt idx="13">
                  <c:v>6250</c:v>
                </c:pt>
                <c:pt idx="14">
                  <c:v>41985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2670</c:v>
                </c:pt>
                <c:pt idx="1">
                  <c:v>19970</c:v>
                </c:pt>
                <c:pt idx="2">
                  <c:v>11220</c:v>
                </c:pt>
                <c:pt idx="3">
                  <c:v>5170</c:v>
                </c:pt>
                <c:pt idx="4">
                  <c:v>7450</c:v>
                </c:pt>
                <c:pt idx="5">
                  <c:v>2490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10630</c:v>
                </c:pt>
                <c:pt idx="10">
                  <c:v>5930</c:v>
                </c:pt>
                <c:pt idx="11">
                  <c:v>1850</c:v>
                </c:pt>
                <c:pt idx="12">
                  <c:v>2360</c:v>
                </c:pt>
                <c:pt idx="13">
                  <c:v>6250</c:v>
                </c:pt>
                <c:pt idx="14">
                  <c:v>41990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096384"/>
        <c:axId val="383190720"/>
      </c:lineChart>
      <c:catAx>
        <c:axId val="4860963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190720"/>
        <c:crosses val="autoZero"/>
        <c:auto val="1"/>
        <c:lblAlgn val="ctr"/>
        <c:lblOffset val="100"/>
        <c:noMultiLvlLbl val="0"/>
      </c:catAx>
      <c:valAx>
        <c:axId val="3831907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6096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58% 100% 100% 100% 87% 66% 0% 0% 0% 100% 75% 0% 58%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0.58311485642946326</c:v>
                </c:pt>
                <c:pt idx="1">
                  <c:v>0.99969954932398597</c:v>
                </c:pt>
                <c:pt idx="2">
                  <c:v>0.99964349376114081</c:v>
                </c:pt>
                <c:pt idx="3">
                  <c:v>0.99883945841392652</c:v>
                </c:pt>
                <c:pt idx="4">
                  <c:v>0.87476510067114088</c:v>
                </c:pt>
                <c:pt idx="5">
                  <c:v>0.6642570281124498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0.99943555973659459</c:v>
                </c:pt>
                <c:pt idx="10">
                  <c:v>0.74974704890387855</c:v>
                </c:pt>
                <c:pt idx="11">
                  <c:v>0</c:v>
                </c:pt>
                <c:pt idx="12">
                  <c:v>0.58308615819209042</c:v>
                </c:pt>
                <c:pt idx="13">
                  <c:v>0.58333333333333337</c:v>
                </c:pt>
                <c:pt idx="14">
                  <c:v>0.99988092402953088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0.60238683406050231</c:v>
                </c:pt>
                <c:pt idx="1">
                  <c:v>0.60238683406050231</c:v>
                </c:pt>
                <c:pt idx="2">
                  <c:v>0.60238683406050231</c:v>
                </c:pt>
                <c:pt idx="3">
                  <c:v>0.60238683406050231</c:v>
                </c:pt>
                <c:pt idx="4">
                  <c:v>0.60238683406050231</c:v>
                </c:pt>
                <c:pt idx="5">
                  <c:v>0.60238683406050231</c:v>
                </c:pt>
                <c:pt idx="6">
                  <c:v>0.60238683406050231</c:v>
                </c:pt>
                <c:pt idx="7">
                  <c:v>0.60238683406050231</c:v>
                </c:pt>
                <c:pt idx="8">
                  <c:v>0.60238683406050231</c:v>
                </c:pt>
                <c:pt idx="9">
                  <c:v>0.60238683406050231</c:v>
                </c:pt>
                <c:pt idx="10">
                  <c:v>0.60238683406050231</c:v>
                </c:pt>
                <c:pt idx="11">
                  <c:v>0.60238683406050231</c:v>
                </c:pt>
                <c:pt idx="12">
                  <c:v>0.60238683406050231</c:v>
                </c:pt>
                <c:pt idx="13">
                  <c:v>0.60238683406050231</c:v>
                </c:pt>
                <c:pt idx="14">
                  <c:v>0.60238683406050231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05600"/>
        <c:axId val="383192448"/>
      </c:lineChart>
      <c:catAx>
        <c:axId val="48610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192448"/>
        <c:crosses val="autoZero"/>
        <c:auto val="1"/>
        <c:lblAlgn val="ctr"/>
        <c:lblOffset val="100"/>
        <c:noMultiLvlLbl val="0"/>
      </c:catAx>
      <c:valAx>
        <c:axId val="383192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610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0">
                  <c:v>2669</c:v>
                </c:pt>
                <c:pt idx="1">
                  <c:v>19964</c:v>
                </c:pt>
                <c:pt idx="2">
                  <c:v>11216</c:v>
                </c:pt>
                <c:pt idx="3">
                  <c:v>5164</c:v>
                </c:pt>
                <c:pt idx="4">
                  <c:v>7448</c:v>
                </c:pt>
                <c:pt idx="5">
                  <c:v>2481</c:v>
                </c:pt>
                <c:pt idx="9">
                  <c:v>10624</c:v>
                </c:pt>
                <c:pt idx="10">
                  <c:v>5928</c:v>
                </c:pt>
                <c:pt idx="12">
                  <c:v>2359</c:v>
                </c:pt>
                <c:pt idx="13">
                  <c:v>6250</c:v>
                </c:pt>
                <c:pt idx="14">
                  <c:v>41985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2670</c:v>
                </c:pt>
                <c:pt idx="1">
                  <c:v>19970</c:v>
                </c:pt>
                <c:pt idx="2">
                  <c:v>11220</c:v>
                </c:pt>
                <c:pt idx="3">
                  <c:v>5170</c:v>
                </c:pt>
                <c:pt idx="4">
                  <c:v>7450</c:v>
                </c:pt>
                <c:pt idx="5">
                  <c:v>2490</c:v>
                </c:pt>
                <c:pt idx="6">
                  <c:v>350</c:v>
                </c:pt>
                <c:pt idx="7">
                  <c:v>360</c:v>
                </c:pt>
                <c:pt idx="8">
                  <c:v>191</c:v>
                </c:pt>
                <c:pt idx="9">
                  <c:v>10630</c:v>
                </c:pt>
                <c:pt idx="10">
                  <c:v>5930</c:v>
                </c:pt>
                <c:pt idx="11">
                  <c:v>1850</c:v>
                </c:pt>
                <c:pt idx="12">
                  <c:v>2360</c:v>
                </c:pt>
                <c:pt idx="13">
                  <c:v>6250</c:v>
                </c:pt>
                <c:pt idx="14">
                  <c:v>41990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06624"/>
        <c:axId val="383194752"/>
      </c:lineChart>
      <c:catAx>
        <c:axId val="4861066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194752"/>
        <c:crosses val="autoZero"/>
        <c:auto val="1"/>
        <c:lblAlgn val="ctr"/>
        <c:lblOffset val="100"/>
        <c:noMultiLvlLbl val="0"/>
      </c:catAx>
      <c:valAx>
        <c:axId val="3831947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6106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58% 100% 100% 100% 87% 66% 0% 0% 0% 100% 75% 0% 58%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0.58311485642946326</c:v>
                </c:pt>
                <c:pt idx="1">
                  <c:v>0.99969954932398597</c:v>
                </c:pt>
                <c:pt idx="2">
                  <c:v>0.99964349376114081</c:v>
                </c:pt>
                <c:pt idx="3">
                  <c:v>0.99883945841392652</c:v>
                </c:pt>
                <c:pt idx="4">
                  <c:v>0.87476510067114088</c:v>
                </c:pt>
                <c:pt idx="5">
                  <c:v>0.6642570281124498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0.99943555973659459</c:v>
                </c:pt>
                <c:pt idx="10">
                  <c:v>0.74974704890387855</c:v>
                </c:pt>
                <c:pt idx="11">
                  <c:v>0</c:v>
                </c:pt>
                <c:pt idx="12">
                  <c:v>0.58308615819209042</c:v>
                </c:pt>
                <c:pt idx="13">
                  <c:v>0.58333333333333337</c:v>
                </c:pt>
                <c:pt idx="14">
                  <c:v>0.99988092402953088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24P(구형)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0.60238683406050231</c:v>
                </c:pt>
                <c:pt idx="1">
                  <c:v>0.60238683406050231</c:v>
                </c:pt>
                <c:pt idx="2">
                  <c:v>0.60238683406050231</c:v>
                </c:pt>
                <c:pt idx="3">
                  <c:v>0.60238683406050231</c:v>
                </c:pt>
                <c:pt idx="4">
                  <c:v>0.60238683406050231</c:v>
                </c:pt>
                <c:pt idx="5">
                  <c:v>0.60238683406050231</c:v>
                </c:pt>
                <c:pt idx="6">
                  <c:v>0.60238683406050231</c:v>
                </c:pt>
                <c:pt idx="7">
                  <c:v>0.60238683406050231</c:v>
                </c:pt>
                <c:pt idx="8">
                  <c:v>0.60238683406050231</c:v>
                </c:pt>
                <c:pt idx="9">
                  <c:v>0.60238683406050231</c:v>
                </c:pt>
                <c:pt idx="10">
                  <c:v>0.60238683406050231</c:v>
                </c:pt>
                <c:pt idx="11">
                  <c:v>0.60238683406050231</c:v>
                </c:pt>
                <c:pt idx="12">
                  <c:v>0.60238683406050231</c:v>
                </c:pt>
                <c:pt idx="13">
                  <c:v>0.60238683406050231</c:v>
                </c:pt>
                <c:pt idx="14">
                  <c:v>0.60238683406050231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07136"/>
        <c:axId val="383196480"/>
      </c:lineChart>
      <c:catAx>
        <c:axId val="48610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196480"/>
        <c:crosses val="autoZero"/>
        <c:auto val="1"/>
        <c:lblAlgn val="ctr"/>
        <c:lblOffset val="100"/>
        <c:noMultiLvlLbl val="0"/>
      </c:catAx>
      <c:valAx>
        <c:axId val="3831964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6107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107648"/>
        <c:axId val="3826746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07648"/>
        <c:axId val="382674624"/>
      </c:lineChart>
      <c:catAx>
        <c:axId val="48610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382674624"/>
        <c:crosses val="autoZero"/>
        <c:auto val="1"/>
        <c:lblAlgn val="ctr"/>
        <c:lblOffset val="100"/>
        <c:noMultiLvlLbl val="0"/>
      </c:catAx>
      <c:valAx>
        <c:axId val="3826746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61076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0">
                  <c:v>5044</c:v>
                </c:pt>
                <c:pt idx="1">
                  <c:v>9820</c:v>
                </c:pt>
                <c:pt idx="2">
                  <c:v>11240</c:v>
                </c:pt>
                <c:pt idx="3">
                  <c:v>3403</c:v>
                </c:pt>
                <c:pt idx="4">
                  <c:v>10498</c:v>
                </c:pt>
                <c:pt idx="5">
                  <c:v>4834</c:v>
                </c:pt>
                <c:pt idx="8">
                  <c:v>2414</c:v>
                </c:pt>
                <c:pt idx="9">
                  <c:v>10616</c:v>
                </c:pt>
                <c:pt idx="10">
                  <c:v>9732</c:v>
                </c:pt>
                <c:pt idx="11">
                  <c:v>869</c:v>
                </c:pt>
                <c:pt idx="13">
                  <c:v>2340</c:v>
                </c:pt>
                <c:pt idx="14">
                  <c:v>38408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5050</c:v>
                </c:pt>
                <c:pt idx="1">
                  <c:v>9820</c:v>
                </c:pt>
                <c:pt idx="2">
                  <c:v>11240</c:v>
                </c:pt>
                <c:pt idx="3">
                  <c:v>3410</c:v>
                </c:pt>
                <c:pt idx="4">
                  <c:v>10500</c:v>
                </c:pt>
                <c:pt idx="5">
                  <c:v>4840</c:v>
                </c:pt>
                <c:pt idx="6">
                  <c:v>350</c:v>
                </c:pt>
                <c:pt idx="7">
                  <c:v>360</c:v>
                </c:pt>
                <c:pt idx="8">
                  <c:v>2420</c:v>
                </c:pt>
                <c:pt idx="9">
                  <c:v>10630</c:v>
                </c:pt>
                <c:pt idx="10">
                  <c:v>9740</c:v>
                </c:pt>
                <c:pt idx="11">
                  <c:v>870</c:v>
                </c:pt>
                <c:pt idx="12">
                  <c:v>2360</c:v>
                </c:pt>
                <c:pt idx="13">
                  <c:v>2340</c:v>
                </c:pt>
                <c:pt idx="14">
                  <c:v>38410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29120"/>
        <c:axId val="382677504"/>
      </c:lineChart>
      <c:catAx>
        <c:axId val="578629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2677504"/>
        <c:crosses val="autoZero"/>
        <c:auto val="1"/>
        <c:lblAlgn val="ctr"/>
        <c:lblOffset val="100"/>
        <c:noMultiLvlLbl val="0"/>
      </c:catAx>
      <c:valAx>
        <c:axId val="3826775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7862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100% 50% 100% 79% 100% 100% 0% 0% 58% 100% 100% 25% 0% 33%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0.99881188118811881</c:v>
                </c:pt>
                <c:pt idx="1">
                  <c:v>0.5</c:v>
                </c:pt>
                <c:pt idx="2">
                  <c:v>1</c:v>
                </c:pt>
                <c:pt idx="3">
                  <c:v>0.79004154447702835</c:v>
                </c:pt>
                <c:pt idx="4">
                  <c:v>0.99980952380952381</c:v>
                </c:pt>
                <c:pt idx="5">
                  <c:v>0.99876033057851243</c:v>
                </c:pt>
                <c:pt idx="6">
                  <c:v>0</c:v>
                </c:pt>
                <c:pt idx="7">
                  <c:v>0</c:v>
                </c:pt>
                <c:pt idx="8">
                  <c:v>0.58188705234159777</c:v>
                </c:pt>
                <c:pt idx="9">
                  <c:v>0.99868297271872064</c:v>
                </c:pt>
                <c:pt idx="10">
                  <c:v>0.99917864476386042</c:v>
                </c:pt>
                <c:pt idx="11">
                  <c:v>0.24971264367816093</c:v>
                </c:pt>
                <c:pt idx="12">
                  <c:v>0</c:v>
                </c:pt>
                <c:pt idx="13">
                  <c:v>0.33333333333333331</c:v>
                </c:pt>
                <c:pt idx="14">
                  <c:v>0.91661893604096156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0.62445579086198788</c:v>
                </c:pt>
                <c:pt idx="1">
                  <c:v>0.62445579086198788</c:v>
                </c:pt>
                <c:pt idx="2">
                  <c:v>0.62445579086198788</c:v>
                </c:pt>
                <c:pt idx="3">
                  <c:v>0.62445579086198788</c:v>
                </c:pt>
                <c:pt idx="4">
                  <c:v>0.62445579086198788</c:v>
                </c:pt>
                <c:pt idx="5">
                  <c:v>0.62445579086198788</c:v>
                </c:pt>
                <c:pt idx="6">
                  <c:v>0.62445579086198788</c:v>
                </c:pt>
                <c:pt idx="7">
                  <c:v>0.62445579086198788</c:v>
                </c:pt>
                <c:pt idx="8">
                  <c:v>0.62445579086198788</c:v>
                </c:pt>
                <c:pt idx="9">
                  <c:v>0.62445579086198788</c:v>
                </c:pt>
                <c:pt idx="10">
                  <c:v>0.62445579086198788</c:v>
                </c:pt>
                <c:pt idx="11">
                  <c:v>0.62445579086198788</c:v>
                </c:pt>
                <c:pt idx="12">
                  <c:v>0.62445579086198788</c:v>
                </c:pt>
                <c:pt idx="13">
                  <c:v>0.62445579086198788</c:v>
                </c:pt>
                <c:pt idx="14">
                  <c:v>0.62445579086198788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46528"/>
        <c:axId val="382679232"/>
      </c:lineChart>
      <c:catAx>
        <c:axId val="57864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2679232"/>
        <c:crosses val="autoZero"/>
        <c:auto val="1"/>
        <c:lblAlgn val="ctr"/>
        <c:lblOffset val="100"/>
        <c:noMultiLvlLbl val="0"/>
      </c:catAx>
      <c:valAx>
        <c:axId val="3826792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7864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0">
                  <c:v>5044</c:v>
                </c:pt>
                <c:pt idx="1">
                  <c:v>9820</c:v>
                </c:pt>
                <c:pt idx="2">
                  <c:v>11240</c:v>
                </c:pt>
                <c:pt idx="3">
                  <c:v>3403</c:v>
                </c:pt>
                <c:pt idx="4">
                  <c:v>10498</c:v>
                </c:pt>
                <c:pt idx="5">
                  <c:v>4834</c:v>
                </c:pt>
                <c:pt idx="8">
                  <c:v>2414</c:v>
                </c:pt>
                <c:pt idx="9">
                  <c:v>10616</c:v>
                </c:pt>
                <c:pt idx="10">
                  <c:v>9732</c:v>
                </c:pt>
                <c:pt idx="11">
                  <c:v>869</c:v>
                </c:pt>
                <c:pt idx="13">
                  <c:v>2340</c:v>
                </c:pt>
                <c:pt idx="14">
                  <c:v>38408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5050</c:v>
                </c:pt>
                <c:pt idx="1">
                  <c:v>9820</c:v>
                </c:pt>
                <c:pt idx="2">
                  <c:v>11240</c:v>
                </c:pt>
                <c:pt idx="3">
                  <c:v>3410</c:v>
                </c:pt>
                <c:pt idx="4">
                  <c:v>10500</c:v>
                </c:pt>
                <c:pt idx="5">
                  <c:v>4840</c:v>
                </c:pt>
                <c:pt idx="6">
                  <c:v>350</c:v>
                </c:pt>
                <c:pt idx="7">
                  <c:v>360</c:v>
                </c:pt>
                <c:pt idx="8">
                  <c:v>2420</c:v>
                </c:pt>
                <c:pt idx="9">
                  <c:v>10630</c:v>
                </c:pt>
                <c:pt idx="10">
                  <c:v>9740</c:v>
                </c:pt>
                <c:pt idx="11">
                  <c:v>870</c:v>
                </c:pt>
                <c:pt idx="12">
                  <c:v>2360</c:v>
                </c:pt>
                <c:pt idx="13">
                  <c:v>2340</c:v>
                </c:pt>
                <c:pt idx="14">
                  <c:v>38410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47552"/>
        <c:axId val="382680384"/>
      </c:lineChart>
      <c:catAx>
        <c:axId val="5786475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2680384"/>
        <c:crosses val="autoZero"/>
        <c:auto val="1"/>
        <c:lblAlgn val="ctr"/>
        <c:lblOffset val="100"/>
        <c:noMultiLvlLbl val="0"/>
      </c:catAx>
      <c:valAx>
        <c:axId val="3826803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78647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100% 50% 100% 79% 100% 100% 0% 0% 58% 100% 100% 25% 0% 33%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0.99881188118811881</c:v>
                </c:pt>
                <c:pt idx="1">
                  <c:v>0.5</c:v>
                </c:pt>
                <c:pt idx="2">
                  <c:v>1</c:v>
                </c:pt>
                <c:pt idx="3">
                  <c:v>0.79004154447702835</c:v>
                </c:pt>
                <c:pt idx="4">
                  <c:v>0.99980952380952381</c:v>
                </c:pt>
                <c:pt idx="5">
                  <c:v>0.99876033057851243</c:v>
                </c:pt>
                <c:pt idx="6">
                  <c:v>0</c:v>
                </c:pt>
                <c:pt idx="7">
                  <c:v>0</c:v>
                </c:pt>
                <c:pt idx="8">
                  <c:v>0.58188705234159777</c:v>
                </c:pt>
                <c:pt idx="9">
                  <c:v>0.99868297271872064</c:v>
                </c:pt>
                <c:pt idx="10">
                  <c:v>0.99917864476386042</c:v>
                </c:pt>
                <c:pt idx="11">
                  <c:v>0.24971264367816093</c:v>
                </c:pt>
                <c:pt idx="12">
                  <c:v>0</c:v>
                </c:pt>
                <c:pt idx="13">
                  <c:v>0.33333333333333331</c:v>
                </c:pt>
                <c:pt idx="14">
                  <c:v>0.91661893604096156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ACTUATOR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0.62445579086198788</c:v>
                </c:pt>
                <c:pt idx="1">
                  <c:v>0.62445579086198788</c:v>
                </c:pt>
                <c:pt idx="2">
                  <c:v>0.62445579086198788</c:v>
                </c:pt>
                <c:pt idx="3">
                  <c:v>0.62445579086198788</c:v>
                </c:pt>
                <c:pt idx="4">
                  <c:v>0.62445579086198788</c:v>
                </c:pt>
                <c:pt idx="5">
                  <c:v>0.62445579086198788</c:v>
                </c:pt>
                <c:pt idx="6">
                  <c:v>0.62445579086198788</c:v>
                </c:pt>
                <c:pt idx="7">
                  <c:v>0.62445579086198788</c:v>
                </c:pt>
                <c:pt idx="8">
                  <c:v>0.62445579086198788</c:v>
                </c:pt>
                <c:pt idx="9">
                  <c:v>0.62445579086198788</c:v>
                </c:pt>
                <c:pt idx="10">
                  <c:v>0.62445579086198788</c:v>
                </c:pt>
                <c:pt idx="11">
                  <c:v>0.62445579086198788</c:v>
                </c:pt>
                <c:pt idx="12">
                  <c:v>0.62445579086198788</c:v>
                </c:pt>
                <c:pt idx="13">
                  <c:v>0.62445579086198788</c:v>
                </c:pt>
                <c:pt idx="14">
                  <c:v>0.62445579086198788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48064"/>
        <c:axId val="429925504"/>
      </c:lineChart>
      <c:catAx>
        <c:axId val="57864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29925504"/>
        <c:crosses val="autoZero"/>
        <c:auto val="1"/>
        <c:lblAlgn val="ctr"/>
        <c:lblOffset val="100"/>
        <c:noMultiLvlLbl val="0"/>
      </c:catAx>
      <c:valAx>
        <c:axId val="4299255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78648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648576"/>
        <c:axId val="429927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648576"/>
        <c:axId val="429927808"/>
      </c:lineChart>
      <c:catAx>
        <c:axId val="57864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429927808"/>
        <c:crosses val="autoZero"/>
        <c:auto val="1"/>
        <c:lblAlgn val="ctr"/>
        <c:lblOffset val="100"/>
        <c:noMultiLvlLbl val="0"/>
      </c:catAx>
      <c:valAx>
        <c:axId val="429927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86485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0">
                  <c:v>5076</c:v>
                </c:pt>
                <c:pt idx="2">
                  <c:v>11142</c:v>
                </c:pt>
                <c:pt idx="3">
                  <c:v>4677</c:v>
                </c:pt>
                <c:pt idx="4">
                  <c:v>7300</c:v>
                </c:pt>
                <c:pt idx="5">
                  <c:v>1952</c:v>
                </c:pt>
                <c:pt idx="8">
                  <c:v>245</c:v>
                </c:pt>
                <c:pt idx="9">
                  <c:v>8304</c:v>
                </c:pt>
                <c:pt idx="10">
                  <c:v>6966</c:v>
                </c:pt>
                <c:pt idx="11">
                  <c:v>1514</c:v>
                </c:pt>
                <c:pt idx="13">
                  <c:v>4019</c:v>
                </c:pt>
                <c:pt idx="14">
                  <c:v>47264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5080</c:v>
                </c:pt>
                <c:pt idx="1">
                  <c:v>9820</c:v>
                </c:pt>
                <c:pt idx="2">
                  <c:v>11150</c:v>
                </c:pt>
                <c:pt idx="3">
                  <c:v>4680</c:v>
                </c:pt>
                <c:pt idx="4">
                  <c:v>7300</c:v>
                </c:pt>
                <c:pt idx="5">
                  <c:v>1960</c:v>
                </c:pt>
                <c:pt idx="6">
                  <c:v>350</c:v>
                </c:pt>
                <c:pt idx="7">
                  <c:v>360</c:v>
                </c:pt>
                <c:pt idx="8">
                  <c:v>245</c:v>
                </c:pt>
                <c:pt idx="9">
                  <c:v>8310</c:v>
                </c:pt>
                <c:pt idx="10">
                  <c:v>7000</c:v>
                </c:pt>
                <c:pt idx="11">
                  <c:v>1520</c:v>
                </c:pt>
                <c:pt idx="12">
                  <c:v>2360</c:v>
                </c:pt>
                <c:pt idx="13">
                  <c:v>4020</c:v>
                </c:pt>
                <c:pt idx="14">
                  <c:v>47270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25536"/>
        <c:axId val="429930688"/>
      </c:lineChart>
      <c:catAx>
        <c:axId val="6122255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29930688"/>
        <c:crosses val="autoZero"/>
        <c:auto val="1"/>
        <c:lblAlgn val="ctr"/>
        <c:lblOffset val="100"/>
        <c:noMultiLvlLbl val="0"/>
      </c:catAx>
      <c:valAx>
        <c:axId val="429930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22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100% 0% 100% 100% 83% 41% 0% 0% 25% 87% 79% 37% 0% 54%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0.99921259842519683</c:v>
                </c:pt>
                <c:pt idx="1">
                  <c:v>0</c:v>
                </c:pt>
                <c:pt idx="2">
                  <c:v>0.99928251121076228</c:v>
                </c:pt>
                <c:pt idx="3">
                  <c:v>0.99935897435897436</c:v>
                </c:pt>
                <c:pt idx="4">
                  <c:v>0.83333333333333337</c:v>
                </c:pt>
                <c:pt idx="5">
                  <c:v>0.41496598639455784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0.8743682310469314</c:v>
                </c:pt>
                <c:pt idx="10">
                  <c:v>0.78782142857142856</c:v>
                </c:pt>
                <c:pt idx="11">
                  <c:v>0.37351973684210527</c:v>
                </c:pt>
                <c:pt idx="12">
                  <c:v>0</c:v>
                </c:pt>
                <c:pt idx="13">
                  <c:v>0.54153192371475944</c:v>
                </c:pt>
                <c:pt idx="14">
                  <c:v>0.9998730696001692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0.53821785289988122</c:v>
                </c:pt>
                <c:pt idx="1">
                  <c:v>0.53821785289988122</c:v>
                </c:pt>
                <c:pt idx="2">
                  <c:v>0.53821785289988122</c:v>
                </c:pt>
                <c:pt idx="3">
                  <c:v>0.53821785289988122</c:v>
                </c:pt>
                <c:pt idx="4">
                  <c:v>0.53821785289988122</c:v>
                </c:pt>
                <c:pt idx="5">
                  <c:v>0.53821785289988122</c:v>
                </c:pt>
                <c:pt idx="6">
                  <c:v>0.53821785289988122</c:v>
                </c:pt>
                <c:pt idx="7">
                  <c:v>0.53821785289988122</c:v>
                </c:pt>
                <c:pt idx="8">
                  <c:v>0.53821785289988122</c:v>
                </c:pt>
                <c:pt idx="9">
                  <c:v>0.53821785289988122</c:v>
                </c:pt>
                <c:pt idx="10">
                  <c:v>0.53821785289988122</c:v>
                </c:pt>
                <c:pt idx="11">
                  <c:v>0.53821785289988122</c:v>
                </c:pt>
                <c:pt idx="12">
                  <c:v>0.53821785289988122</c:v>
                </c:pt>
                <c:pt idx="13">
                  <c:v>0.53821785289988122</c:v>
                </c:pt>
                <c:pt idx="14">
                  <c:v>0.53821785289988122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26560"/>
        <c:axId val="382746624"/>
      </c:lineChart>
      <c:catAx>
        <c:axId val="61222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2746624"/>
        <c:crosses val="autoZero"/>
        <c:auto val="1"/>
        <c:lblAlgn val="ctr"/>
        <c:lblOffset val="100"/>
        <c:noMultiLvlLbl val="0"/>
      </c:catAx>
      <c:valAx>
        <c:axId val="382746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226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0">
                  <c:v>5076</c:v>
                </c:pt>
                <c:pt idx="2">
                  <c:v>11142</c:v>
                </c:pt>
                <c:pt idx="3">
                  <c:v>4677</c:v>
                </c:pt>
                <c:pt idx="4">
                  <c:v>7300</c:v>
                </c:pt>
                <c:pt idx="5">
                  <c:v>1952</c:v>
                </c:pt>
                <c:pt idx="8">
                  <c:v>245</c:v>
                </c:pt>
                <c:pt idx="9">
                  <c:v>8304</c:v>
                </c:pt>
                <c:pt idx="10">
                  <c:v>6966</c:v>
                </c:pt>
                <c:pt idx="11">
                  <c:v>1514</c:v>
                </c:pt>
                <c:pt idx="13">
                  <c:v>4019</c:v>
                </c:pt>
                <c:pt idx="14">
                  <c:v>47264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5080</c:v>
                </c:pt>
                <c:pt idx="1">
                  <c:v>9820</c:v>
                </c:pt>
                <c:pt idx="2">
                  <c:v>11150</c:v>
                </c:pt>
                <c:pt idx="3">
                  <c:v>4680</c:v>
                </c:pt>
                <c:pt idx="4">
                  <c:v>7300</c:v>
                </c:pt>
                <c:pt idx="5">
                  <c:v>1960</c:v>
                </c:pt>
                <c:pt idx="6">
                  <c:v>350</c:v>
                </c:pt>
                <c:pt idx="7">
                  <c:v>360</c:v>
                </c:pt>
                <c:pt idx="8">
                  <c:v>245</c:v>
                </c:pt>
                <c:pt idx="9">
                  <c:v>8310</c:v>
                </c:pt>
                <c:pt idx="10">
                  <c:v>7000</c:v>
                </c:pt>
                <c:pt idx="11">
                  <c:v>1520</c:v>
                </c:pt>
                <c:pt idx="12">
                  <c:v>2360</c:v>
                </c:pt>
                <c:pt idx="13">
                  <c:v>4020</c:v>
                </c:pt>
                <c:pt idx="14">
                  <c:v>47270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27072"/>
        <c:axId val="382748928"/>
      </c:lineChart>
      <c:catAx>
        <c:axId val="612227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2748928"/>
        <c:crosses val="autoZero"/>
        <c:auto val="1"/>
        <c:lblAlgn val="ctr"/>
        <c:lblOffset val="100"/>
        <c:noMultiLvlLbl val="0"/>
      </c:catAx>
      <c:valAx>
        <c:axId val="3827489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227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100% 0% 100% 100% 83% 41% 0% 0% 25% 87% 79% 37% 0% 54%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0.99921259842519683</c:v>
                </c:pt>
                <c:pt idx="1">
                  <c:v>0</c:v>
                </c:pt>
                <c:pt idx="2">
                  <c:v>0.99928251121076228</c:v>
                </c:pt>
                <c:pt idx="3">
                  <c:v>0.99935897435897436</c:v>
                </c:pt>
                <c:pt idx="4">
                  <c:v>0.83333333333333337</c:v>
                </c:pt>
                <c:pt idx="5">
                  <c:v>0.41496598639455784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0.8743682310469314</c:v>
                </c:pt>
                <c:pt idx="10">
                  <c:v>0.78782142857142856</c:v>
                </c:pt>
                <c:pt idx="11">
                  <c:v>0.37351973684210527</c:v>
                </c:pt>
                <c:pt idx="12">
                  <c:v>0</c:v>
                </c:pt>
                <c:pt idx="13">
                  <c:v>0.54153192371475944</c:v>
                </c:pt>
                <c:pt idx="14">
                  <c:v>0.9998730696001692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STOPPER</c:v>
                </c:pt>
                <c:pt idx="11">
                  <c:v>F/ADAPTER</c:v>
                </c:pt>
                <c:pt idx="12">
                  <c:v>BODY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0.53821785289988122</c:v>
                </c:pt>
                <c:pt idx="1">
                  <c:v>0.53821785289988122</c:v>
                </c:pt>
                <c:pt idx="2">
                  <c:v>0.53821785289988122</c:v>
                </c:pt>
                <c:pt idx="3">
                  <c:v>0.53821785289988122</c:v>
                </c:pt>
                <c:pt idx="4">
                  <c:v>0.53821785289988122</c:v>
                </c:pt>
                <c:pt idx="5">
                  <c:v>0.53821785289988122</c:v>
                </c:pt>
                <c:pt idx="6">
                  <c:v>0.53821785289988122</c:v>
                </c:pt>
                <c:pt idx="7">
                  <c:v>0.53821785289988122</c:v>
                </c:pt>
                <c:pt idx="8">
                  <c:v>0.53821785289988122</c:v>
                </c:pt>
                <c:pt idx="9">
                  <c:v>0.53821785289988122</c:v>
                </c:pt>
                <c:pt idx="10">
                  <c:v>0.53821785289988122</c:v>
                </c:pt>
                <c:pt idx="11">
                  <c:v>0.53821785289988122</c:v>
                </c:pt>
                <c:pt idx="12">
                  <c:v>0.53821785289988122</c:v>
                </c:pt>
                <c:pt idx="13">
                  <c:v>0.53821785289988122</c:v>
                </c:pt>
                <c:pt idx="14">
                  <c:v>0.53821785289988122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28608"/>
        <c:axId val="382750656"/>
      </c:lineChart>
      <c:catAx>
        <c:axId val="6122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2750656"/>
        <c:crosses val="autoZero"/>
        <c:auto val="1"/>
        <c:lblAlgn val="ctr"/>
        <c:lblOffset val="100"/>
        <c:noMultiLvlLbl val="0"/>
      </c:catAx>
      <c:valAx>
        <c:axId val="382750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22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610048"/>
        <c:axId val="3827529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610048"/>
        <c:axId val="382752960"/>
      </c:lineChart>
      <c:catAx>
        <c:axId val="61261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382752960"/>
        <c:crosses val="autoZero"/>
        <c:auto val="1"/>
        <c:lblAlgn val="ctr"/>
        <c:lblOffset val="100"/>
        <c:noMultiLvlLbl val="0"/>
      </c:catAx>
      <c:valAx>
        <c:axId val="3827529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26100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1632</c:v>
                </c:pt>
                <c:pt idx="1">
                  <c:v>2812</c:v>
                </c:pt>
                <c:pt idx="2">
                  <c:v>6256</c:v>
                </c:pt>
                <c:pt idx="3">
                  <c:v>11074</c:v>
                </c:pt>
                <c:pt idx="4">
                  <c:v>4639</c:v>
                </c:pt>
                <c:pt idx="5">
                  <c:v>10522</c:v>
                </c:pt>
                <c:pt idx="10">
                  <c:v>10396</c:v>
                </c:pt>
                <c:pt idx="11">
                  <c:v>9958</c:v>
                </c:pt>
                <c:pt idx="12">
                  <c:v>3018</c:v>
                </c:pt>
                <c:pt idx="14">
                  <c:v>9772</c:v>
                </c:pt>
                <c:pt idx="15">
                  <c:v>47084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1640</c:v>
                </c:pt>
                <c:pt idx="1">
                  <c:v>2820</c:v>
                </c:pt>
                <c:pt idx="2">
                  <c:v>6260</c:v>
                </c:pt>
                <c:pt idx="3">
                  <c:v>11100</c:v>
                </c:pt>
                <c:pt idx="4">
                  <c:v>4640</c:v>
                </c:pt>
                <c:pt idx="5">
                  <c:v>10530</c:v>
                </c:pt>
                <c:pt idx="6">
                  <c:v>1960</c:v>
                </c:pt>
                <c:pt idx="7">
                  <c:v>350</c:v>
                </c:pt>
                <c:pt idx="8">
                  <c:v>360</c:v>
                </c:pt>
                <c:pt idx="9">
                  <c:v>245</c:v>
                </c:pt>
                <c:pt idx="10">
                  <c:v>10400</c:v>
                </c:pt>
                <c:pt idx="11">
                  <c:v>9960</c:v>
                </c:pt>
                <c:pt idx="12">
                  <c:v>3020</c:v>
                </c:pt>
                <c:pt idx="13">
                  <c:v>2360</c:v>
                </c:pt>
                <c:pt idx="14">
                  <c:v>9780</c:v>
                </c:pt>
                <c:pt idx="15">
                  <c:v>47100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44416"/>
        <c:axId val="383059648"/>
      </c:lineChart>
      <c:catAx>
        <c:axId val="613244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059648"/>
        <c:crosses val="autoZero"/>
        <c:auto val="1"/>
        <c:lblAlgn val="ctr"/>
        <c:lblOffset val="100"/>
        <c:noMultiLvlLbl val="0"/>
      </c:catAx>
      <c:valAx>
        <c:axId val="383059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324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"/>
                <c:pt idx="0">
                  <c:v>41% 54% 42% 100% 100% 100% 0% 0% 0% 0% 100% 100% 58% 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0.41463414634146345</c:v>
                </c:pt>
                <c:pt idx="1">
                  <c:v>0.54013002364066187</c:v>
                </c:pt>
                <c:pt idx="2">
                  <c:v>0.41640042598509053</c:v>
                </c:pt>
                <c:pt idx="3">
                  <c:v>0.99765765765765768</c:v>
                </c:pt>
                <c:pt idx="4">
                  <c:v>0.99978448275862064</c:v>
                </c:pt>
                <c:pt idx="5">
                  <c:v>0.9992402659069326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0.99961538461538457</c:v>
                </c:pt>
                <c:pt idx="11">
                  <c:v>0.99979919678714857</c:v>
                </c:pt>
                <c:pt idx="12">
                  <c:v>0.58294701986754971</c:v>
                </c:pt>
                <c:pt idx="13">
                  <c:v>0</c:v>
                </c:pt>
                <c:pt idx="14">
                  <c:v>0.87428425357873218</c:v>
                </c:pt>
                <c:pt idx="15">
                  <c:v>0.99966029723991512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0.58827687695861053</c:v>
                </c:pt>
                <c:pt idx="1">
                  <c:v>0.58827687695861053</c:v>
                </c:pt>
                <c:pt idx="2">
                  <c:v>0.58827687695861053</c:v>
                </c:pt>
                <c:pt idx="3">
                  <c:v>0.58827687695861053</c:v>
                </c:pt>
                <c:pt idx="4">
                  <c:v>0.58827687695861053</c:v>
                </c:pt>
                <c:pt idx="5">
                  <c:v>0.58827687695861053</c:v>
                </c:pt>
                <c:pt idx="6">
                  <c:v>0.58827687695861053</c:v>
                </c:pt>
                <c:pt idx="7">
                  <c:v>0.58827687695861053</c:v>
                </c:pt>
                <c:pt idx="8">
                  <c:v>0.58827687695861053</c:v>
                </c:pt>
                <c:pt idx="9">
                  <c:v>0.58827687695861053</c:v>
                </c:pt>
                <c:pt idx="10">
                  <c:v>0.58827687695861053</c:v>
                </c:pt>
                <c:pt idx="11">
                  <c:v>0.58827687695861053</c:v>
                </c:pt>
                <c:pt idx="12">
                  <c:v>0.58827687695861053</c:v>
                </c:pt>
                <c:pt idx="13">
                  <c:v>0.58827687695861053</c:v>
                </c:pt>
                <c:pt idx="14">
                  <c:v>0.58827687695861053</c:v>
                </c:pt>
                <c:pt idx="15">
                  <c:v>0.58827687695861053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62848"/>
        <c:axId val="383061376"/>
      </c:lineChart>
      <c:catAx>
        <c:axId val="61326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061376"/>
        <c:crosses val="autoZero"/>
        <c:auto val="1"/>
        <c:lblAlgn val="ctr"/>
        <c:lblOffset val="100"/>
        <c:noMultiLvlLbl val="0"/>
      </c:catAx>
      <c:valAx>
        <c:axId val="383061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262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1632</c:v>
                </c:pt>
                <c:pt idx="1">
                  <c:v>2812</c:v>
                </c:pt>
                <c:pt idx="2">
                  <c:v>6256</c:v>
                </c:pt>
                <c:pt idx="3">
                  <c:v>11074</c:v>
                </c:pt>
                <c:pt idx="4">
                  <c:v>4639</c:v>
                </c:pt>
                <c:pt idx="5">
                  <c:v>10522</c:v>
                </c:pt>
                <c:pt idx="10">
                  <c:v>10396</c:v>
                </c:pt>
                <c:pt idx="11">
                  <c:v>9958</c:v>
                </c:pt>
                <c:pt idx="12">
                  <c:v>3018</c:v>
                </c:pt>
                <c:pt idx="14">
                  <c:v>9772</c:v>
                </c:pt>
                <c:pt idx="15">
                  <c:v>47084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1640</c:v>
                </c:pt>
                <c:pt idx="1">
                  <c:v>2820</c:v>
                </c:pt>
                <c:pt idx="2">
                  <c:v>6260</c:v>
                </c:pt>
                <c:pt idx="3">
                  <c:v>11100</c:v>
                </c:pt>
                <c:pt idx="4">
                  <c:v>4640</c:v>
                </c:pt>
                <c:pt idx="5">
                  <c:v>10530</c:v>
                </c:pt>
                <c:pt idx="6">
                  <c:v>1960</c:v>
                </c:pt>
                <c:pt idx="7">
                  <c:v>350</c:v>
                </c:pt>
                <c:pt idx="8">
                  <c:v>360</c:v>
                </c:pt>
                <c:pt idx="9">
                  <c:v>245</c:v>
                </c:pt>
                <c:pt idx="10">
                  <c:v>10400</c:v>
                </c:pt>
                <c:pt idx="11">
                  <c:v>9960</c:v>
                </c:pt>
                <c:pt idx="12">
                  <c:v>3020</c:v>
                </c:pt>
                <c:pt idx="13">
                  <c:v>2360</c:v>
                </c:pt>
                <c:pt idx="14">
                  <c:v>9780</c:v>
                </c:pt>
                <c:pt idx="15">
                  <c:v>47100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63360"/>
        <c:axId val="383063680"/>
      </c:lineChart>
      <c:catAx>
        <c:axId val="6132633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063680"/>
        <c:crosses val="autoZero"/>
        <c:auto val="1"/>
        <c:lblAlgn val="ctr"/>
        <c:lblOffset val="100"/>
        <c:noMultiLvlLbl val="0"/>
      </c:catAx>
      <c:valAx>
        <c:axId val="3830636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3263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"/>
                <c:pt idx="0">
                  <c:v>41% 54% 42% 100% 100% 100% 0% 0% 0% 0% 100% 100% 58% 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0.41463414634146345</c:v>
                </c:pt>
                <c:pt idx="1">
                  <c:v>0.54013002364066187</c:v>
                </c:pt>
                <c:pt idx="2">
                  <c:v>0.41640042598509053</c:v>
                </c:pt>
                <c:pt idx="3">
                  <c:v>0.99765765765765768</c:v>
                </c:pt>
                <c:pt idx="4">
                  <c:v>0.99978448275862064</c:v>
                </c:pt>
                <c:pt idx="5">
                  <c:v>0.9992402659069326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0.99961538461538457</c:v>
                </c:pt>
                <c:pt idx="11">
                  <c:v>0.99979919678714857</c:v>
                </c:pt>
                <c:pt idx="12">
                  <c:v>0.58294701986754971</c:v>
                </c:pt>
                <c:pt idx="13">
                  <c:v>0</c:v>
                </c:pt>
                <c:pt idx="14">
                  <c:v>0.87428425357873218</c:v>
                </c:pt>
                <c:pt idx="15">
                  <c:v>0.99966029723991512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203T</c:v>
                </c:pt>
                <c:pt idx="3">
                  <c:v>LEAD GUIDE</c:v>
                </c:pt>
                <c:pt idx="4">
                  <c:v>BODY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0.58827687695861053</c:v>
                </c:pt>
                <c:pt idx="1">
                  <c:v>0.58827687695861053</c:v>
                </c:pt>
                <c:pt idx="2">
                  <c:v>0.58827687695861053</c:v>
                </c:pt>
                <c:pt idx="3">
                  <c:v>0.58827687695861053</c:v>
                </c:pt>
                <c:pt idx="4">
                  <c:v>0.58827687695861053</c:v>
                </c:pt>
                <c:pt idx="5">
                  <c:v>0.58827687695861053</c:v>
                </c:pt>
                <c:pt idx="6">
                  <c:v>0.58827687695861053</c:v>
                </c:pt>
                <c:pt idx="7">
                  <c:v>0.58827687695861053</c:v>
                </c:pt>
                <c:pt idx="8">
                  <c:v>0.58827687695861053</c:v>
                </c:pt>
                <c:pt idx="9">
                  <c:v>0.58827687695861053</c:v>
                </c:pt>
                <c:pt idx="10">
                  <c:v>0.58827687695861053</c:v>
                </c:pt>
                <c:pt idx="11">
                  <c:v>0.58827687695861053</c:v>
                </c:pt>
                <c:pt idx="12">
                  <c:v>0.58827687695861053</c:v>
                </c:pt>
                <c:pt idx="13">
                  <c:v>0.58827687695861053</c:v>
                </c:pt>
                <c:pt idx="14">
                  <c:v>0.58827687695861053</c:v>
                </c:pt>
                <c:pt idx="15">
                  <c:v>0.58827687695861053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64384"/>
        <c:axId val="383065408"/>
      </c:lineChart>
      <c:catAx>
        <c:axId val="61326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065408"/>
        <c:crosses val="autoZero"/>
        <c:auto val="1"/>
        <c:lblAlgn val="ctr"/>
        <c:lblOffset val="100"/>
        <c:noMultiLvlLbl val="0"/>
      </c:catAx>
      <c:valAx>
        <c:axId val="383065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26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262336"/>
        <c:axId val="3836576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62336"/>
        <c:axId val="383657664"/>
      </c:lineChart>
      <c:catAx>
        <c:axId val="61326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383657664"/>
        <c:crosses val="autoZero"/>
        <c:auto val="1"/>
        <c:lblAlgn val="ctr"/>
        <c:lblOffset val="100"/>
        <c:noMultiLvlLbl val="0"/>
      </c:catAx>
      <c:valAx>
        <c:axId val="3836576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32623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4517</c:v>
                </c:pt>
                <c:pt idx="1">
                  <c:v>15512</c:v>
                </c:pt>
                <c:pt idx="2">
                  <c:v>10858</c:v>
                </c:pt>
                <c:pt idx="3">
                  <c:v>732</c:v>
                </c:pt>
                <c:pt idx="4">
                  <c:v>170432</c:v>
                </c:pt>
                <c:pt idx="5">
                  <c:v>10338</c:v>
                </c:pt>
                <c:pt idx="7">
                  <c:v>2002</c:v>
                </c:pt>
                <c:pt idx="8">
                  <c:v>4189</c:v>
                </c:pt>
                <c:pt idx="10">
                  <c:v>10530</c:v>
                </c:pt>
                <c:pt idx="11">
                  <c:v>3348</c:v>
                </c:pt>
                <c:pt idx="12">
                  <c:v>5225</c:v>
                </c:pt>
                <c:pt idx="13">
                  <c:v>316</c:v>
                </c:pt>
                <c:pt idx="14">
                  <c:v>10444</c:v>
                </c:pt>
                <c:pt idx="15">
                  <c:v>46964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15520</c:v>
                </c:pt>
                <c:pt idx="2">
                  <c:v>10860</c:v>
                </c:pt>
                <c:pt idx="3">
                  <c:v>740</c:v>
                </c:pt>
                <c:pt idx="4">
                  <c:v>170440</c:v>
                </c:pt>
                <c:pt idx="5">
                  <c:v>10340</c:v>
                </c:pt>
                <c:pt idx="6">
                  <c:v>1960</c:v>
                </c:pt>
                <c:pt idx="7">
                  <c:v>2010</c:v>
                </c:pt>
                <c:pt idx="8">
                  <c:v>4190</c:v>
                </c:pt>
                <c:pt idx="9">
                  <c:v>245</c:v>
                </c:pt>
                <c:pt idx="10">
                  <c:v>10530</c:v>
                </c:pt>
                <c:pt idx="11">
                  <c:v>3350</c:v>
                </c:pt>
                <c:pt idx="12">
                  <c:v>5230</c:v>
                </c:pt>
                <c:pt idx="13">
                  <c:v>320</c:v>
                </c:pt>
                <c:pt idx="14">
                  <c:v>10450</c:v>
                </c:pt>
                <c:pt idx="15">
                  <c:v>47000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11776"/>
        <c:axId val="383660544"/>
      </c:lineChart>
      <c:catAx>
        <c:axId val="614411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660544"/>
        <c:crosses val="autoZero"/>
        <c:auto val="1"/>
        <c:lblAlgn val="ctr"/>
        <c:lblOffset val="100"/>
        <c:noMultiLvlLbl val="0"/>
      </c:catAx>
      <c:valAx>
        <c:axId val="3836605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41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"/>
                <c:pt idx="0">
                  <c:v>100% 87% 100% 16% 75% 100% 0% 46% 96% 0% 100% 37% 100% 16%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0.99933628318584067</c:v>
                </c:pt>
                <c:pt idx="1">
                  <c:v>0.87454896907216495</c:v>
                </c:pt>
                <c:pt idx="2">
                  <c:v>0.99981583793738493</c:v>
                </c:pt>
                <c:pt idx="3">
                  <c:v>0.16486486486486485</c:v>
                </c:pt>
                <c:pt idx="4">
                  <c:v>0.74996479699601037</c:v>
                </c:pt>
                <c:pt idx="5">
                  <c:v>0.99980657640232107</c:v>
                </c:pt>
                <c:pt idx="6">
                  <c:v>0</c:v>
                </c:pt>
                <c:pt idx="7">
                  <c:v>0.45650912106135982</c:v>
                </c:pt>
                <c:pt idx="8">
                  <c:v>0.95810461416070014</c:v>
                </c:pt>
                <c:pt idx="9">
                  <c:v>0</c:v>
                </c:pt>
                <c:pt idx="10">
                  <c:v>1</c:v>
                </c:pt>
                <c:pt idx="11">
                  <c:v>0.37477611940298505</c:v>
                </c:pt>
                <c:pt idx="12">
                  <c:v>0.99904397705544934</c:v>
                </c:pt>
                <c:pt idx="13">
                  <c:v>0.16458333333333333</c:v>
                </c:pt>
                <c:pt idx="14">
                  <c:v>0.99942583732057422</c:v>
                </c:pt>
                <c:pt idx="15">
                  <c:v>0.99923404255319148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0.71600095822307863</c:v>
                </c:pt>
                <c:pt idx="1">
                  <c:v>0.71600095822307863</c:v>
                </c:pt>
                <c:pt idx="2">
                  <c:v>0.71600095822307863</c:v>
                </c:pt>
                <c:pt idx="3">
                  <c:v>0.71600095822307863</c:v>
                </c:pt>
                <c:pt idx="4">
                  <c:v>0.71600095822307863</c:v>
                </c:pt>
                <c:pt idx="5">
                  <c:v>0.71600095822307863</c:v>
                </c:pt>
                <c:pt idx="6">
                  <c:v>0.71600095822307863</c:v>
                </c:pt>
                <c:pt idx="7">
                  <c:v>0.71600095822307863</c:v>
                </c:pt>
                <c:pt idx="8">
                  <c:v>0.71600095822307863</c:v>
                </c:pt>
                <c:pt idx="9">
                  <c:v>0.71600095822307863</c:v>
                </c:pt>
                <c:pt idx="10">
                  <c:v>0.71600095822307863</c:v>
                </c:pt>
                <c:pt idx="11">
                  <c:v>0.71600095822307863</c:v>
                </c:pt>
                <c:pt idx="12">
                  <c:v>0.71600095822307863</c:v>
                </c:pt>
                <c:pt idx="13">
                  <c:v>0.71600095822307863</c:v>
                </c:pt>
                <c:pt idx="14">
                  <c:v>0.71600095822307863</c:v>
                </c:pt>
                <c:pt idx="15">
                  <c:v>0.71600095822307863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20992"/>
        <c:axId val="383662272"/>
      </c:lineChart>
      <c:catAx>
        <c:axId val="61442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662272"/>
        <c:crosses val="autoZero"/>
        <c:auto val="1"/>
        <c:lblAlgn val="ctr"/>
        <c:lblOffset val="100"/>
        <c:noMultiLvlLbl val="0"/>
      </c:catAx>
      <c:valAx>
        <c:axId val="3836622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420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4517</c:v>
                </c:pt>
                <c:pt idx="1">
                  <c:v>15512</c:v>
                </c:pt>
                <c:pt idx="2">
                  <c:v>10858</c:v>
                </c:pt>
                <c:pt idx="3">
                  <c:v>732</c:v>
                </c:pt>
                <c:pt idx="4">
                  <c:v>170432</c:v>
                </c:pt>
                <c:pt idx="5">
                  <c:v>10338</c:v>
                </c:pt>
                <c:pt idx="7">
                  <c:v>2002</c:v>
                </c:pt>
                <c:pt idx="8">
                  <c:v>4189</c:v>
                </c:pt>
                <c:pt idx="10">
                  <c:v>10530</c:v>
                </c:pt>
                <c:pt idx="11">
                  <c:v>3348</c:v>
                </c:pt>
                <c:pt idx="12">
                  <c:v>5225</c:v>
                </c:pt>
                <c:pt idx="13">
                  <c:v>316</c:v>
                </c:pt>
                <c:pt idx="14">
                  <c:v>10444</c:v>
                </c:pt>
                <c:pt idx="15">
                  <c:v>46964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15520</c:v>
                </c:pt>
                <c:pt idx="2">
                  <c:v>10860</c:v>
                </c:pt>
                <c:pt idx="3">
                  <c:v>740</c:v>
                </c:pt>
                <c:pt idx="4">
                  <c:v>170440</c:v>
                </c:pt>
                <c:pt idx="5">
                  <c:v>10340</c:v>
                </c:pt>
                <c:pt idx="6">
                  <c:v>1960</c:v>
                </c:pt>
                <c:pt idx="7">
                  <c:v>2010</c:v>
                </c:pt>
                <c:pt idx="8">
                  <c:v>4190</c:v>
                </c:pt>
                <c:pt idx="9">
                  <c:v>245</c:v>
                </c:pt>
                <c:pt idx="10">
                  <c:v>10530</c:v>
                </c:pt>
                <c:pt idx="11">
                  <c:v>3350</c:v>
                </c:pt>
                <c:pt idx="12">
                  <c:v>5230</c:v>
                </c:pt>
                <c:pt idx="13">
                  <c:v>320</c:v>
                </c:pt>
                <c:pt idx="14">
                  <c:v>10450</c:v>
                </c:pt>
                <c:pt idx="15">
                  <c:v>47000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22016"/>
        <c:axId val="384164416"/>
      </c:lineChart>
      <c:catAx>
        <c:axId val="6144220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164416"/>
        <c:crosses val="autoZero"/>
        <c:auto val="1"/>
        <c:lblAlgn val="ctr"/>
        <c:lblOffset val="100"/>
        <c:noMultiLvlLbl val="0"/>
      </c:catAx>
      <c:valAx>
        <c:axId val="3841644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42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"/>
                <c:pt idx="0">
                  <c:v>100% 87% 100% 16% 75% 100% 0% 46% 96% 0% 100% 37% 100% 16%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0.99933628318584067</c:v>
                </c:pt>
                <c:pt idx="1">
                  <c:v>0.87454896907216495</c:v>
                </c:pt>
                <c:pt idx="2">
                  <c:v>0.99981583793738493</c:v>
                </c:pt>
                <c:pt idx="3">
                  <c:v>0.16486486486486485</c:v>
                </c:pt>
                <c:pt idx="4">
                  <c:v>0.74996479699601037</c:v>
                </c:pt>
                <c:pt idx="5">
                  <c:v>0.99980657640232107</c:v>
                </c:pt>
                <c:pt idx="6">
                  <c:v>0</c:v>
                </c:pt>
                <c:pt idx="7">
                  <c:v>0.45650912106135982</c:v>
                </c:pt>
                <c:pt idx="8">
                  <c:v>0.95810461416070014</c:v>
                </c:pt>
                <c:pt idx="9">
                  <c:v>0</c:v>
                </c:pt>
                <c:pt idx="10">
                  <c:v>1</c:v>
                </c:pt>
                <c:pt idx="11">
                  <c:v>0.37477611940298505</c:v>
                </c:pt>
                <c:pt idx="12">
                  <c:v>0.99904397705544934</c:v>
                </c:pt>
                <c:pt idx="13">
                  <c:v>0.16458333333333333</c:v>
                </c:pt>
                <c:pt idx="14">
                  <c:v>0.99942583732057422</c:v>
                </c:pt>
                <c:pt idx="15">
                  <c:v>0.99923404255319148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BODY</c:v>
                </c:pt>
                <c:pt idx="4">
                  <c:v>SHAFT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STOPPER</c:v>
                </c:pt>
                <c:pt idx="12">
                  <c:v>F/ADAPTER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0.71600095822307863</c:v>
                </c:pt>
                <c:pt idx="1">
                  <c:v>0.71600095822307863</c:v>
                </c:pt>
                <c:pt idx="2">
                  <c:v>0.71600095822307863</c:v>
                </c:pt>
                <c:pt idx="3">
                  <c:v>0.71600095822307863</c:v>
                </c:pt>
                <c:pt idx="4">
                  <c:v>0.71600095822307863</c:v>
                </c:pt>
                <c:pt idx="5">
                  <c:v>0.71600095822307863</c:v>
                </c:pt>
                <c:pt idx="6">
                  <c:v>0.71600095822307863</c:v>
                </c:pt>
                <c:pt idx="7">
                  <c:v>0.71600095822307863</c:v>
                </c:pt>
                <c:pt idx="8">
                  <c:v>0.71600095822307863</c:v>
                </c:pt>
                <c:pt idx="9">
                  <c:v>0.71600095822307863</c:v>
                </c:pt>
                <c:pt idx="10">
                  <c:v>0.71600095822307863</c:v>
                </c:pt>
                <c:pt idx="11">
                  <c:v>0.71600095822307863</c:v>
                </c:pt>
                <c:pt idx="12">
                  <c:v>0.71600095822307863</c:v>
                </c:pt>
                <c:pt idx="13">
                  <c:v>0.71600095822307863</c:v>
                </c:pt>
                <c:pt idx="14">
                  <c:v>0.71600095822307863</c:v>
                </c:pt>
                <c:pt idx="15">
                  <c:v>0.71600095822307863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22528"/>
        <c:axId val="384166144"/>
      </c:lineChart>
      <c:catAx>
        <c:axId val="61442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166144"/>
        <c:crosses val="autoZero"/>
        <c:auto val="1"/>
        <c:lblAlgn val="ctr"/>
        <c:lblOffset val="100"/>
        <c:noMultiLvlLbl val="0"/>
      </c:catAx>
      <c:valAx>
        <c:axId val="384166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422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423040"/>
        <c:axId val="38416844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23040"/>
        <c:axId val="384168448"/>
      </c:lineChart>
      <c:catAx>
        <c:axId val="61442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384168448"/>
        <c:crosses val="autoZero"/>
        <c:auto val="1"/>
        <c:lblAlgn val="ctr"/>
        <c:lblOffset val="100"/>
        <c:noMultiLvlLbl val="0"/>
      </c:catAx>
      <c:valAx>
        <c:axId val="38416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44230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4587</c:v>
                </c:pt>
                <c:pt idx="1">
                  <c:v>12460</c:v>
                </c:pt>
                <c:pt idx="2">
                  <c:v>7302</c:v>
                </c:pt>
                <c:pt idx="3">
                  <c:v>115840</c:v>
                </c:pt>
                <c:pt idx="4">
                  <c:v>5436</c:v>
                </c:pt>
                <c:pt idx="6">
                  <c:v>2471</c:v>
                </c:pt>
                <c:pt idx="7">
                  <c:v>2822</c:v>
                </c:pt>
                <c:pt idx="8">
                  <c:v>2472</c:v>
                </c:pt>
                <c:pt idx="9">
                  <c:v>10658</c:v>
                </c:pt>
                <c:pt idx="10">
                  <c:v>2860</c:v>
                </c:pt>
                <c:pt idx="11">
                  <c:v>5302</c:v>
                </c:pt>
                <c:pt idx="12">
                  <c:v>3622</c:v>
                </c:pt>
                <c:pt idx="13">
                  <c:v>10316</c:v>
                </c:pt>
                <c:pt idx="14">
                  <c:v>47504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4590</c:v>
                </c:pt>
                <c:pt idx="1">
                  <c:v>12460</c:v>
                </c:pt>
                <c:pt idx="2">
                  <c:v>7310</c:v>
                </c:pt>
                <c:pt idx="3">
                  <c:v>115840</c:v>
                </c:pt>
                <c:pt idx="4">
                  <c:v>5440</c:v>
                </c:pt>
                <c:pt idx="5">
                  <c:v>1960</c:v>
                </c:pt>
                <c:pt idx="6">
                  <c:v>2480</c:v>
                </c:pt>
                <c:pt idx="7">
                  <c:v>2830</c:v>
                </c:pt>
                <c:pt idx="8">
                  <c:v>2480</c:v>
                </c:pt>
                <c:pt idx="9">
                  <c:v>10660</c:v>
                </c:pt>
                <c:pt idx="10">
                  <c:v>2860</c:v>
                </c:pt>
                <c:pt idx="11">
                  <c:v>5310</c:v>
                </c:pt>
                <c:pt idx="12">
                  <c:v>3630</c:v>
                </c:pt>
                <c:pt idx="13">
                  <c:v>10320</c:v>
                </c:pt>
                <c:pt idx="14">
                  <c:v>47510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72992"/>
        <c:axId val="384170752"/>
      </c:lineChart>
      <c:catAx>
        <c:axId val="615572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170752"/>
        <c:crosses val="autoZero"/>
        <c:auto val="1"/>
        <c:lblAlgn val="ctr"/>
        <c:lblOffset val="100"/>
        <c:noMultiLvlLbl val="0"/>
      </c:catAx>
      <c:valAx>
        <c:axId val="3841707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5572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71% 79% 46% 54% 0% 58% 79% 58% 100% 67% 100% 87%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0.99934640522875817</c:v>
                </c:pt>
                <c:pt idx="1">
                  <c:v>0.70833333333333337</c:v>
                </c:pt>
                <c:pt idx="2">
                  <c:v>0.79080027359781124</c:v>
                </c:pt>
                <c:pt idx="3">
                  <c:v>0.45833333333333331</c:v>
                </c:pt>
                <c:pt idx="4">
                  <c:v>0.54126838235294117</c:v>
                </c:pt>
                <c:pt idx="5">
                  <c:v>0</c:v>
                </c:pt>
                <c:pt idx="6">
                  <c:v>0.58121639784946233</c:v>
                </c:pt>
                <c:pt idx="7">
                  <c:v>0.78942873969375738</c:v>
                </c:pt>
                <c:pt idx="8">
                  <c:v>0.58145161290322589</c:v>
                </c:pt>
                <c:pt idx="9">
                  <c:v>0.99981238273921202</c:v>
                </c:pt>
                <c:pt idx="10">
                  <c:v>0.66666666666666663</c:v>
                </c:pt>
                <c:pt idx="11">
                  <c:v>0.99849340866290015</c:v>
                </c:pt>
                <c:pt idx="12">
                  <c:v>0.87307162534435256</c:v>
                </c:pt>
                <c:pt idx="13">
                  <c:v>0.99961240310077515</c:v>
                </c:pt>
                <c:pt idx="14">
                  <c:v>0.9998737107977268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0.73251391170695057</c:v>
                </c:pt>
                <c:pt idx="1">
                  <c:v>0.73251391170695057</c:v>
                </c:pt>
                <c:pt idx="2">
                  <c:v>0.73251391170695057</c:v>
                </c:pt>
                <c:pt idx="3">
                  <c:v>0.73251391170695057</c:v>
                </c:pt>
                <c:pt idx="4">
                  <c:v>0.73251391170695057</c:v>
                </c:pt>
                <c:pt idx="5">
                  <c:v>0.73251391170695057</c:v>
                </c:pt>
                <c:pt idx="6">
                  <c:v>0.73251391170695057</c:v>
                </c:pt>
                <c:pt idx="7">
                  <c:v>0.73251391170695057</c:v>
                </c:pt>
                <c:pt idx="8">
                  <c:v>0.73251391170695057</c:v>
                </c:pt>
                <c:pt idx="9">
                  <c:v>0.73251391170695057</c:v>
                </c:pt>
                <c:pt idx="10">
                  <c:v>0.73251391170695057</c:v>
                </c:pt>
                <c:pt idx="11">
                  <c:v>0.73251391170695057</c:v>
                </c:pt>
                <c:pt idx="12">
                  <c:v>0.73251391170695057</c:v>
                </c:pt>
                <c:pt idx="13">
                  <c:v>0.73251391170695057</c:v>
                </c:pt>
                <c:pt idx="14">
                  <c:v>0.73251391170695057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75040"/>
        <c:axId val="384238144"/>
      </c:lineChart>
      <c:catAx>
        <c:axId val="61557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238144"/>
        <c:crosses val="autoZero"/>
        <c:auto val="1"/>
        <c:lblAlgn val="ctr"/>
        <c:lblOffset val="100"/>
        <c:noMultiLvlLbl val="0"/>
      </c:catAx>
      <c:valAx>
        <c:axId val="384238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5575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4587</c:v>
                </c:pt>
                <c:pt idx="1">
                  <c:v>12460</c:v>
                </c:pt>
                <c:pt idx="2">
                  <c:v>7302</c:v>
                </c:pt>
                <c:pt idx="3">
                  <c:v>115840</c:v>
                </c:pt>
                <c:pt idx="4">
                  <c:v>5436</c:v>
                </c:pt>
                <c:pt idx="6">
                  <c:v>2471</c:v>
                </c:pt>
                <c:pt idx="7">
                  <c:v>2822</c:v>
                </c:pt>
                <c:pt idx="8">
                  <c:v>2472</c:v>
                </c:pt>
                <c:pt idx="9">
                  <c:v>10658</c:v>
                </c:pt>
                <c:pt idx="10">
                  <c:v>2860</c:v>
                </c:pt>
                <c:pt idx="11">
                  <c:v>5302</c:v>
                </c:pt>
                <c:pt idx="12">
                  <c:v>3622</c:v>
                </c:pt>
                <c:pt idx="13">
                  <c:v>10316</c:v>
                </c:pt>
                <c:pt idx="14">
                  <c:v>47504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4590</c:v>
                </c:pt>
                <c:pt idx="1">
                  <c:v>12460</c:v>
                </c:pt>
                <c:pt idx="2">
                  <c:v>7310</c:v>
                </c:pt>
                <c:pt idx="3">
                  <c:v>115840</c:v>
                </c:pt>
                <c:pt idx="4">
                  <c:v>5440</c:v>
                </c:pt>
                <c:pt idx="5">
                  <c:v>1960</c:v>
                </c:pt>
                <c:pt idx="6">
                  <c:v>2480</c:v>
                </c:pt>
                <c:pt idx="7">
                  <c:v>2830</c:v>
                </c:pt>
                <c:pt idx="8">
                  <c:v>2480</c:v>
                </c:pt>
                <c:pt idx="9">
                  <c:v>10660</c:v>
                </c:pt>
                <c:pt idx="10">
                  <c:v>2860</c:v>
                </c:pt>
                <c:pt idx="11">
                  <c:v>5310</c:v>
                </c:pt>
                <c:pt idx="12">
                  <c:v>3630</c:v>
                </c:pt>
                <c:pt idx="13">
                  <c:v>10320</c:v>
                </c:pt>
                <c:pt idx="14">
                  <c:v>47510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14944"/>
        <c:axId val="384240448"/>
      </c:lineChart>
      <c:catAx>
        <c:axId val="616914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240448"/>
        <c:crosses val="autoZero"/>
        <c:auto val="1"/>
        <c:lblAlgn val="ctr"/>
        <c:lblOffset val="100"/>
        <c:noMultiLvlLbl val="0"/>
      </c:catAx>
      <c:valAx>
        <c:axId val="3842404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6914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71% 79% 46% 54% 0% 58% 79% 58% 100% 67% 100% 87%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0.99934640522875817</c:v>
                </c:pt>
                <c:pt idx="1">
                  <c:v>0.70833333333333337</c:v>
                </c:pt>
                <c:pt idx="2">
                  <c:v>0.79080027359781124</c:v>
                </c:pt>
                <c:pt idx="3">
                  <c:v>0.45833333333333331</c:v>
                </c:pt>
                <c:pt idx="4">
                  <c:v>0.54126838235294117</c:v>
                </c:pt>
                <c:pt idx="5">
                  <c:v>0</c:v>
                </c:pt>
                <c:pt idx="6">
                  <c:v>0.58121639784946233</c:v>
                </c:pt>
                <c:pt idx="7">
                  <c:v>0.78942873969375738</c:v>
                </c:pt>
                <c:pt idx="8">
                  <c:v>0.58145161290322589</c:v>
                </c:pt>
                <c:pt idx="9">
                  <c:v>0.99981238273921202</c:v>
                </c:pt>
                <c:pt idx="10">
                  <c:v>0.66666666666666663</c:v>
                </c:pt>
                <c:pt idx="11">
                  <c:v>0.99849340866290015</c:v>
                </c:pt>
                <c:pt idx="12">
                  <c:v>0.87307162534435256</c:v>
                </c:pt>
                <c:pt idx="13">
                  <c:v>0.99961240310077515</c:v>
                </c:pt>
                <c:pt idx="14">
                  <c:v>0.9998737107977268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SHAFT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COVER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0.73251391170695057</c:v>
                </c:pt>
                <c:pt idx="1">
                  <c:v>0.73251391170695057</c:v>
                </c:pt>
                <c:pt idx="2">
                  <c:v>0.73251391170695057</c:v>
                </c:pt>
                <c:pt idx="3">
                  <c:v>0.73251391170695057</c:v>
                </c:pt>
                <c:pt idx="4">
                  <c:v>0.73251391170695057</c:v>
                </c:pt>
                <c:pt idx="5">
                  <c:v>0.73251391170695057</c:v>
                </c:pt>
                <c:pt idx="6">
                  <c:v>0.73251391170695057</c:v>
                </c:pt>
                <c:pt idx="7">
                  <c:v>0.73251391170695057</c:v>
                </c:pt>
                <c:pt idx="8">
                  <c:v>0.73251391170695057</c:v>
                </c:pt>
                <c:pt idx="9">
                  <c:v>0.73251391170695057</c:v>
                </c:pt>
                <c:pt idx="10">
                  <c:v>0.73251391170695057</c:v>
                </c:pt>
                <c:pt idx="11">
                  <c:v>0.73251391170695057</c:v>
                </c:pt>
                <c:pt idx="12">
                  <c:v>0.73251391170695057</c:v>
                </c:pt>
                <c:pt idx="13">
                  <c:v>0.73251391170695057</c:v>
                </c:pt>
                <c:pt idx="14">
                  <c:v>0.73251391170695057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16480"/>
        <c:axId val="384242176"/>
      </c:lineChart>
      <c:catAx>
        <c:axId val="61691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242176"/>
        <c:crosses val="autoZero"/>
        <c:auto val="1"/>
        <c:lblAlgn val="ctr"/>
        <c:lblOffset val="100"/>
        <c:noMultiLvlLbl val="0"/>
      </c:catAx>
      <c:valAx>
        <c:axId val="3842421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691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918016"/>
        <c:axId val="3842444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18016"/>
        <c:axId val="384244480"/>
      </c:lineChart>
      <c:catAx>
        <c:axId val="61691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384244480"/>
        <c:crosses val="autoZero"/>
        <c:auto val="1"/>
        <c:lblAlgn val="ctr"/>
        <c:lblOffset val="100"/>
        <c:noMultiLvlLbl val="0"/>
      </c:catAx>
      <c:valAx>
        <c:axId val="3842444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6918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4470</c:v>
                </c:pt>
                <c:pt idx="2">
                  <c:v>10628</c:v>
                </c:pt>
                <c:pt idx="3">
                  <c:v>2886</c:v>
                </c:pt>
                <c:pt idx="4">
                  <c:v>8842</c:v>
                </c:pt>
                <c:pt idx="5">
                  <c:v>2718</c:v>
                </c:pt>
                <c:pt idx="6">
                  <c:v>4364</c:v>
                </c:pt>
                <c:pt idx="7">
                  <c:v>5087</c:v>
                </c:pt>
                <c:pt idx="8">
                  <c:v>5133</c:v>
                </c:pt>
                <c:pt idx="9">
                  <c:v>2138</c:v>
                </c:pt>
                <c:pt idx="10">
                  <c:v>4752</c:v>
                </c:pt>
                <c:pt idx="11">
                  <c:v>1838</c:v>
                </c:pt>
                <c:pt idx="12">
                  <c:v>4343</c:v>
                </c:pt>
                <c:pt idx="13">
                  <c:v>10500</c:v>
                </c:pt>
                <c:pt idx="14">
                  <c:v>8700</c:v>
                </c:pt>
                <c:pt idx="15">
                  <c:v>36748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4470</c:v>
                </c:pt>
                <c:pt idx="1">
                  <c:v>12460</c:v>
                </c:pt>
                <c:pt idx="2">
                  <c:v>10630</c:v>
                </c:pt>
                <c:pt idx="3">
                  <c:v>2890</c:v>
                </c:pt>
                <c:pt idx="4">
                  <c:v>8850</c:v>
                </c:pt>
                <c:pt idx="5">
                  <c:v>2720</c:v>
                </c:pt>
                <c:pt idx="6">
                  <c:v>4370</c:v>
                </c:pt>
                <c:pt idx="7">
                  <c:v>5090</c:v>
                </c:pt>
                <c:pt idx="8">
                  <c:v>5140</c:v>
                </c:pt>
                <c:pt idx="9">
                  <c:v>2140</c:v>
                </c:pt>
                <c:pt idx="10">
                  <c:v>4760</c:v>
                </c:pt>
                <c:pt idx="11">
                  <c:v>1840</c:v>
                </c:pt>
                <c:pt idx="12">
                  <c:v>4350</c:v>
                </c:pt>
                <c:pt idx="13">
                  <c:v>10500</c:v>
                </c:pt>
                <c:pt idx="14">
                  <c:v>8700</c:v>
                </c:pt>
                <c:pt idx="15">
                  <c:v>36500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594880"/>
        <c:axId val="384427712"/>
      </c:lineChart>
      <c:catAx>
        <c:axId val="6175948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427712"/>
        <c:crosses val="autoZero"/>
        <c:auto val="1"/>
        <c:lblAlgn val="ctr"/>
        <c:lblOffset val="100"/>
        <c:noMultiLvlLbl val="0"/>
      </c:catAx>
      <c:valAx>
        <c:axId val="384427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7594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100% 0% 100% 58% 87% 67% 100% 100% 100% 50% 100% 46% 92% 100% 33% 63%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0.99981185324553157</c:v>
                </c:pt>
                <c:pt idx="3">
                  <c:v>0.58252595155709341</c:v>
                </c:pt>
                <c:pt idx="4">
                  <c:v>0.87420903954802254</c:v>
                </c:pt>
                <c:pt idx="5">
                  <c:v>0.66617647058823526</c:v>
                </c:pt>
                <c:pt idx="6">
                  <c:v>0.99862700228832957</c:v>
                </c:pt>
                <c:pt idx="7">
                  <c:v>0.99941060903732815</c:v>
                </c:pt>
                <c:pt idx="8">
                  <c:v>0.99863813229571985</c:v>
                </c:pt>
                <c:pt idx="9">
                  <c:v>0.49953271028037383</c:v>
                </c:pt>
                <c:pt idx="10">
                  <c:v>0.99831932773109244</c:v>
                </c:pt>
                <c:pt idx="11">
                  <c:v>0.45783514492753619</c:v>
                </c:pt>
                <c:pt idx="12">
                  <c:v>0.91519157088122605</c:v>
                </c:pt>
                <c:pt idx="13">
                  <c:v>1</c:v>
                </c:pt>
                <c:pt idx="14">
                  <c:v>0.33333333333333331</c:v>
                </c:pt>
                <c:pt idx="15">
                  <c:v>0.62924657534246575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0.7968571814037525</c:v>
                </c:pt>
                <c:pt idx="1">
                  <c:v>0.7968571814037525</c:v>
                </c:pt>
                <c:pt idx="2">
                  <c:v>0.7968571814037525</c:v>
                </c:pt>
                <c:pt idx="3">
                  <c:v>0.7968571814037525</c:v>
                </c:pt>
                <c:pt idx="4">
                  <c:v>0.7968571814037525</c:v>
                </c:pt>
                <c:pt idx="5">
                  <c:v>0.7968571814037525</c:v>
                </c:pt>
                <c:pt idx="6">
                  <c:v>0.7968571814037525</c:v>
                </c:pt>
                <c:pt idx="7">
                  <c:v>0.7968571814037525</c:v>
                </c:pt>
                <c:pt idx="8">
                  <c:v>0.7968571814037525</c:v>
                </c:pt>
                <c:pt idx="9">
                  <c:v>0.7968571814037525</c:v>
                </c:pt>
                <c:pt idx="10">
                  <c:v>0.7968571814037525</c:v>
                </c:pt>
                <c:pt idx="11">
                  <c:v>0.7968571814037525</c:v>
                </c:pt>
                <c:pt idx="12">
                  <c:v>0.7968571814037525</c:v>
                </c:pt>
                <c:pt idx="13">
                  <c:v>0.7968571814037525</c:v>
                </c:pt>
                <c:pt idx="14">
                  <c:v>0.7968571814037525</c:v>
                </c:pt>
                <c:pt idx="15">
                  <c:v>0.7968571814037525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596416"/>
        <c:axId val="384429440"/>
      </c:lineChart>
      <c:catAx>
        <c:axId val="61759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429440"/>
        <c:crosses val="autoZero"/>
        <c:auto val="1"/>
        <c:lblAlgn val="ctr"/>
        <c:lblOffset val="100"/>
        <c:noMultiLvlLbl val="0"/>
      </c:catAx>
      <c:valAx>
        <c:axId val="384429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7596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4470</c:v>
                </c:pt>
                <c:pt idx="2">
                  <c:v>10628</c:v>
                </c:pt>
                <c:pt idx="3">
                  <c:v>2886</c:v>
                </c:pt>
                <c:pt idx="4">
                  <c:v>8842</c:v>
                </c:pt>
                <c:pt idx="5">
                  <c:v>2718</c:v>
                </c:pt>
                <c:pt idx="6">
                  <c:v>4364</c:v>
                </c:pt>
                <c:pt idx="7">
                  <c:v>5087</c:v>
                </c:pt>
                <c:pt idx="8">
                  <c:v>5133</c:v>
                </c:pt>
                <c:pt idx="9">
                  <c:v>2138</c:v>
                </c:pt>
                <c:pt idx="10">
                  <c:v>4752</c:v>
                </c:pt>
                <c:pt idx="11">
                  <c:v>1838</c:v>
                </c:pt>
                <c:pt idx="12">
                  <c:v>4343</c:v>
                </c:pt>
                <c:pt idx="13">
                  <c:v>10500</c:v>
                </c:pt>
                <c:pt idx="14">
                  <c:v>8700</c:v>
                </c:pt>
                <c:pt idx="15">
                  <c:v>36748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4470</c:v>
                </c:pt>
                <c:pt idx="1">
                  <c:v>12460</c:v>
                </c:pt>
                <c:pt idx="2">
                  <c:v>10630</c:v>
                </c:pt>
                <c:pt idx="3">
                  <c:v>2890</c:v>
                </c:pt>
                <c:pt idx="4">
                  <c:v>8850</c:v>
                </c:pt>
                <c:pt idx="5">
                  <c:v>2720</c:v>
                </c:pt>
                <c:pt idx="6">
                  <c:v>4370</c:v>
                </c:pt>
                <c:pt idx="7">
                  <c:v>5090</c:v>
                </c:pt>
                <c:pt idx="8">
                  <c:v>5140</c:v>
                </c:pt>
                <c:pt idx="9">
                  <c:v>2140</c:v>
                </c:pt>
                <c:pt idx="10">
                  <c:v>4760</c:v>
                </c:pt>
                <c:pt idx="11">
                  <c:v>1840</c:v>
                </c:pt>
                <c:pt idx="12">
                  <c:v>4350</c:v>
                </c:pt>
                <c:pt idx="13">
                  <c:v>10500</c:v>
                </c:pt>
                <c:pt idx="14">
                  <c:v>8700</c:v>
                </c:pt>
                <c:pt idx="15">
                  <c:v>36500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596928"/>
        <c:axId val="384431744"/>
      </c:lineChart>
      <c:catAx>
        <c:axId val="6175969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431744"/>
        <c:crosses val="autoZero"/>
        <c:auto val="1"/>
        <c:lblAlgn val="ctr"/>
        <c:lblOffset val="100"/>
        <c:noMultiLvlLbl val="0"/>
      </c:catAx>
      <c:valAx>
        <c:axId val="384431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7596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100% 0% 100% 58% 87% 67% 100% 100% 100% 50% 100% 46% 92% 100% 33% 63%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0.99981185324553157</c:v>
                </c:pt>
                <c:pt idx="3">
                  <c:v>0.58252595155709341</c:v>
                </c:pt>
                <c:pt idx="4">
                  <c:v>0.87420903954802254</c:v>
                </c:pt>
                <c:pt idx="5">
                  <c:v>0.66617647058823526</c:v>
                </c:pt>
                <c:pt idx="6">
                  <c:v>0.99862700228832957</c:v>
                </c:pt>
                <c:pt idx="7">
                  <c:v>0.99941060903732815</c:v>
                </c:pt>
                <c:pt idx="8">
                  <c:v>0.99863813229571985</c:v>
                </c:pt>
                <c:pt idx="9">
                  <c:v>0.49953271028037383</c:v>
                </c:pt>
                <c:pt idx="10">
                  <c:v>0.99831932773109244</c:v>
                </c:pt>
                <c:pt idx="11">
                  <c:v>0.45783514492753619</c:v>
                </c:pt>
                <c:pt idx="12">
                  <c:v>0.91519157088122605</c:v>
                </c:pt>
                <c:pt idx="13">
                  <c:v>1</c:v>
                </c:pt>
                <c:pt idx="14">
                  <c:v>0.33333333333333331</c:v>
                </c:pt>
                <c:pt idx="15">
                  <c:v>0.62924657534246575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F/ADAPTER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0.7968571814037525</c:v>
                </c:pt>
                <c:pt idx="1">
                  <c:v>0.7968571814037525</c:v>
                </c:pt>
                <c:pt idx="2">
                  <c:v>0.7968571814037525</c:v>
                </c:pt>
                <c:pt idx="3">
                  <c:v>0.7968571814037525</c:v>
                </c:pt>
                <c:pt idx="4">
                  <c:v>0.7968571814037525</c:v>
                </c:pt>
                <c:pt idx="5">
                  <c:v>0.7968571814037525</c:v>
                </c:pt>
                <c:pt idx="6">
                  <c:v>0.7968571814037525</c:v>
                </c:pt>
                <c:pt idx="7">
                  <c:v>0.7968571814037525</c:v>
                </c:pt>
                <c:pt idx="8">
                  <c:v>0.7968571814037525</c:v>
                </c:pt>
                <c:pt idx="9">
                  <c:v>0.7968571814037525</c:v>
                </c:pt>
                <c:pt idx="10">
                  <c:v>0.7968571814037525</c:v>
                </c:pt>
                <c:pt idx="11">
                  <c:v>0.7968571814037525</c:v>
                </c:pt>
                <c:pt idx="12">
                  <c:v>0.7968571814037525</c:v>
                </c:pt>
                <c:pt idx="13">
                  <c:v>0.7968571814037525</c:v>
                </c:pt>
                <c:pt idx="14">
                  <c:v>0.7968571814037525</c:v>
                </c:pt>
                <c:pt idx="15">
                  <c:v>0.7968571814037525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597952"/>
        <c:axId val="384433472"/>
      </c:lineChart>
      <c:catAx>
        <c:axId val="61759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433472"/>
        <c:crosses val="autoZero"/>
        <c:auto val="1"/>
        <c:lblAlgn val="ctr"/>
        <c:lblOffset val="100"/>
        <c:noMultiLvlLbl val="0"/>
      </c:catAx>
      <c:valAx>
        <c:axId val="384433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759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915968"/>
        <c:axId val="3844359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15968"/>
        <c:axId val="384435904"/>
      </c:lineChart>
      <c:catAx>
        <c:axId val="616915968"/>
        <c:scaling>
          <c:orientation val="minMax"/>
        </c:scaling>
        <c:delete val="0"/>
        <c:axPos val="b"/>
        <c:majorTickMark val="out"/>
        <c:minorTickMark val="none"/>
        <c:tickLblPos val="nextTo"/>
        <c:crossAx val="384435904"/>
        <c:crosses val="autoZero"/>
        <c:auto val="1"/>
        <c:lblAlgn val="ctr"/>
        <c:lblOffset val="100"/>
        <c:noMultiLvlLbl val="0"/>
      </c:catAx>
      <c:valAx>
        <c:axId val="3844359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69159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'19'!$L$6:$L$23</c:f>
              <c:numCache>
                <c:formatCode>_(* #,##0_);_(* \(#,##0\);_(* "-"_);_(@_)</c:formatCode>
                <c:ptCount val="18"/>
                <c:pt idx="0">
                  <c:v>4488</c:v>
                </c:pt>
                <c:pt idx="1">
                  <c:v>2735</c:v>
                </c:pt>
                <c:pt idx="2">
                  <c:v>10740</c:v>
                </c:pt>
                <c:pt idx="3">
                  <c:v>4343</c:v>
                </c:pt>
                <c:pt idx="4">
                  <c:v>10604</c:v>
                </c:pt>
                <c:pt idx="5">
                  <c:v>5189</c:v>
                </c:pt>
                <c:pt idx="6">
                  <c:v>1737</c:v>
                </c:pt>
                <c:pt idx="7">
                  <c:v>2193</c:v>
                </c:pt>
                <c:pt idx="8">
                  <c:v>550</c:v>
                </c:pt>
                <c:pt idx="9">
                  <c:v>547</c:v>
                </c:pt>
                <c:pt idx="10">
                  <c:v>577</c:v>
                </c:pt>
                <c:pt idx="11">
                  <c:v>4788</c:v>
                </c:pt>
                <c:pt idx="12">
                  <c:v>3980</c:v>
                </c:pt>
                <c:pt idx="13">
                  <c:v>4808</c:v>
                </c:pt>
                <c:pt idx="14">
                  <c:v>4217</c:v>
                </c:pt>
                <c:pt idx="15">
                  <c:v>4263</c:v>
                </c:pt>
                <c:pt idx="16">
                  <c:v>10234</c:v>
                </c:pt>
                <c:pt idx="17">
                  <c:v>47368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'19'!$J$6:$J$23</c:f>
              <c:numCache>
                <c:formatCode>_(* #,##0_);_(* \(#,##0\);_(* "-"_);_(@_)</c:formatCode>
                <c:ptCount val="18"/>
                <c:pt idx="0">
                  <c:v>4490</c:v>
                </c:pt>
                <c:pt idx="1">
                  <c:v>2740</c:v>
                </c:pt>
                <c:pt idx="2">
                  <c:v>10740</c:v>
                </c:pt>
                <c:pt idx="3">
                  <c:v>4350</c:v>
                </c:pt>
                <c:pt idx="4">
                  <c:v>10610</c:v>
                </c:pt>
                <c:pt idx="5">
                  <c:v>5190</c:v>
                </c:pt>
                <c:pt idx="6">
                  <c:v>1740</c:v>
                </c:pt>
                <c:pt idx="7">
                  <c:v>2200</c:v>
                </c:pt>
                <c:pt idx="8">
                  <c:v>550</c:v>
                </c:pt>
                <c:pt idx="9">
                  <c:v>550</c:v>
                </c:pt>
                <c:pt idx="10">
                  <c:v>580</c:v>
                </c:pt>
                <c:pt idx="11">
                  <c:v>4790</c:v>
                </c:pt>
                <c:pt idx="12">
                  <c:v>3980</c:v>
                </c:pt>
                <c:pt idx="13">
                  <c:v>4810</c:v>
                </c:pt>
                <c:pt idx="14">
                  <c:v>4220</c:v>
                </c:pt>
                <c:pt idx="15">
                  <c:v>4270</c:v>
                </c:pt>
                <c:pt idx="16">
                  <c:v>10300</c:v>
                </c:pt>
                <c:pt idx="17">
                  <c:v>47370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82080"/>
        <c:axId val="384438784"/>
      </c:lineChart>
      <c:catAx>
        <c:axId val="630382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438784"/>
        <c:crosses val="autoZero"/>
        <c:auto val="1"/>
        <c:lblAlgn val="ctr"/>
        <c:lblOffset val="100"/>
        <c:noMultiLvlLbl val="0"/>
      </c:catAx>
      <c:valAx>
        <c:axId val="3844387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0382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'19'!$AD$6:$AD$23</c:f>
              <c:strCache>
                <c:ptCount val="1"/>
                <c:pt idx="0">
                  <c:v>100% 71% 100% 92% 100% 100% 42% 46% 13% 12% 17% 100% 83% 100% 87% 92% 99%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'19'!$AD$6:$AD$23</c:f>
              <c:numCache>
                <c:formatCode>0%</c:formatCode>
                <c:ptCount val="18"/>
                <c:pt idx="0">
                  <c:v>0.99955456570155898</c:v>
                </c:pt>
                <c:pt idx="1">
                  <c:v>0.70704075425790758</c:v>
                </c:pt>
                <c:pt idx="2">
                  <c:v>1</c:v>
                </c:pt>
                <c:pt idx="3">
                  <c:v>0.91519157088122605</c:v>
                </c:pt>
                <c:pt idx="4">
                  <c:v>0.99943449575871823</c:v>
                </c:pt>
                <c:pt idx="5">
                  <c:v>0.99980732177263965</c:v>
                </c:pt>
                <c:pt idx="6">
                  <c:v>0.41594827586206901</c:v>
                </c:pt>
                <c:pt idx="7">
                  <c:v>0.45687499999999998</c:v>
                </c:pt>
                <c:pt idx="8">
                  <c:v>0.125</c:v>
                </c:pt>
                <c:pt idx="9">
                  <c:v>0.12431818181818181</c:v>
                </c:pt>
                <c:pt idx="10">
                  <c:v>0.16580459770114941</c:v>
                </c:pt>
                <c:pt idx="11">
                  <c:v>0.99958246346555324</c:v>
                </c:pt>
                <c:pt idx="12">
                  <c:v>0.83333333333333337</c:v>
                </c:pt>
                <c:pt idx="13">
                  <c:v>0.99958419958419964</c:v>
                </c:pt>
                <c:pt idx="14">
                  <c:v>0.87437796208530805</c:v>
                </c:pt>
                <c:pt idx="15">
                  <c:v>0.91516393442622945</c:v>
                </c:pt>
                <c:pt idx="16">
                  <c:v>0.99359223300970878</c:v>
                </c:pt>
                <c:pt idx="17">
                  <c:v>0.99995777918513828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'19'!$AE$6:$AE$23</c:f>
              <c:numCache>
                <c:formatCode>0%</c:formatCode>
                <c:ptCount val="18"/>
                <c:pt idx="0">
                  <c:v>0.90163777792286137</c:v>
                </c:pt>
                <c:pt idx="1">
                  <c:v>0.90163777792286137</c:v>
                </c:pt>
                <c:pt idx="2">
                  <c:v>0.90163777792286137</c:v>
                </c:pt>
                <c:pt idx="3">
                  <c:v>0.90163777792286137</c:v>
                </c:pt>
                <c:pt idx="4">
                  <c:v>0.90163777792286137</c:v>
                </c:pt>
                <c:pt idx="5">
                  <c:v>0.90163777792286137</c:v>
                </c:pt>
                <c:pt idx="6">
                  <c:v>0.90163777792286137</c:v>
                </c:pt>
                <c:pt idx="7">
                  <c:v>0.90163777792286137</c:v>
                </c:pt>
                <c:pt idx="8">
                  <c:v>0.90163777792286137</c:v>
                </c:pt>
                <c:pt idx="9">
                  <c:v>0.90163777792286137</c:v>
                </c:pt>
                <c:pt idx="10">
                  <c:v>0.90163777792286137</c:v>
                </c:pt>
                <c:pt idx="11">
                  <c:v>0.90163777792286137</c:v>
                </c:pt>
                <c:pt idx="12">
                  <c:v>0.90163777792286137</c:v>
                </c:pt>
                <c:pt idx="13">
                  <c:v>0.90163777792286137</c:v>
                </c:pt>
                <c:pt idx="14">
                  <c:v>0.90163777792286137</c:v>
                </c:pt>
                <c:pt idx="15">
                  <c:v>0.90163777792286137</c:v>
                </c:pt>
                <c:pt idx="16">
                  <c:v>0.90163777792286137</c:v>
                </c:pt>
                <c:pt idx="17">
                  <c:v>0.90163777792286137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850560"/>
        <c:axId val="384440512"/>
      </c:lineChart>
      <c:catAx>
        <c:axId val="63885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440512"/>
        <c:crosses val="autoZero"/>
        <c:auto val="1"/>
        <c:lblAlgn val="ctr"/>
        <c:lblOffset val="100"/>
        <c:noMultiLvlLbl val="0"/>
      </c:catAx>
      <c:valAx>
        <c:axId val="3844405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885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'19'!$L$6:$L$23</c:f>
              <c:numCache>
                <c:formatCode>_(* #,##0_);_(* \(#,##0\);_(* "-"_);_(@_)</c:formatCode>
                <c:ptCount val="18"/>
                <c:pt idx="0">
                  <c:v>4488</c:v>
                </c:pt>
                <c:pt idx="1">
                  <c:v>2735</c:v>
                </c:pt>
                <c:pt idx="2">
                  <c:v>10740</c:v>
                </c:pt>
                <c:pt idx="3">
                  <c:v>4343</c:v>
                </c:pt>
                <c:pt idx="4">
                  <c:v>10604</c:v>
                </c:pt>
                <c:pt idx="5">
                  <c:v>5189</c:v>
                </c:pt>
                <c:pt idx="6">
                  <c:v>1737</c:v>
                </c:pt>
                <c:pt idx="7">
                  <c:v>2193</c:v>
                </c:pt>
                <c:pt idx="8">
                  <c:v>550</c:v>
                </c:pt>
                <c:pt idx="9">
                  <c:v>547</c:v>
                </c:pt>
                <c:pt idx="10">
                  <c:v>577</c:v>
                </c:pt>
                <c:pt idx="11">
                  <c:v>4788</c:v>
                </c:pt>
                <c:pt idx="12">
                  <c:v>3980</c:v>
                </c:pt>
                <c:pt idx="13">
                  <c:v>4808</c:v>
                </c:pt>
                <c:pt idx="14">
                  <c:v>4217</c:v>
                </c:pt>
                <c:pt idx="15">
                  <c:v>4263</c:v>
                </c:pt>
                <c:pt idx="16">
                  <c:v>10234</c:v>
                </c:pt>
                <c:pt idx="17">
                  <c:v>47368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'19'!$J$6:$J$23</c:f>
              <c:numCache>
                <c:formatCode>_(* #,##0_);_(* \(#,##0\);_(* "-"_);_(@_)</c:formatCode>
                <c:ptCount val="18"/>
                <c:pt idx="0">
                  <c:v>4490</c:v>
                </c:pt>
                <c:pt idx="1">
                  <c:v>2740</c:v>
                </c:pt>
                <c:pt idx="2">
                  <c:v>10740</c:v>
                </c:pt>
                <c:pt idx="3">
                  <c:v>4350</c:v>
                </c:pt>
                <c:pt idx="4">
                  <c:v>10610</c:v>
                </c:pt>
                <c:pt idx="5">
                  <c:v>5190</c:v>
                </c:pt>
                <c:pt idx="6">
                  <c:v>1740</c:v>
                </c:pt>
                <c:pt idx="7">
                  <c:v>2200</c:v>
                </c:pt>
                <c:pt idx="8">
                  <c:v>550</c:v>
                </c:pt>
                <c:pt idx="9">
                  <c:v>550</c:v>
                </c:pt>
                <c:pt idx="10">
                  <c:v>580</c:v>
                </c:pt>
                <c:pt idx="11">
                  <c:v>4790</c:v>
                </c:pt>
                <c:pt idx="12">
                  <c:v>3980</c:v>
                </c:pt>
                <c:pt idx="13">
                  <c:v>4810</c:v>
                </c:pt>
                <c:pt idx="14">
                  <c:v>4220</c:v>
                </c:pt>
                <c:pt idx="15">
                  <c:v>4270</c:v>
                </c:pt>
                <c:pt idx="16">
                  <c:v>10300</c:v>
                </c:pt>
                <c:pt idx="17">
                  <c:v>47370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851072"/>
        <c:axId val="384418368"/>
      </c:lineChart>
      <c:catAx>
        <c:axId val="638851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418368"/>
        <c:crosses val="autoZero"/>
        <c:auto val="1"/>
        <c:lblAlgn val="ctr"/>
        <c:lblOffset val="100"/>
        <c:noMultiLvlLbl val="0"/>
      </c:catAx>
      <c:valAx>
        <c:axId val="384418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885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'19'!$AD$6:$AD$23</c:f>
              <c:strCache>
                <c:ptCount val="1"/>
                <c:pt idx="0">
                  <c:v>100% 71% 100% 92% 100% 100% 42% 46% 13% 12% 17% 100% 83% 100% 87% 92% 99%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'19'!$AD$6:$AD$23</c:f>
              <c:numCache>
                <c:formatCode>0%</c:formatCode>
                <c:ptCount val="18"/>
                <c:pt idx="0">
                  <c:v>0.99955456570155898</c:v>
                </c:pt>
                <c:pt idx="1">
                  <c:v>0.70704075425790758</c:v>
                </c:pt>
                <c:pt idx="2">
                  <c:v>1</c:v>
                </c:pt>
                <c:pt idx="3">
                  <c:v>0.91519157088122605</c:v>
                </c:pt>
                <c:pt idx="4">
                  <c:v>0.99943449575871823</c:v>
                </c:pt>
                <c:pt idx="5">
                  <c:v>0.99980732177263965</c:v>
                </c:pt>
                <c:pt idx="6">
                  <c:v>0.41594827586206901</c:v>
                </c:pt>
                <c:pt idx="7">
                  <c:v>0.45687499999999998</c:v>
                </c:pt>
                <c:pt idx="8">
                  <c:v>0.125</c:v>
                </c:pt>
                <c:pt idx="9">
                  <c:v>0.12431818181818181</c:v>
                </c:pt>
                <c:pt idx="10">
                  <c:v>0.16580459770114941</c:v>
                </c:pt>
                <c:pt idx="11">
                  <c:v>0.99958246346555324</c:v>
                </c:pt>
                <c:pt idx="12">
                  <c:v>0.83333333333333337</c:v>
                </c:pt>
                <c:pt idx="13">
                  <c:v>0.99958419958419964</c:v>
                </c:pt>
                <c:pt idx="14">
                  <c:v>0.87437796208530805</c:v>
                </c:pt>
                <c:pt idx="15">
                  <c:v>0.91516393442622945</c:v>
                </c:pt>
                <c:pt idx="16">
                  <c:v>0.99359223300970878</c:v>
                </c:pt>
                <c:pt idx="17">
                  <c:v>0.99995777918513828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'19'!$D$6:$D$23</c:f>
              <c:strCache>
                <c:ptCount val="17"/>
                <c:pt idx="0">
                  <c:v>COVER</c:v>
                </c:pt>
                <c:pt idx="1">
                  <c:v>BODY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LEAD GUIDE</c:v>
                </c:pt>
                <c:pt idx="9">
                  <c:v>STOPPER</c:v>
                </c:pt>
                <c:pt idx="10">
                  <c:v>ACTUATOR</c:v>
                </c:pt>
                <c:pt idx="11">
                  <c:v>COVER</c:v>
                </c:pt>
                <c:pt idx="12">
                  <c:v>SAM</c:v>
                </c:pt>
                <c:pt idx="13">
                  <c:v>BODY</c:v>
                </c:pt>
                <c:pt idx="14">
                  <c:v>IC GUIDE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'19'!$AE$6:$AE$23</c:f>
              <c:numCache>
                <c:formatCode>0%</c:formatCode>
                <c:ptCount val="18"/>
                <c:pt idx="0">
                  <c:v>0.90163777792286137</c:v>
                </c:pt>
                <c:pt idx="1">
                  <c:v>0.90163777792286137</c:v>
                </c:pt>
                <c:pt idx="2">
                  <c:v>0.90163777792286137</c:v>
                </c:pt>
                <c:pt idx="3">
                  <c:v>0.90163777792286137</c:v>
                </c:pt>
                <c:pt idx="4">
                  <c:v>0.90163777792286137</c:v>
                </c:pt>
                <c:pt idx="5">
                  <c:v>0.90163777792286137</c:v>
                </c:pt>
                <c:pt idx="6">
                  <c:v>0.90163777792286137</c:v>
                </c:pt>
                <c:pt idx="7">
                  <c:v>0.90163777792286137</c:v>
                </c:pt>
                <c:pt idx="8">
                  <c:v>0.90163777792286137</c:v>
                </c:pt>
                <c:pt idx="9">
                  <c:v>0.90163777792286137</c:v>
                </c:pt>
                <c:pt idx="10">
                  <c:v>0.90163777792286137</c:v>
                </c:pt>
                <c:pt idx="11">
                  <c:v>0.90163777792286137</c:v>
                </c:pt>
                <c:pt idx="12">
                  <c:v>0.90163777792286137</c:v>
                </c:pt>
                <c:pt idx="13">
                  <c:v>0.90163777792286137</c:v>
                </c:pt>
                <c:pt idx="14">
                  <c:v>0.90163777792286137</c:v>
                </c:pt>
                <c:pt idx="15">
                  <c:v>0.90163777792286137</c:v>
                </c:pt>
                <c:pt idx="16">
                  <c:v>0.90163777792286137</c:v>
                </c:pt>
                <c:pt idx="17">
                  <c:v>0.90163777792286137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852096"/>
        <c:axId val="384420096"/>
      </c:lineChart>
      <c:catAx>
        <c:axId val="63885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4420096"/>
        <c:crosses val="autoZero"/>
        <c:auto val="1"/>
        <c:lblAlgn val="ctr"/>
        <c:lblOffset val="100"/>
        <c:noMultiLvlLbl val="0"/>
      </c:catAx>
      <c:valAx>
        <c:axId val="384420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885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020736"/>
        <c:axId val="3844224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020736"/>
        <c:axId val="384422400"/>
      </c:lineChart>
      <c:catAx>
        <c:axId val="61202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84422400"/>
        <c:crosses val="autoZero"/>
        <c:auto val="1"/>
        <c:lblAlgn val="ctr"/>
        <c:lblOffset val="100"/>
        <c:noMultiLvlLbl val="0"/>
      </c:catAx>
      <c:valAx>
        <c:axId val="384422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20207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4483</c:v>
                </c:pt>
                <c:pt idx="1">
                  <c:v>8504</c:v>
                </c:pt>
                <c:pt idx="3">
                  <c:v>5880</c:v>
                </c:pt>
                <c:pt idx="4">
                  <c:v>6710</c:v>
                </c:pt>
                <c:pt idx="6">
                  <c:v>2292</c:v>
                </c:pt>
                <c:pt idx="7">
                  <c:v>4807</c:v>
                </c:pt>
                <c:pt idx="10">
                  <c:v>1957</c:v>
                </c:pt>
                <c:pt idx="11">
                  <c:v>2878</c:v>
                </c:pt>
                <c:pt idx="12">
                  <c:v>2325</c:v>
                </c:pt>
                <c:pt idx="13">
                  <c:v>3622</c:v>
                </c:pt>
                <c:pt idx="15">
                  <c:v>47016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4490</c:v>
                </c:pt>
                <c:pt idx="1">
                  <c:v>8510</c:v>
                </c:pt>
                <c:pt idx="2">
                  <c:v>10740</c:v>
                </c:pt>
                <c:pt idx="3">
                  <c:v>5880</c:v>
                </c:pt>
                <c:pt idx="4">
                  <c:v>6710</c:v>
                </c:pt>
                <c:pt idx="5">
                  <c:v>5190</c:v>
                </c:pt>
                <c:pt idx="6">
                  <c:v>2300</c:v>
                </c:pt>
                <c:pt idx="7">
                  <c:v>4810</c:v>
                </c:pt>
                <c:pt idx="8">
                  <c:v>4790</c:v>
                </c:pt>
                <c:pt idx="9">
                  <c:v>3980</c:v>
                </c:pt>
                <c:pt idx="10">
                  <c:v>1960</c:v>
                </c:pt>
                <c:pt idx="11">
                  <c:v>2880</c:v>
                </c:pt>
                <c:pt idx="12">
                  <c:v>2330</c:v>
                </c:pt>
                <c:pt idx="13">
                  <c:v>3630</c:v>
                </c:pt>
                <c:pt idx="14">
                  <c:v>10300</c:v>
                </c:pt>
                <c:pt idx="15">
                  <c:v>47020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320064"/>
        <c:axId val="384425280"/>
      </c:lineChart>
      <c:catAx>
        <c:axId val="3833200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4425280"/>
        <c:crosses val="autoZero"/>
        <c:auto val="1"/>
        <c:lblAlgn val="ctr"/>
        <c:lblOffset val="100"/>
        <c:noMultiLvlLbl val="0"/>
      </c:catAx>
      <c:valAx>
        <c:axId val="384425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3320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100% 87% 0% 100% 79% 0% 50% 100% 0% 0% 42% 50% 46% 83%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0.99844097995545655</c:v>
                </c:pt>
                <c:pt idx="1">
                  <c:v>0.87438307873090482</c:v>
                </c:pt>
                <c:pt idx="2">
                  <c:v>0</c:v>
                </c:pt>
                <c:pt idx="3">
                  <c:v>1</c:v>
                </c:pt>
                <c:pt idx="4">
                  <c:v>0.79166666666666663</c:v>
                </c:pt>
                <c:pt idx="5">
                  <c:v>0</c:v>
                </c:pt>
                <c:pt idx="6">
                  <c:v>0.49826086956521737</c:v>
                </c:pt>
                <c:pt idx="7">
                  <c:v>0.99937629937629935</c:v>
                </c:pt>
                <c:pt idx="8">
                  <c:v>0</c:v>
                </c:pt>
                <c:pt idx="9">
                  <c:v>0</c:v>
                </c:pt>
                <c:pt idx="10">
                  <c:v>0.4160289115646259</c:v>
                </c:pt>
                <c:pt idx="11">
                  <c:v>0.49965277777777778</c:v>
                </c:pt>
                <c:pt idx="12">
                  <c:v>0.45734978540772531</c:v>
                </c:pt>
                <c:pt idx="13">
                  <c:v>0.83149678604224053</c:v>
                </c:pt>
                <c:pt idx="14">
                  <c:v>0</c:v>
                </c:pt>
                <c:pt idx="15">
                  <c:v>0.99991492981709906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0.55777140566026751</c:v>
                </c:pt>
                <c:pt idx="1">
                  <c:v>0.55777140566026751</c:v>
                </c:pt>
                <c:pt idx="2">
                  <c:v>0.55777140566026751</c:v>
                </c:pt>
                <c:pt idx="3">
                  <c:v>0.55777140566026751</c:v>
                </c:pt>
                <c:pt idx="4">
                  <c:v>0.55777140566026751</c:v>
                </c:pt>
                <c:pt idx="5">
                  <c:v>0.55777140566026751</c:v>
                </c:pt>
                <c:pt idx="6">
                  <c:v>0.55777140566026751</c:v>
                </c:pt>
                <c:pt idx="7">
                  <c:v>0.55777140566026751</c:v>
                </c:pt>
                <c:pt idx="8">
                  <c:v>0.55777140566026751</c:v>
                </c:pt>
                <c:pt idx="9">
                  <c:v>0.55777140566026751</c:v>
                </c:pt>
                <c:pt idx="10">
                  <c:v>0.55777140566026751</c:v>
                </c:pt>
                <c:pt idx="11">
                  <c:v>0.55777140566026751</c:v>
                </c:pt>
                <c:pt idx="12">
                  <c:v>0.55777140566026751</c:v>
                </c:pt>
                <c:pt idx="13">
                  <c:v>0.55777140566026751</c:v>
                </c:pt>
                <c:pt idx="14">
                  <c:v>0.55777140566026751</c:v>
                </c:pt>
                <c:pt idx="15">
                  <c:v>0.55777140566026751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321088"/>
        <c:axId val="351798400"/>
      </c:lineChart>
      <c:catAx>
        <c:axId val="3833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1798400"/>
        <c:crosses val="autoZero"/>
        <c:auto val="1"/>
        <c:lblAlgn val="ctr"/>
        <c:lblOffset val="100"/>
        <c:noMultiLvlLbl val="0"/>
      </c:catAx>
      <c:valAx>
        <c:axId val="351798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332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4483</c:v>
                </c:pt>
                <c:pt idx="1">
                  <c:v>8504</c:v>
                </c:pt>
                <c:pt idx="3">
                  <c:v>5880</c:v>
                </c:pt>
                <c:pt idx="4">
                  <c:v>6710</c:v>
                </c:pt>
                <c:pt idx="6">
                  <c:v>2292</c:v>
                </c:pt>
                <c:pt idx="7">
                  <c:v>4807</c:v>
                </c:pt>
                <c:pt idx="10">
                  <c:v>1957</c:v>
                </c:pt>
                <c:pt idx="11">
                  <c:v>2878</c:v>
                </c:pt>
                <c:pt idx="12">
                  <c:v>2325</c:v>
                </c:pt>
                <c:pt idx="13">
                  <c:v>3622</c:v>
                </c:pt>
                <c:pt idx="15">
                  <c:v>47016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4490</c:v>
                </c:pt>
                <c:pt idx="1">
                  <c:v>8510</c:v>
                </c:pt>
                <c:pt idx="2">
                  <c:v>10740</c:v>
                </c:pt>
                <c:pt idx="3">
                  <c:v>5880</c:v>
                </c:pt>
                <c:pt idx="4">
                  <c:v>6710</c:v>
                </c:pt>
                <c:pt idx="5">
                  <c:v>5190</c:v>
                </c:pt>
                <c:pt idx="6">
                  <c:v>2300</c:v>
                </c:pt>
                <c:pt idx="7">
                  <c:v>4810</c:v>
                </c:pt>
                <c:pt idx="8">
                  <c:v>4790</c:v>
                </c:pt>
                <c:pt idx="9">
                  <c:v>3980</c:v>
                </c:pt>
                <c:pt idx="10">
                  <c:v>1960</c:v>
                </c:pt>
                <c:pt idx="11">
                  <c:v>2880</c:v>
                </c:pt>
                <c:pt idx="12">
                  <c:v>2330</c:v>
                </c:pt>
                <c:pt idx="13">
                  <c:v>3630</c:v>
                </c:pt>
                <c:pt idx="14">
                  <c:v>10300</c:v>
                </c:pt>
                <c:pt idx="15">
                  <c:v>47020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321600"/>
        <c:axId val="351800704"/>
      </c:lineChart>
      <c:catAx>
        <c:axId val="3833216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1800704"/>
        <c:crosses val="autoZero"/>
        <c:auto val="1"/>
        <c:lblAlgn val="ctr"/>
        <c:lblOffset val="100"/>
        <c:noMultiLvlLbl val="0"/>
      </c:catAx>
      <c:valAx>
        <c:axId val="3518007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332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100% 87% 0% 100% 79% 0% 50% 100% 0% 0% 42% 50% 46% 83%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0.99844097995545655</c:v>
                </c:pt>
                <c:pt idx="1">
                  <c:v>0.87438307873090482</c:v>
                </c:pt>
                <c:pt idx="2">
                  <c:v>0</c:v>
                </c:pt>
                <c:pt idx="3">
                  <c:v>1</c:v>
                </c:pt>
                <c:pt idx="4">
                  <c:v>0.79166666666666663</c:v>
                </c:pt>
                <c:pt idx="5">
                  <c:v>0</c:v>
                </c:pt>
                <c:pt idx="6">
                  <c:v>0.49826086956521737</c:v>
                </c:pt>
                <c:pt idx="7">
                  <c:v>0.99937629937629935</c:v>
                </c:pt>
                <c:pt idx="8">
                  <c:v>0</c:v>
                </c:pt>
                <c:pt idx="9">
                  <c:v>0</c:v>
                </c:pt>
                <c:pt idx="10">
                  <c:v>0.4160289115646259</c:v>
                </c:pt>
                <c:pt idx="11">
                  <c:v>0.49965277777777778</c:v>
                </c:pt>
                <c:pt idx="12">
                  <c:v>0.45734978540772531</c:v>
                </c:pt>
                <c:pt idx="13">
                  <c:v>0.83149678604224053</c:v>
                </c:pt>
                <c:pt idx="14">
                  <c:v>0</c:v>
                </c:pt>
                <c:pt idx="15">
                  <c:v>0.99991492981709906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5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BODY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0.55777140566026751</c:v>
                </c:pt>
                <c:pt idx="1">
                  <c:v>0.55777140566026751</c:v>
                </c:pt>
                <c:pt idx="2">
                  <c:v>0.55777140566026751</c:v>
                </c:pt>
                <c:pt idx="3">
                  <c:v>0.55777140566026751</c:v>
                </c:pt>
                <c:pt idx="4">
                  <c:v>0.55777140566026751</c:v>
                </c:pt>
                <c:pt idx="5">
                  <c:v>0.55777140566026751</c:v>
                </c:pt>
                <c:pt idx="6">
                  <c:v>0.55777140566026751</c:v>
                </c:pt>
                <c:pt idx="7">
                  <c:v>0.55777140566026751</c:v>
                </c:pt>
                <c:pt idx="8">
                  <c:v>0.55777140566026751</c:v>
                </c:pt>
                <c:pt idx="9">
                  <c:v>0.55777140566026751</c:v>
                </c:pt>
                <c:pt idx="10">
                  <c:v>0.55777140566026751</c:v>
                </c:pt>
                <c:pt idx="11">
                  <c:v>0.55777140566026751</c:v>
                </c:pt>
                <c:pt idx="12">
                  <c:v>0.55777140566026751</c:v>
                </c:pt>
                <c:pt idx="13">
                  <c:v>0.55777140566026751</c:v>
                </c:pt>
                <c:pt idx="14">
                  <c:v>0.55777140566026751</c:v>
                </c:pt>
                <c:pt idx="15">
                  <c:v>0.55777140566026751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322112"/>
        <c:axId val="351802432"/>
      </c:lineChart>
      <c:catAx>
        <c:axId val="3833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1802432"/>
        <c:crosses val="autoZero"/>
        <c:auto val="1"/>
        <c:lblAlgn val="ctr"/>
        <c:lblOffset val="100"/>
        <c:noMultiLvlLbl val="0"/>
      </c:catAx>
      <c:valAx>
        <c:axId val="351802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3322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322624"/>
        <c:axId val="3518047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322624"/>
        <c:axId val="351804736"/>
      </c:lineChart>
      <c:catAx>
        <c:axId val="38332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351804736"/>
        <c:crosses val="autoZero"/>
        <c:auto val="1"/>
        <c:lblAlgn val="ctr"/>
        <c:lblOffset val="100"/>
        <c:noMultiLvlLbl val="0"/>
      </c:catAx>
      <c:valAx>
        <c:axId val="351804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833226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4482</c:v>
                </c:pt>
                <c:pt idx="1">
                  <c:v>4080</c:v>
                </c:pt>
                <c:pt idx="2">
                  <c:v>8372</c:v>
                </c:pt>
                <c:pt idx="3">
                  <c:v>6113</c:v>
                </c:pt>
                <c:pt idx="4">
                  <c:v>10546</c:v>
                </c:pt>
                <c:pt idx="6">
                  <c:v>5147</c:v>
                </c:pt>
                <c:pt idx="7">
                  <c:v>1937</c:v>
                </c:pt>
                <c:pt idx="8">
                  <c:v>466</c:v>
                </c:pt>
                <c:pt idx="9">
                  <c:v>522</c:v>
                </c:pt>
                <c:pt idx="12">
                  <c:v>5819</c:v>
                </c:pt>
                <c:pt idx="13">
                  <c:v>4034</c:v>
                </c:pt>
                <c:pt idx="14">
                  <c:v>3574</c:v>
                </c:pt>
                <c:pt idx="16">
                  <c:v>47284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4490</c:v>
                </c:pt>
                <c:pt idx="1">
                  <c:v>4080</c:v>
                </c:pt>
                <c:pt idx="2">
                  <c:v>8380</c:v>
                </c:pt>
                <c:pt idx="3">
                  <c:v>6120</c:v>
                </c:pt>
                <c:pt idx="4">
                  <c:v>10550</c:v>
                </c:pt>
                <c:pt idx="5">
                  <c:v>5190</c:v>
                </c:pt>
                <c:pt idx="6">
                  <c:v>5150</c:v>
                </c:pt>
                <c:pt idx="7">
                  <c:v>1940</c:v>
                </c:pt>
                <c:pt idx="8">
                  <c:v>470</c:v>
                </c:pt>
                <c:pt idx="9">
                  <c:v>530</c:v>
                </c:pt>
                <c:pt idx="10">
                  <c:v>4790</c:v>
                </c:pt>
                <c:pt idx="11">
                  <c:v>3980</c:v>
                </c:pt>
                <c:pt idx="12">
                  <c:v>5820</c:v>
                </c:pt>
                <c:pt idx="13">
                  <c:v>4040</c:v>
                </c:pt>
                <c:pt idx="14">
                  <c:v>3580</c:v>
                </c:pt>
                <c:pt idx="15">
                  <c:v>10300</c:v>
                </c:pt>
                <c:pt idx="16">
                  <c:v>47300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05792"/>
        <c:axId val="383625472"/>
      </c:lineChart>
      <c:catAx>
        <c:axId val="6127057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625472"/>
        <c:crosses val="autoZero"/>
        <c:auto val="1"/>
        <c:lblAlgn val="ctr"/>
        <c:lblOffset val="100"/>
        <c:noMultiLvlLbl val="0"/>
      </c:catAx>
      <c:valAx>
        <c:axId val="3836254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705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"/>
                <c:pt idx="0">
                  <c:v>100% 92% 87% 100% 100% 0% 100% 37% 12% 16% 0% 0% 100% 83% 83%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0.99821826280623605</c:v>
                </c:pt>
                <c:pt idx="1">
                  <c:v>0.91666666666666663</c:v>
                </c:pt>
                <c:pt idx="2">
                  <c:v>0.87416467780429596</c:v>
                </c:pt>
                <c:pt idx="3">
                  <c:v>0.9988562091503268</c:v>
                </c:pt>
                <c:pt idx="4">
                  <c:v>0.99962085308056869</c:v>
                </c:pt>
                <c:pt idx="5">
                  <c:v>0</c:v>
                </c:pt>
                <c:pt idx="6">
                  <c:v>0.99941747572815531</c:v>
                </c:pt>
                <c:pt idx="7">
                  <c:v>0.37442010309278351</c:v>
                </c:pt>
                <c:pt idx="8">
                  <c:v>0.12393617021276596</c:v>
                </c:pt>
                <c:pt idx="9">
                  <c:v>0.16415094339622641</c:v>
                </c:pt>
                <c:pt idx="10">
                  <c:v>0</c:v>
                </c:pt>
                <c:pt idx="11">
                  <c:v>0</c:v>
                </c:pt>
                <c:pt idx="12">
                  <c:v>0.99982817869415808</c:v>
                </c:pt>
                <c:pt idx="13">
                  <c:v>0.83209570957095713</c:v>
                </c:pt>
                <c:pt idx="14">
                  <c:v>0.83193668528864062</c:v>
                </c:pt>
                <c:pt idx="15">
                  <c:v>0</c:v>
                </c:pt>
                <c:pt idx="16">
                  <c:v>0.99966173361522204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0.67419824460713351</c:v>
                </c:pt>
                <c:pt idx="1">
                  <c:v>0.67419824460713351</c:v>
                </c:pt>
                <c:pt idx="2">
                  <c:v>0.67419824460713351</c:v>
                </c:pt>
                <c:pt idx="3">
                  <c:v>0.67419824460713351</c:v>
                </c:pt>
                <c:pt idx="4">
                  <c:v>0.67419824460713351</c:v>
                </c:pt>
                <c:pt idx="5">
                  <c:v>0.67419824460713351</c:v>
                </c:pt>
                <c:pt idx="6">
                  <c:v>0.67419824460713351</c:v>
                </c:pt>
                <c:pt idx="7">
                  <c:v>0.67419824460713351</c:v>
                </c:pt>
                <c:pt idx="8">
                  <c:v>0.67419824460713351</c:v>
                </c:pt>
                <c:pt idx="9">
                  <c:v>0.67419824460713351</c:v>
                </c:pt>
                <c:pt idx="10">
                  <c:v>0.67419824460713351</c:v>
                </c:pt>
                <c:pt idx="11">
                  <c:v>0.67419824460713351</c:v>
                </c:pt>
                <c:pt idx="12">
                  <c:v>0.67419824460713351</c:v>
                </c:pt>
                <c:pt idx="13">
                  <c:v>0.67419824460713351</c:v>
                </c:pt>
                <c:pt idx="14">
                  <c:v>0.67419824460713351</c:v>
                </c:pt>
                <c:pt idx="15">
                  <c:v>0.67419824460713351</c:v>
                </c:pt>
                <c:pt idx="16">
                  <c:v>0.67419824460713351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07840"/>
        <c:axId val="383627200"/>
      </c:lineChart>
      <c:catAx>
        <c:axId val="61270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627200"/>
        <c:crosses val="autoZero"/>
        <c:auto val="1"/>
        <c:lblAlgn val="ctr"/>
        <c:lblOffset val="100"/>
        <c:noMultiLvlLbl val="0"/>
      </c:catAx>
      <c:valAx>
        <c:axId val="383627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707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4482</c:v>
                </c:pt>
                <c:pt idx="1">
                  <c:v>4080</c:v>
                </c:pt>
                <c:pt idx="2">
                  <c:v>8372</c:v>
                </c:pt>
                <c:pt idx="3">
                  <c:v>6113</c:v>
                </c:pt>
                <c:pt idx="4">
                  <c:v>10546</c:v>
                </c:pt>
                <c:pt idx="6">
                  <c:v>5147</c:v>
                </c:pt>
                <c:pt idx="7">
                  <c:v>1937</c:v>
                </c:pt>
                <c:pt idx="8">
                  <c:v>466</c:v>
                </c:pt>
                <c:pt idx="9">
                  <c:v>522</c:v>
                </c:pt>
                <c:pt idx="12">
                  <c:v>5819</c:v>
                </c:pt>
                <c:pt idx="13">
                  <c:v>4034</c:v>
                </c:pt>
                <c:pt idx="14">
                  <c:v>3574</c:v>
                </c:pt>
                <c:pt idx="16">
                  <c:v>47284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4490</c:v>
                </c:pt>
                <c:pt idx="1">
                  <c:v>4080</c:v>
                </c:pt>
                <c:pt idx="2">
                  <c:v>8380</c:v>
                </c:pt>
                <c:pt idx="3">
                  <c:v>6120</c:v>
                </c:pt>
                <c:pt idx="4">
                  <c:v>10550</c:v>
                </c:pt>
                <c:pt idx="5">
                  <c:v>5190</c:v>
                </c:pt>
                <c:pt idx="6">
                  <c:v>5150</c:v>
                </c:pt>
                <c:pt idx="7">
                  <c:v>1940</c:v>
                </c:pt>
                <c:pt idx="8">
                  <c:v>470</c:v>
                </c:pt>
                <c:pt idx="9">
                  <c:v>530</c:v>
                </c:pt>
                <c:pt idx="10">
                  <c:v>4790</c:v>
                </c:pt>
                <c:pt idx="11">
                  <c:v>3980</c:v>
                </c:pt>
                <c:pt idx="12">
                  <c:v>5820</c:v>
                </c:pt>
                <c:pt idx="13">
                  <c:v>4040</c:v>
                </c:pt>
                <c:pt idx="14">
                  <c:v>3580</c:v>
                </c:pt>
                <c:pt idx="15">
                  <c:v>10300</c:v>
                </c:pt>
                <c:pt idx="16">
                  <c:v>47300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94080"/>
        <c:axId val="383629504"/>
      </c:lineChart>
      <c:catAx>
        <c:axId val="613294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629504"/>
        <c:crosses val="autoZero"/>
        <c:auto val="1"/>
        <c:lblAlgn val="ctr"/>
        <c:lblOffset val="100"/>
        <c:noMultiLvlLbl val="0"/>
      </c:catAx>
      <c:valAx>
        <c:axId val="3836295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329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"/>
                <c:pt idx="0">
                  <c:v>100% 92% 87% 100% 100% 0% 100% 37% 12% 16% 0% 0% 100% 83% 83%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0.99821826280623605</c:v>
                </c:pt>
                <c:pt idx="1">
                  <c:v>0.91666666666666663</c:v>
                </c:pt>
                <c:pt idx="2">
                  <c:v>0.87416467780429596</c:v>
                </c:pt>
                <c:pt idx="3">
                  <c:v>0.9988562091503268</c:v>
                </c:pt>
                <c:pt idx="4">
                  <c:v>0.99962085308056869</c:v>
                </c:pt>
                <c:pt idx="5">
                  <c:v>0</c:v>
                </c:pt>
                <c:pt idx="6">
                  <c:v>0.99941747572815531</c:v>
                </c:pt>
                <c:pt idx="7">
                  <c:v>0.37442010309278351</c:v>
                </c:pt>
                <c:pt idx="8">
                  <c:v>0.12393617021276596</c:v>
                </c:pt>
                <c:pt idx="9">
                  <c:v>0.16415094339622641</c:v>
                </c:pt>
                <c:pt idx="10">
                  <c:v>0</c:v>
                </c:pt>
                <c:pt idx="11">
                  <c:v>0</c:v>
                </c:pt>
                <c:pt idx="12">
                  <c:v>0.99982817869415808</c:v>
                </c:pt>
                <c:pt idx="13">
                  <c:v>0.83209570957095713</c:v>
                </c:pt>
                <c:pt idx="14">
                  <c:v>0.83193668528864062</c:v>
                </c:pt>
                <c:pt idx="15">
                  <c:v>0</c:v>
                </c:pt>
                <c:pt idx="16">
                  <c:v>0.99966173361522204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'21'!$D$6:$D$22</c:f>
              <c:strCache>
                <c:ptCount val="16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M2.CONN'</c:v>
                </c:pt>
                <c:pt idx="9">
                  <c:v>BASE</c:v>
                </c:pt>
                <c:pt idx="10">
                  <c:v>COVER</c:v>
                </c:pt>
                <c:pt idx="11">
                  <c:v>SAM</c:v>
                </c:pt>
                <c:pt idx="12">
                  <c:v>LEAD GUIDE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0.67419824460713351</c:v>
                </c:pt>
                <c:pt idx="1">
                  <c:v>0.67419824460713351</c:v>
                </c:pt>
                <c:pt idx="2">
                  <c:v>0.67419824460713351</c:v>
                </c:pt>
                <c:pt idx="3">
                  <c:v>0.67419824460713351</c:v>
                </c:pt>
                <c:pt idx="4">
                  <c:v>0.67419824460713351</c:v>
                </c:pt>
                <c:pt idx="5">
                  <c:v>0.67419824460713351</c:v>
                </c:pt>
                <c:pt idx="6">
                  <c:v>0.67419824460713351</c:v>
                </c:pt>
                <c:pt idx="7">
                  <c:v>0.67419824460713351</c:v>
                </c:pt>
                <c:pt idx="8">
                  <c:v>0.67419824460713351</c:v>
                </c:pt>
                <c:pt idx="9">
                  <c:v>0.67419824460713351</c:v>
                </c:pt>
                <c:pt idx="10">
                  <c:v>0.67419824460713351</c:v>
                </c:pt>
                <c:pt idx="11">
                  <c:v>0.67419824460713351</c:v>
                </c:pt>
                <c:pt idx="12">
                  <c:v>0.67419824460713351</c:v>
                </c:pt>
                <c:pt idx="13">
                  <c:v>0.67419824460713351</c:v>
                </c:pt>
                <c:pt idx="14">
                  <c:v>0.67419824460713351</c:v>
                </c:pt>
                <c:pt idx="15">
                  <c:v>0.67419824460713351</c:v>
                </c:pt>
                <c:pt idx="16">
                  <c:v>0.67419824460713351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95616"/>
        <c:axId val="612638720"/>
      </c:lineChart>
      <c:catAx>
        <c:axId val="61329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2638720"/>
        <c:crosses val="autoZero"/>
        <c:auto val="1"/>
        <c:lblAlgn val="ctr"/>
        <c:lblOffset val="100"/>
        <c:noMultiLvlLbl val="0"/>
      </c:catAx>
      <c:valAx>
        <c:axId val="6126387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3295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296128"/>
        <c:axId val="6126410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96128"/>
        <c:axId val="612641024"/>
      </c:lineChart>
      <c:catAx>
        <c:axId val="61329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612641024"/>
        <c:crosses val="autoZero"/>
        <c:auto val="1"/>
        <c:lblAlgn val="ctr"/>
        <c:lblOffset val="100"/>
        <c:noMultiLvlLbl val="0"/>
      </c:catAx>
      <c:valAx>
        <c:axId val="612641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3296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0">
                  <c:v>2048</c:v>
                </c:pt>
                <c:pt idx="1">
                  <c:v>4959</c:v>
                </c:pt>
                <c:pt idx="2">
                  <c:v>10652</c:v>
                </c:pt>
                <c:pt idx="3">
                  <c:v>5859</c:v>
                </c:pt>
                <c:pt idx="4">
                  <c:v>10078</c:v>
                </c:pt>
                <c:pt idx="6">
                  <c:v>1278</c:v>
                </c:pt>
                <c:pt idx="10">
                  <c:v>5765</c:v>
                </c:pt>
                <c:pt idx="11">
                  <c:v>4828</c:v>
                </c:pt>
                <c:pt idx="12">
                  <c:v>1085</c:v>
                </c:pt>
                <c:pt idx="13">
                  <c:v>7386</c:v>
                </c:pt>
                <c:pt idx="14">
                  <c:v>39268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2050</c:v>
                </c:pt>
                <c:pt idx="1">
                  <c:v>4960</c:v>
                </c:pt>
                <c:pt idx="2">
                  <c:v>10660</c:v>
                </c:pt>
                <c:pt idx="3">
                  <c:v>5860</c:v>
                </c:pt>
                <c:pt idx="4">
                  <c:v>10080</c:v>
                </c:pt>
                <c:pt idx="5">
                  <c:v>5190</c:v>
                </c:pt>
                <c:pt idx="6">
                  <c:v>1280</c:v>
                </c:pt>
                <c:pt idx="7">
                  <c:v>1940</c:v>
                </c:pt>
                <c:pt idx="8">
                  <c:v>4790</c:v>
                </c:pt>
                <c:pt idx="9">
                  <c:v>3980</c:v>
                </c:pt>
                <c:pt idx="10">
                  <c:v>5780</c:v>
                </c:pt>
                <c:pt idx="11">
                  <c:v>4830</c:v>
                </c:pt>
                <c:pt idx="12">
                  <c:v>1090</c:v>
                </c:pt>
                <c:pt idx="13">
                  <c:v>7390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844416"/>
        <c:axId val="612643904"/>
      </c:lineChart>
      <c:catAx>
        <c:axId val="614844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2643904"/>
        <c:crosses val="autoZero"/>
        <c:auto val="1"/>
        <c:lblAlgn val="ctr"/>
        <c:lblOffset val="100"/>
        <c:noMultiLvlLbl val="0"/>
      </c:catAx>
      <c:valAx>
        <c:axId val="612643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84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50% 100% 100% 100% 100% 0% 33% 0% 0% 0% 100% 92% 33%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0.49951219512195122</c:v>
                </c:pt>
                <c:pt idx="1">
                  <c:v>0.99979838709677415</c:v>
                </c:pt>
                <c:pt idx="2">
                  <c:v>0.99924953095684799</c:v>
                </c:pt>
                <c:pt idx="3">
                  <c:v>0.99982935153583619</c:v>
                </c:pt>
                <c:pt idx="4">
                  <c:v>0.9998015873015873</c:v>
                </c:pt>
                <c:pt idx="5">
                  <c:v>0</c:v>
                </c:pt>
                <c:pt idx="6">
                  <c:v>0.33281249999999996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0.99740484429065746</c:v>
                </c:pt>
                <c:pt idx="11">
                  <c:v>0.91628709454796409</c:v>
                </c:pt>
                <c:pt idx="12">
                  <c:v>0.33180428134556572</c:v>
                </c:pt>
                <c:pt idx="13">
                  <c:v>0.83288227334235465</c:v>
                </c:pt>
                <c:pt idx="14">
                  <c:v>0.99918575063613235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0.59390451974504477</c:v>
                </c:pt>
                <c:pt idx="1">
                  <c:v>0.59390451974504477</c:v>
                </c:pt>
                <c:pt idx="2">
                  <c:v>0.59390451974504477</c:v>
                </c:pt>
                <c:pt idx="3">
                  <c:v>0.59390451974504477</c:v>
                </c:pt>
                <c:pt idx="4">
                  <c:v>0.59390451974504477</c:v>
                </c:pt>
                <c:pt idx="5">
                  <c:v>0.59390451974504477</c:v>
                </c:pt>
                <c:pt idx="6">
                  <c:v>0.59390451974504477</c:v>
                </c:pt>
                <c:pt idx="7">
                  <c:v>0.59390451974504477</c:v>
                </c:pt>
                <c:pt idx="8">
                  <c:v>0.59390451974504477</c:v>
                </c:pt>
                <c:pt idx="9">
                  <c:v>0.59390451974504477</c:v>
                </c:pt>
                <c:pt idx="10">
                  <c:v>0.59390451974504477</c:v>
                </c:pt>
                <c:pt idx="11">
                  <c:v>0.59390451974504477</c:v>
                </c:pt>
                <c:pt idx="12">
                  <c:v>0.59390451974504477</c:v>
                </c:pt>
                <c:pt idx="13">
                  <c:v>0.59390451974504477</c:v>
                </c:pt>
                <c:pt idx="14">
                  <c:v>0.59390451974504477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845952"/>
        <c:axId val="612645632"/>
      </c:lineChart>
      <c:catAx>
        <c:axId val="61484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2645632"/>
        <c:crosses val="autoZero"/>
        <c:auto val="1"/>
        <c:lblAlgn val="ctr"/>
        <c:lblOffset val="100"/>
        <c:noMultiLvlLbl val="0"/>
      </c:catAx>
      <c:valAx>
        <c:axId val="6126456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84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0">
                  <c:v>2048</c:v>
                </c:pt>
                <c:pt idx="1">
                  <c:v>4959</c:v>
                </c:pt>
                <c:pt idx="2">
                  <c:v>10652</c:v>
                </c:pt>
                <c:pt idx="3">
                  <c:v>5859</c:v>
                </c:pt>
                <c:pt idx="4">
                  <c:v>10078</c:v>
                </c:pt>
                <c:pt idx="6">
                  <c:v>1278</c:v>
                </c:pt>
                <c:pt idx="10">
                  <c:v>5765</c:v>
                </c:pt>
                <c:pt idx="11">
                  <c:v>4828</c:v>
                </c:pt>
                <c:pt idx="12">
                  <c:v>1085</c:v>
                </c:pt>
                <c:pt idx="13">
                  <c:v>7386</c:v>
                </c:pt>
                <c:pt idx="14">
                  <c:v>39268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2050</c:v>
                </c:pt>
                <c:pt idx="1">
                  <c:v>4960</c:v>
                </c:pt>
                <c:pt idx="2">
                  <c:v>10660</c:v>
                </c:pt>
                <c:pt idx="3">
                  <c:v>5860</c:v>
                </c:pt>
                <c:pt idx="4">
                  <c:v>10080</c:v>
                </c:pt>
                <c:pt idx="5">
                  <c:v>5190</c:v>
                </c:pt>
                <c:pt idx="6">
                  <c:v>1280</c:v>
                </c:pt>
                <c:pt idx="7">
                  <c:v>1940</c:v>
                </c:pt>
                <c:pt idx="8">
                  <c:v>4790</c:v>
                </c:pt>
                <c:pt idx="9">
                  <c:v>3980</c:v>
                </c:pt>
                <c:pt idx="10">
                  <c:v>5780</c:v>
                </c:pt>
                <c:pt idx="11">
                  <c:v>4830</c:v>
                </c:pt>
                <c:pt idx="12">
                  <c:v>1090</c:v>
                </c:pt>
                <c:pt idx="13">
                  <c:v>7390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920192"/>
        <c:axId val="611550336"/>
      </c:lineChart>
      <c:catAx>
        <c:axId val="614920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1550336"/>
        <c:crosses val="autoZero"/>
        <c:auto val="1"/>
        <c:lblAlgn val="ctr"/>
        <c:lblOffset val="100"/>
        <c:noMultiLvlLbl val="0"/>
      </c:catAx>
      <c:valAx>
        <c:axId val="611550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92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50% 100% 100% 100% 100% 0% 33% 0% 0% 0% 100% 92% 33%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0.49951219512195122</c:v>
                </c:pt>
                <c:pt idx="1">
                  <c:v>0.99979838709677415</c:v>
                </c:pt>
                <c:pt idx="2">
                  <c:v>0.99924953095684799</c:v>
                </c:pt>
                <c:pt idx="3">
                  <c:v>0.99982935153583619</c:v>
                </c:pt>
                <c:pt idx="4">
                  <c:v>0.9998015873015873</c:v>
                </c:pt>
                <c:pt idx="5">
                  <c:v>0</c:v>
                </c:pt>
                <c:pt idx="6">
                  <c:v>0.33281249999999996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0.99740484429065746</c:v>
                </c:pt>
                <c:pt idx="11">
                  <c:v>0.91628709454796409</c:v>
                </c:pt>
                <c:pt idx="12">
                  <c:v>0.33180428134556572</c:v>
                </c:pt>
                <c:pt idx="13">
                  <c:v>0.83288227334235465</c:v>
                </c:pt>
                <c:pt idx="14">
                  <c:v>0.99918575063613235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0.59390451974504477</c:v>
                </c:pt>
                <c:pt idx="1">
                  <c:v>0.59390451974504477</c:v>
                </c:pt>
                <c:pt idx="2">
                  <c:v>0.59390451974504477</c:v>
                </c:pt>
                <c:pt idx="3">
                  <c:v>0.59390451974504477</c:v>
                </c:pt>
                <c:pt idx="4">
                  <c:v>0.59390451974504477</c:v>
                </c:pt>
                <c:pt idx="5">
                  <c:v>0.59390451974504477</c:v>
                </c:pt>
                <c:pt idx="6">
                  <c:v>0.59390451974504477</c:v>
                </c:pt>
                <c:pt idx="7">
                  <c:v>0.59390451974504477</c:v>
                </c:pt>
                <c:pt idx="8">
                  <c:v>0.59390451974504477</c:v>
                </c:pt>
                <c:pt idx="9">
                  <c:v>0.59390451974504477</c:v>
                </c:pt>
                <c:pt idx="10">
                  <c:v>0.59390451974504477</c:v>
                </c:pt>
                <c:pt idx="11">
                  <c:v>0.59390451974504477</c:v>
                </c:pt>
                <c:pt idx="12">
                  <c:v>0.59390451974504477</c:v>
                </c:pt>
                <c:pt idx="13">
                  <c:v>0.59390451974504477</c:v>
                </c:pt>
                <c:pt idx="14">
                  <c:v>0.59390451974504477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921216"/>
        <c:axId val="611552064"/>
      </c:lineChart>
      <c:catAx>
        <c:axId val="61492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1552064"/>
        <c:crosses val="autoZero"/>
        <c:auto val="1"/>
        <c:lblAlgn val="ctr"/>
        <c:lblOffset val="100"/>
        <c:noMultiLvlLbl val="0"/>
      </c:catAx>
      <c:valAx>
        <c:axId val="611552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921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296640"/>
        <c:axId val="6115543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296640"/>
        <c:axId val="611554368"/>
      </c:lineChart>
      <c:catAx>
        <c:axId val="613296640"/>
        <c:scaling>
          <c:orientation val="minMax"/>
        </c:scaling>
        <c:delete val="0"/>
        <c:axPos val="b"/>
        <c:majorTickMark val="out"/>
        <c:minorTickMark val="none"/>
        <c:tickLblPos val="nextTo"/>
        <c:crossAx val="611554368"/>
        <c:crosses val="autoZero"/>
        <c:auto val="1"/>
        <c:lblAlgn val="ctr"/>
        <c:lblOffset val="100"/>
        <c:noMultiLvlLbl val="0"/>
      </c:catAx>
      <c:valAx>
        <c:axId val="6115543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32966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2272</c:v>
                </c:pt>
                <c:pt idx="1">
                  <c:v>3994</c:v>
                </c:pt>
                <c:pt idx="2">
                  <c:v>9582</c:v>
                </c:pt>
                <c:pt idx="3">
                  <c:v>2305</c:v>
                </c:pt>
                <c:pt idx="4">
                  <c:v>2532</c:v>
                </c:pt>
                <c:pt idx="7">
                  <c:v>3127</c:v>
                </c:pt>
                <c:pt idx="8">
                  <c:v>1536</c:v>
                </c:pt>
                <c:pt idx="11">
                  <c:v>4332</c:v>
                </c:pt>
                <c:pt idx="12">
                  <c:v>396</c:v>
                </c:pt>
                <c:pt idx="14">
                  <c:v>8248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2280</c:v>
                </c:pt>
                <c:pt idx="1">
                  <c:v>3995</c:v>
                </c:pt>
                <c:pt idx="2">
                  <c:v>9590</c:v>
                </c:pt>
                <c:pt idx="3">
                  <c:v>2310</c:v>
                </c:pt>
                <c:pt idx="4">
                  <c:v>2540</c:v>
                </c:pt>
                <c:pt idx="5">
                  <c:v>10080</c:v>
                </c:pt>
                <c:pt idx="6">
                  <c:v>5190</c:v>
                </c:pt>
                <c:pt idx="7">
                  <c:v>3130</c:v>
                </c:pt>
                <c:pt idx="8">
                  <c:v>1540</c:v>
                </c:pt>
                <c:pt idx="9">
                  <c:v>4790</c:v>
                </c:pt>
                <c:pt idx="10">
                  <c:v>3980</c:v>
                </c:pt>
                <c:pt idx="11">
                  <c:v>4340</c:v>
                </c:pt>
                <c:pt idx="12">
                  <c:v>400</c:v>
                </c:pt>
                <c:pt idx="13">
                  <c:v>1090</c:v>
                </c:pt>
                <c:pt idx="14">
                  <c:v>8250</c:v>
                </c:pt>
                <c:pt idx="15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94720"/>
        <c:axId val="614719488"/>
      </c:lineChart>
      <c:catAx>
        <c:axId val="6128947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4719488"/>
        <c:crosses val="autoZero"/>
        <c:auto val="1"/>
        <c:lblAlgn val="ctr"/>
        <c:lblOffset val="100"/>
        <c:noMultiLvlLbl val="0"/>
      </c:catAx>
      <c:valAx>
        <c:axId val="6147194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89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75% 87% 96% 54% 42% 0% 0% 75% 42% 0% 0% 96% 17% 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0.74736842105263157</c:v>
                </c:pt>
                <c:pt idx="1">
                  <c:v>0.8747809762202754</c:v>
                </c:pt>
                <c:pt idx="2">
                  <c:v>0.95753388946819606</c:v>
                </c:pt>
                <c:pt idx="3">
                  <c:v>0.54049422799422797</c:v>
                </c:pt>
                <c:pt idx="4">
                  <c:v>0.41535433070866146</c:v>
                </c:pt>
                <c:pt idx="5">
                  <c:v>0</c:v>
                </c:pt>
                <c:pt idx="6">
                  <c:v>0</c:v>
                </c:pt>
                <c:pt idx="7">
                  <c:v>0.74928115015974439</c:v>
                </c:pt>
                <c:pt idx="8">
                  <c:v>0.41558441558441561</c:v>
                </c:pt>
                <c:pt idx="9">
                  <c:v>0</c:v>
                </c:pt>
                <c:pt idx="10">
                  <c:v>0</c:v>
                </c:pt>
                <c:pt idx="11">
                  <c:v>0.95656682027649764</c:v>
                </c:pt>
                <c:pt idx="12">
                  <c:v>0.16499999999999998</c:v>
                </c:pt>
                <c:pt idx="13">
                  <c:v>0</c:v>
                </c:pt>
                <c:pt idx="14">
                  <c:v>0.91644444444444439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0.4492272450606063</c:v>
                </c:pt>
                <c:pt idx="1">
                  <c:v>0.4492272450606063</c:v>
                </c:pt>
                <c:pt idx="2">
                  <c:v>0.4492272450606063</c:v>
                </c:pt>
                <c:pt idx="3">
                  <c:v>0.4492272450606063</c:v>
                </c:pt>
                <c:pt idx="4">
                  <c:v>0.4492272450606063</c:v>
                </c:pt>
                <c:pt idx="5">
                  <c:v>0.4492272450606063</c:v>
                </c:pt>
                <c:pt idx="6">
                  <c:v>0.4492272450606063</c:v>
                </c:pt>
                <c:pt idx="7">
                  <c:v>0.4492272450606063</c:v>
                </c:pt>
                <c:pt idx="8">
                  <c:v>0.4492272450606063</c:v>
                </c:pt>
                <c:pt idx="9">
                  <c:v>0.4492272450606063</c:v>
                </c:pt>
                <c:pt idx="10">
                  <c:v>0.4492272450606063</c:v>
                </c:pt>
                <c:pt idx="11">
                  <c:v>0.4492272450606063</c:v>
                </c:pt>
                <c:pt idx="12">
                  <c:v>0.4492272450606063</c:v>
                </c:pt>
                <c:pt idx="13">
                  <c:v>0.4492272450606063</c:v>
                </c:pt>
                <c:pt idx="14">
                  <c:v>0.4492272450606063</c:v>
                </c:pt>
                <c:pt idx="15">
                  <c:v>0.4492272450606063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95744"/>
        <c:axId val="614721216"/>
      </c:lineChart>
      <c:catAx>
        <c:axId val="61289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721216"/>
        <c:crosses val="autoZero"/>
        <c:auto val="1"/>
        <c:lblAlgn val="ctr"/>
        <c:lblOffset val="100"/>
        <c:noMultiLvlLbl val="0"/>
      </c:catAx>
      <c:valAx>
        <c:axId val="614721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895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2272</c:v>
                </c:pt>
                <c:pt idx="1">
                  <c:v>3994</c:v>
                </c:pt>
                <c:pt idx="2">
                  <c:v>9582</c:v>
                </c:pt>
                <c:pt idx="3">
                  <c:v>2305</c:v>
                </c:pt>
                <c:pt idx="4">
                  <c:v>2532</c:v>
                </c:pt>
                <c:pt idx="7">
                  <c:v>3127</c:v>
                </c:pt>
                <c:pt idx="8">
                  <c:v>1536</c:v>
                </c:pt>
                <c:pt idx="11">
                  <c:v>4332</c:v>
                </c:pt>
                <c:pt idx="12">
                  <c:v>396</c:v>
                </c:pt>
                <c:pt idx="14">
                  <c:v>8248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2280</c:v>
                </c:pt>
                <c:pt idx="1">
                  <c:v>3995</c:v>
                </c:pt>
                <c:pt idx="2">
                  <c:v>9590</c:v>
                </c:pt>
                <c:pt idx="3">
                  <c:v>2310</c:v>
                </c:pt>
                <c:pt idx="4">
                  <c:v>2540</c:v>
                </c:pt>
                <c:pt idx="5">
                  <c:v>10080</c:v>
                </c:pt>
                <c:pt idx="6">
                  <c:v>5190</c:v>
                </c:pt>
                <c:pt idx="7">
                  <c:v>3130</c:v>
                </c:pt>
                <c:pt idx="8">
                  <c:v>1540</c:v>
                </c:pt>
                <c:pt idx="9">
                  <c:v>4790</c:v>
                </c:pt>
                <c:pt idx="10">
                  <c:v>3980</c:v>
                </c:pt>
                <c:pt idx="11">
                  <c:v>4340</c:v>
                </c:pt>
                <c:pt idx="12">
                  <c:v>400</c:v>
                </c:pt>
                <c:pt idx="13">
                  <c:v>1090</c:v>
                </c:pt>
                <c:pt idx="14">
                  <c:v>8250</c:v>
                </c:pt>
                <c:pt idx="15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64000"/>
        <c:axId val="614723520"/>
      </c:lineChart>
      <c:catAx>
        <c:axId val="6128640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4723520"/>
        <c:crosses val="autoZero"/>
        <c:auto val="1"/>
        <c:lblAlgn val="ctr"/>
        <c:lblOffset val="100"/>
        <c:noMultiLvlLbl val="0"/>
      </c:catAx>
      <c:valAx>
        <c:axId val="6147235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86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75% 87% 96% 54% 42% 0% 0% 75% 42% 0% 0% 96% 17% 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0.74736842105263157</c:v>
                </c:pt>
                <c:pt idx="1">
                  <c:v>0.8747809762202754</c:v>
                </c:pt>
                <c:pt idx="2">
                  <c:v>0.95753388946819606</c:v>
                </c:pt>
                <c:pt idx="3">
                  <c:v>0.54049422799422797</c:v>
                </c:pt>
                <c:pt idx="4">
                  <c:v>0.41535433070866146</c:v>
                </c:pt>
                <c:pt idx="5">
                  <c:v>0</c:v>
                </c:pt>
                <c:pt idx="6">
                  <c:v>0</c:v>
                </c:pt>
                <c:pt idx="7">
                  <c:v>0.74928115015974439</c:v>
                </c:pt>
                <c:pt idx="8">
                  <c:v>0.41558441558441561</c:v>
                </c:pt>
                <c:pt idx="9">
                  <c:v>0</c:v>
                </c:pt>
                <c:pt idx="10">
                  <c:v>0</c:v>
                </c:pt>
                <c:pt idx="11">
                  <c:v>0.95656682027649764</c:v>
                </c:pt>
                <c:pt idx="12">
                  <c:v>0.16499999999999998</c:v>
                </c:pt>
                <c:pt idx="13">
                  <c:v>0</c:v>
                </c:pt>
                <c:pt idx="14">
                  <c:v>0.91644444444444439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SLIDER</c:v>
                </c:pt>
                <c:pt idx="6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0.4492272450606063</c:v>
                </c:pt>
                <c:pt idx="1">
                  <c:v>0.4492272450606063</c:v>
                </c:pt>
                <c:pt idx="2">
                  <c:v>0.4492272450606063</c:v>
                </c:pt>
                <c:pt idx="3">
                  <c:v>0.4492272450606063</c:v>
                </c:pt>
                <c:pt idx="4">
                  <c:v>0.4492272450606063</c:v>
                </c:pt>
                <c:pt idx="5">
                  <c:v>0.4492272450606063</c:v>
                </c:pt>
                <c:pt idx="6">
                  <c:v>0.4492272450606063</c:v>
                </c:pt>
                <c:pt idx="7">
                  <c:v>0.4492272450606063</c:v>
                </c:pt>
                <c:pt idx="8">
                  <c:v>0.4492272450606063</c:v>
                </c:pt>
                <c:pt idx="9">
                  <c:v>0.4492272450606063</c:v>
                </c:pt>
                <c:pt idx="10">
                  <c:v>0.4492272450606063</c:v>
                </c:pt>
                <c:pt idx="11">
                  <c:v>0.4492272450606063</c:v>
                </c:pt>
                <c:pt idx="12">
                  <c:v>0.4492272450606063</c:v>
                </c:pt>
                <c:pt idx="13">
                  <c:v>0.4492272450606063</c:v>
                </c:pt>
                <c:pt idx="14">
                  <c:v>0.4492272450606063</c:v>
                </c:pt>
                <c:pt idx="15">
                  <c:v>0.4492272450606063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64512"/>
        <c:axId val="614725248"/>
      </c:lineChart>
      <c:catAx>
        <c:axId val="6128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725248"/>
        <c:crosses val="autoZero"/>
        <c:auto val="1"/>
        <c:lblAlgn val="ctr"/>
        <c:lblOffset val="100"/>
        <c:noMultiLvlLbl val="0"/>
      </c:catAx>
      <c:valAx>
        <c:axId val="614725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86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865024"/>
        <c:axId val="6130483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65024"/>
        <c:axId val="613048320"/>
      </c:lineChart>
      <c:catAx>
        <c:axId val="61286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613048320"/>
        <c:crosses val="autoZero"/>
        <c:auto val="1"/>
        <c:lblAlgn val="ctr"/>
        <c:lblOffset val="100"/>
        <c:noMultiLvlLbl val="0"/>
      </c:catAx>
      <c:valAx>
        <c:axId val="613048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28650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0">
                  <c:v>1963</c:v>
                </c:pt>
                <c:pt idx="1">
                  <c:v>4936</c:v>
                </c:pt>
                <c:pt idx="2">
                  <c:v>10962</c:v>
                </c:pt>
                <c:pt idx="3">
                  <c:v>4048</c:v>
                </c:pt>
                <c:pt idx="4">
                  <c:v>8386</c:v>
                </c:pt>
                <c:pt idx="5">
                  <c:v>3317</c:v>
                </c:pt>
                <c:pt idx="6">
                  <c:v>5135</c:v>
                </c:pt>
                <c:pt idx="10">
                  <c:v>5828</c:v>
                </c:pt>
                <c:pt idx="12">
                  <c:v>3993</c:v>
                </c:pt>
                <c:pt idx="13">
                  <c:v>3418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4940</c:v>
                </c:pt>
                <c:pt idx="2">
                  <c:v>10970</c:v>
                </c:pt>
                <c:pt idx="3">
                  <c:v>4050</c:v>
                </c:pt>
                <c:pt idx="4">
                  <c:v>8390</c:v>
                </c:pt>
                <c:pt idx="5">
                  <c:v>3320</c:v>
                </c:pt>
                <c:pt idx="6">
                  <c:v>5140</c:v>
                </c:pt>
                <c:pt idx="7">
                  <c:v>1540</c:v>
                </c:pt>
                <c:pt idx="8">
                  <c:v>4790</c:v>
                </c:pt>
                <c:pt idx="9">
                  <c:v>3980</c:v>
                </c:pt>
                <c:pt idx="10">
                  <c:v>5830</c:v>
                </c:pt>
                <c:pt idx="11">
                  <c:v>400</c:v>
                </c:pt>
                <c:pt idx="12">
                  <c:v>4000</c:v>
                </c:pt>
                <c:pt idx="13">
                  <c:v>3420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644992"/>
        <c:axId val="613051200"/>
      </c:lineChart>
      <c:catAx>
        <c:axId val="618644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3051200"/>
        <c:crosses val="autoZero"/>
        <c:auto val="1"/>
        <c:lblAlgn val="ctr"/>
        <c:lblOffset val="100"/>
        <c:noMultiLvlLbl val="0"/>
      </c:catAx>
      <c:valAx>
        <c:axId val="613051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8644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54% 100% 100% 92% 83% 79% 100% 0% 0% 0% 100% 0% 92%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0.53974196277495767</c:v>
                </c:pt>
                <c:pt idx="1">
                  <c:v>0.99919028340080973</c:v>
                </c:pt>
                <c:pt idx="2">
                  <c:v>0.99927073837739289</c:v>
                </c:pt>
                <c:pt idx="3">
                  <c:v>0.91621399176954732</c:v>
                </c:pt>
                <c:pt idx="4">
                  <c:v>0.83293603496225666</c:v>
                </c:pt>
                <c:pt idx="5">
                  <c:v>0.79095130522088353</c:v>
                </c:pt>
                <c:pt idx="6">
                  <c:v>0.99902723735408561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0.9996569468267581</c:v>
                </c:pt>
                <c:pt idx="11">
                  <c:v>0</c:v>
                </c:pt>
                <c:pt idx="12">
                  <c:v>0.91506249999999989</c:v>
                </c:pt>
                <c:pt idx="13">
                  <c:v>0.33313840155945418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0.55501262681640973</c:v>
                </c:pt>
                <c:pt idx="1">
                  <c:v>0.55501262681640973</c:v>
                </c:pt>
                <c:pt idx="2">
                  <c:v>0.55501262681640973</c:v>
                </c:pt>
                <c:pt idx="3">
                  <c:v>0.55501262681640973</c:v>
                </c:pt>
                <c:pt idx="4">
                  <c:v>0.55501262681640973</c:v>
                </c:pt>
                <c:pt idx="5">
                  <c:v>0.55501262681640973</c:v>
                </c:pt>
                <c:pt idx="6">
                  <c:v>0.55501262681640973</c:v>
                </c:pt>
                <c:pt idx="7">
                  <c:v>0.55501262681640973</c:v>
                </c:pt>
                <c:pt idx="8">
                  <c:v>0.55501262681640973</c:v>
                </c:pt>
                <c:pt idx="9">
                  <c:v>0.55501262681640973</c:v>
                </c:pt>
                <c:pt idx="10">
                  <c:v>0.55501262681640973</c:v>
                </c:pt>
                <c:pt idx="11">
                  <c:v>0.55501262681640973</c:v>
                </c:pt>
                <c:pt idx="12">
                  <c:v>0.55501262681640973</c:v>
                </c:pt>
                <c:pt idx="13">
                  <c:v>0.55501262681640973</c:v>
                </c:pt>
                <c:pt idx="14">
                  <c:v>0.55501262681640973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646016"/>
        <c:axId val="613052928"/>
      </c:lineChart>
      <c:catAx>
        <c:axId val="6186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3052928"/>
        <c:crosses val="autoZero"/>
        <c:auto val="1"/>
        <c:lblAlgn val="ctr"/>
        <c:lblOffset val="100"/>
        <c:noMultiLvlLbl val="0"/>
      </c:catAx>
      <c:valAx>
        <c:axId val="613052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8646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0">
                  <c:v>1963</c:v>
                </c:pt>
                <c:pt idx="1">
                  <c:v>4936</c:v>
                </c:pt>
                <c:pt idx="2">
                  <c:v>10962</c:v>
                </c:pt>
                <c:pt idx="3">
                  <c:v>4048</c:v>
                </c:pt>
                <c:pt idx="4">
                  <c:v>8386</c:v>
                </c:pt>
                <c:pt idx="5">
                  <c:v>3317</c:v>
                </c:pt>
                <c:pt idx="6">
                  <c:v>5135</c:v>
                </c:pt>
                <c:pt idx="10">
                  <c:v>5828</c:v>
                </c:pt>
                <c:pt idx="12">
                  <c:v>3993</c:v>
                </c:pt>
                <c:pt idx="13">
                  <c:v>3418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4940</c:v>
                </c:pt>
                <c:pt idx="2">
                  <c:v>10970</c:v>
                </c:pt>
                <c:pt idx="3">
                  <c:v>4050</c:v>
                </c:pt>
                <c:pt idx="4">
                  <c:v>8390</c:v>
                </c:pt>
                <c:pt idx="5">
                  <c:v>3320</c:v>
                </c:pt>
                <c:pt idx="6">
                  <c:v>5140</c:v>
                </c:pt>
                <c:pt idx="7">
                  <c:v>1540</c:v>
                </c:pt>
                <c:pt idx="8">
                  <c:v>4790</c:v>
                </c:pt>
                <c:pt idx="9">
                  <c:v>3980</c:v>
                </c:pt>
                <c:pt idx="10">
                  <c:v>5830</c:v>
                </c:pt>
                <c:pt idx="11">
                  <c:v>400</c:v>
                </c:pt>
                <c:pt idx="12">
                  <c:v>4000</c:v>
                </c:pt>
                <c:pt idx="13">
                  <c:v>3420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31232"/>
        <c:axId val="613055232"/>
      </c:lineChart>
      <c:catAx>
        <c:axId val="6128312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3055232"/>
        <c:crosses val="autoZero"/>
        <c:auto val="1"/>
        <c:lblAlgn val="ctr"/>
        <c:lblOffset val="100"/>
        <c:noMultiLvlLbl val="0"/>
      </c:catAx>
      <c:valAx>
        <c:axId val="6130552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283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54% 100% 100% 92% 83% 79% 100% 0% 0% 0% 100% 0% 92%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0.53974196277495767</c:v>
                </c:pt>
                <c:pt idx="1">
                  <c:v>0.99919028340080973</c:v>
                </c:pt>
                <c:pt idx="2">
                  <c:v>0.99927073837739289</c:v>
                </c:pt>
                <c:pt idx="3">
                  <c:v>0.91621399176954732</c:v>
                </c:pt>
                <c:pt idx="4">
                  <c:v>0.83293603496225666</c:v>
                </c:pt>
                <c:pt idx="5">
                  <c:v>0.79095130522088353</c:v>
                </c:pt>
                <c:pt idx="6">
                  <c:v>0.99902723735408561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0.9996569468267581</c:v>
                </c:pt>
                <c:pt idx="11">
                  <c:v>0</c:v>
                </c:pt>
                <c:pt idx="12">
                  <c:v>0.91506249999999989</c:v>
                </c:pt>
                <c:pt idx="13">
                  <c:v>0.33313840155945418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BODY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0.55501262681640973</c:v>
                </c:pt>
                <c:pt idx="1">
                  <c:v>0.55501262681640973</c:v>
                </c:pt>
                <c:pt idx="2">
                  <c:v>0.55501262681640973</c:v>
                </c:pt>
                <c:pt idx="3">
                  <c:v>0.55501262681640973</c:v>
                </c:pt>
                <c:pt idx="4">
                  <c:v>0.55501262681640973</c:v>
                </c:pt>
                <c:pt idx="5">
                  <c:v>0.55501262681640973</c:v>
                </c:pt>
                <c:pt idx="6">
                  <c:v>0.55501262681640973</c:v>
                </c:pt>
                <c:pt idx="7">
                  <c:v>0.55501262681640973</c:v>
                </c:pt>
                <c:pt idx="8">
                  <c:v>0.55501262681640973</c:v>
                </c:pt>
                <c:pt idx="9">
                  <c:v>0.55501262681640973</c:v>
                </c:pt>
                <c:pt idx="10">
                  <c:v>0.55501262681640973</c:v>
                </c:pt>
                <c:pt idx="11">
                  <c:v>0.55501262681640973</c:v>
                </c:pt>
                <c:pt idx="12">
                  <c:v>0.55501262681640973</c:v>
                </c:pt>
                <c:pt idx="13">
                  <c:v>0.55501262681640973</c:v>
                </c:pt>
                <c:pt idx="14">
                  <c:v>0.55501262681640973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31744"/>
        <c:axId val="614703680"/>
      </c:lineChart>
      <c:catAx>
        <c:axId val="61283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703680"/>
        <c:crosses val="autoZero"/>
        <c:auto val="1"/>
        <c:lblAlgn val="ctr"/>
        <c:lblOffset val="100"/>
        <c:noMultiLvlLbl val="0"/>
      </c:catAx>
      <c:valAx>
        <c:axId val="614703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283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832256"/>
        <c:axId val="6147059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832256"/>
        <c:axId val="614705984"/>
      </c:lineChart>
      <c:catAx>
        <c:axId val="61283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614705984"/>
        <c:crosses val="autoZero"/>
        <c:auto val="1"/>
        <c:lblAlgn val="ctr"/>
        <c:lblOffset val="100"/>
        <c:noMultiLvlLbl val="0"/>
      </c:catAx>
      <c:valAx>
        <c:axId val="614705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28322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4942</c:v>
                </c:pt>
                <c:pt idx="2">
                  <c:v>0</c:v>
                </c:pt>
                <c:pt idx="3">
                  <c:v>5278</c:v>
                </c:pt>
                <c:pt idx="4">
                  <c:v>10542</c:v>
                </c:pt>
                <c:pt idx="5">
                  <c:v>1360</c:v>
                </c:pt>
                <c:pt idx="6">
                  <c:v>3037</c:v>
                </c:pt>
                <c:pt idx="7">
                  <c:v>5108</c:v>
                </c:pt>
                <c:pt idx="11">
                  <c:v>4680</c:v>
                </c:pt>
                <c:pt idx="13">
                  <c:v>731</c:v>
                </c:pt>
                <c:pt idx="14">
                  <c:v>7932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4940</c:v>
                </c:pt>
                <c:pt idx="2">
                  <c:v>10970</c:v>
                </c:pt>
                <c:pt idx="3">
                  <c:v>5280</c:v>
                </c:pt>
                <c:pt idx="4">
                  <c:v>10550</c:v>
                </c:pt>
                <c:pt idx="5">
                  <c:v>1360</c:v>
                </c:pt>
                <c:pt idx="6">
                  <c:v>3040</c:v>
                </c:pt>
                <c:pt idx="7">
                  <c:v>5110</c:v>
                </c:pt>
                <c:pt idx="8">
                  <c:v>1540</c:v>
                </c:pt>
                <c:pt idx="9">
                  <c:v>4790</c:v>
                </c:pt>
                <c:pt idx="10">
                  <c:v>3980</c:v>
                </c:pt>
                <c:pt idx="11">
                  <c:v>4680</c:v>
                </c:pt>
                <c:pt idx="12">
                  <c:v>400</c:v>
                </c:pt>
                <c:pt idx="13">
                  <c:v>740</c:v>
                </c:pt>
                <c:pt idx="14">
                  <c:v>7940</c:v>
                </c:pt>
                <c:pt idx="15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45568"/>
        <c:axId val="614708864"/>
      </c:lineChart>
      <c:catAx>
        <c:axId val="630445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4708864"/>
        <c:crosses val="autoZero"/>
        <c:auto val="1"/>
        <c:lblAlgn val="ctr"/>
        <c:lblOffset val="100"/>
        <c:noMultiLvlLbl val="0"/>
      </c:catAx>
      <c:valAx>
        <c:axId val="614708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044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"/>
                <c:pt idx="0">
                  <c:v>0% 100% 0% 100% 100% 25% 67% 100% 0% 0% 0% 92% 0% 16%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1.0004048582995952</c:v>
                </c:pt>
                <c:pt idx="2">
                  <c:v>0</c:v>
                </c:pt>
                <c:pt idx="3">
                  <c:v>0.99962121212121213</c:v>
                </c:pt>
                <c:pt idx="4">
                  <c:v>0.99924170616113739</c:v>
                </c:pt>
                <c:pt idx="5">
                  <c:v>0.25</c:v>
                </c:pt>
                <c:pt idx="6">
                  <c:v>0.66600877192982455</c:v>
                </c:pt>
                <c:pt idx="7">
                  <c:v>0.99960861056751471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0.16463963963963962</c:v>
                </c:pt>
                <c:pt idx="14">
                  <c:v>0.87411838790931984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0.45802065688632737</c:v>
                </c:pt>
                <c:pt idx="1">
                  <c:v>0.45802065688632737</c:v>
                </c:pt>
                <c:pt idx="2">
                  <c:v>0.45802065688632737</c:v>
                </c:pt>
                <c:pt idx="3">
                  <c:v>0.45802065688632737</c:v>
                </c:pt>
                <c:pt idx="4">
                  <c:v>0.45802065688632737</c:v>
                </c:pt>
                <c:pt idx="5">
                  <c:v>0.45802065688632737</c:v>
                </c:pt>
                <c:pt idx="6">
                  <c:v>0.45802065688632737</c:v>
                </c:pt>
                <c:pt idx="7">
                  <c:v>0.45802065688632737</c:v>
                </c:pt>
                <c:pt idx="8">
                  <c:v>0.45802065688632737</c:v>
                </c:pt>
                <c:pt idx="9">
                  <c:v>0.45802065688632737</c:v>
                </c:pt>
                <c:pt idx="10">
                  <c:v>0.45802065688632737</c:v>
                </c:pt>
                <c:pt idx="11">
                  <c:v>0.45802065688632737</c:v>
                </c:pt>
                <c:pt idx="12">
                  <c:v>0.45802065688632737</c:v>
                </c:pt>
                <c:pt idx="13">
                  <c:v>0.45802065688632737</c:v>
                </c:pt>
                <c:pt idx="14">
                  <c:v>0.45802065688632737</c:v>
                </c:pt>
                <c:pt idx="15">
                  <c:v>0.45802065688632737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31744"/>
        <c:axId val="614710592"/>
      </c:lineChart>
      <c:catAx>
        <c:axId val="63043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4710592"/>
        <c:crosses val="autoZero"/>
        <c:auto val="1"/>
        <c:lblAlgn val="ctr"/>
        <c:lblOffset val="100"/>
        <c:noMultiLvlLbl val="0"/>
      </c:catAx>
      <c:valAx>
        <c:axId val="614710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043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4942</c:v>
                </c:pt>
                <c:pt idx="2">
                  <c:v>0</c:v>
                </c:pt>
                <c:pt idx="3">
                  <c:v>5278</c:v>
                </c:pt>
                <c:pt idx="4">
                  <c:v>10542</c:v>
                </c:pt>
                <c:pt idx="5">
                  <c:v>1360</c:v>
                </c:pt>
                <c:pt idx="6">
                  <c:v>3037</c:v>
                </c:pt>
                <c:pt idx="7">
                  <c:v>5108</c:v>
                </c:pt>
                <c:pt idx="11">
                  <c:v>4680</c:v>
                </c:pt>
                <c:pt idx="13">
                  <c:v>731</c:v>
                </c:pt>
                <c:pt idx="14">
                  <c:v>7932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4940</c:v>
                </c:pt>
                <c:pt idx="2">
                  <c:v>10970</c:v>
                </c:pt>
                <c:pt idx="3">
                  <c:v>5280</c:v>
                </c:pt>
                <c:pt idx="4">
                  <c:v>10550</c:v>
                </c:pt>
                <c:pt idx="5">
                  <c:v>1360</c:v>
                </c:pt>
                <c:pt idx="6">
                  <c:v>3040</c:v>
                </c:pt>
                <c:pt idx="7">
                  <c:v>5110</c:v>
                </c:pt>
                <c:pt idx="8">
                  <c:v>1540</c:v>
                </c:pt>
                <c:pt idx="9">
                  <c:v>4790</c:v>
                </c:pt>
                <c:pt idx="10">
                  <c:v>3980</c:v>
                </c:pt>
                <c:pt idx="11">
                  <c:v>4680</c:v>
                </c:pt>
                <c:pt idx="12">
                  <c:v>400</c:v>
                </c:pt>
                <c:pt idx="13">
                  <c:v>740</c:v>
                </c:pt>
                <c:pt idx="14">
                  <c:v>7940</c:v>
                </c:pt>
                <c:pt idx="15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32256"/>
        <c:axId val="383542976"/>
      </c:lineChart>
      <c:catAx>
        <c:axId val="6304322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3542976"/>
        <c:crosses val="autoZero"/>
        <c:auto val="1"/>
        <c:lblAlgn val="ctr"/>
        <c:lblOffset val="100"/>
        <c:noMultiLvlLbl val="0"/>
      </c:catAx>
      <c:valAx>
        <c:axId val="383542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043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"/>
                <c:pt idx="0">
                  <c:v>0% 100% 0% 100% 100% 25% 67% 100% 0% 0% 0% 92% 0% 16%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1.0004048582995952</c:v>
                </c:pt>
                <c:pt idx="2">
                  <c:v>0</c:v>
                </c:pt>
                <c:pt idx="3">
                  <c:v>0.99962121212121213</c:v>
                </c:pt>
                <c:pt idx="4">
                  <c:v>0.99924170616113739</c:v>
                </c:pt>
                <c:pt idx="5">
                  <c:v>0.25</c:v>
                </c:pt>
                <c:pt idx="6">
                  <c:v>0.66600877192982455</c:v>
                </c:pt>
                <c:pt idx="7">
                  <c:v>0.99960861056751471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0.16463963963963962</c:v>
                </c:pt>
                <c:pt idx="14">
                  <c:v>0.87411838790931984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'26'!$D$6:$D$21</c:f>
              <c:strCache>
                <c:ptCount val="15"/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7">
                  <c:v>STOPPER</c:v>
                </c:pt>
                <c:pt idx="8">
                  <c:v>BODY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0.45802065688632737</c:v>
                </c:pt>
                <c:pt idx="1">
                  <c:v>0.45802065688632737</c:v>
                </c:pt>
                <c:pt idx="2">
                  <c:v>0.45802065688632737</c:v>
                </c:pt>
                <c:pt idx="3">
                  <c:v>0.45802065688632737</c:v>
                </c:pt>
                <c:pt idx="4">
                  <c:v>0.45802065688632737</c:v>
                </c:pt>
                <c:pt idx="5">
                  <c:v>0.45802065688632737</c:v>
                </c:pt>
                <c:pt idx="6">
                  <c:v>0.45802065688632737</c:v>
                </c:pt>
                <c:pt idx="7">
                  <c:v>0.45802065688632737</c:v>
                </c:pt>
                <c:pt idx="8">
                  <c:v>0.45802065688632737</c:v>
                </c:pt>
                <c:pt idx="9">
                  <c:v>0.45802065688632737</c:v>
                </c:pt>
                <c:pt idx="10">
                  <c:v>0.45802065688632737</c:v>
                </c:pt>
                <c:pt idx="11">
                  <c:v>0.45802065688632737</c:v>
                </c:pt>
                <c:pt idx="12">
                  <c:v>0.45802065688632737</c:v>
                </c:pt>
                <c:pt idx="13">
                  <c:v>0.45802065688632737</c:v>
                </c:pt>
                <c:pt idx="14">
                  <c:v>0.45802065688632737</c:v>
                </c:pt>
                <c:pt idx="15">
                  <c:v>0.45802065688632737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33280"/>
        <c:axId val="383544704"/>
      </c:lineChart>
      <c:catAx>
        <c:axId val="63043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544704"/>
        <c:crosses val="autoZero"/>
        <c:auto val="1"/>
        <c:lblAlgn val="ctr"/>
        <c:lblOffset val="100"/>
        <c:noMultiLvlLbl val="0"/>
      </c:catAx>
      <c:valAx>
        <c:axId val="383544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0433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433792"/>
        <c:axId val="3835470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33792"/>
        <c:axId val="383547008"/>
      </c:lineChart>
      <c:catAx>
        <c:axId val="63043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383547008"/>
        <c:crosses val="autoZero"/>
        <c:auto val="1"/>
        <c:lblAlgn val="ctr"/>
        <c:lblOffset val="100"/>
        <c:noMultiLvlLbl val="0"/>
      </c:catAx>
      <c:valAx>
        <c:axId val="383547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04337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0">
                  <c:v>6134</c:v>
                </c:pt>
                <c:pt idx="1">
                  <c:v>5363</c:v>
                </c:pt>
                <c:pt idx="2">
                  <c:v>3722</c:v>
                </c:pt>
                <c:pt idx="3">
                  <c:v>3312</c:v>
                </c:pt>
                <c:pt idx="4">
                  <c:v>7616</c:v>
                </c:pt>
                <c:pt idx="6">
                  <c:v>1074</c:v>
                </c:pt>
                <c:pt idx="7">
                  <c:v>3575</c:v>
                </c:pt>
                <c:pt idx="10">
                  <c:v>5824</c:v>
                </c:pt>
                <c:pt idx="12">
                  <c:v>2451</c:v>
                </c:pt>
                <c:pt idx="13">
                  <c:v>10314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5370</c:v>
                </c:pt>
                <c:pt idx="2">
                  <c:v>3730</c:v>
                </c:pt>
                <c:pt idx="3">
                  <c:v>3320</c:v>
                </c:pt>
                <c:pt idx="4">
                  <c:v>7620</c:v>
                </c:pt>
                <c:pt idx="5">
                  <c:v>1360</c:v>
                </c:pt>
                <c:pt idx="6">
                  <c:v>1080</c:v>
                </c:pt>
                <c:pt idx="7">
                  <c:v>3580</c:v>
                </c:pt>
                <c:pt idx="8">
                  <c:v>4790</c:v>
                </c:pt>
                <c:pt idx="9">
                  <c:v>3980</c:v>
                </c:pt>
                <c:pt idx="10">
                  <c:v>5830</c:v>
                </c:pt>
                <c:pt idx="11">
                  <c:v>400</c:v>
                </c:pt>
                <c:pt idx="12">
                  <c:v>2460</c:v>
                </c:pt>
                <c:pt idx="13">
                  <c:v>10320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498752"/>
        <c:axId val="631300672"/>
      </c:lineChart>
      <c:catAx>
        <c:axId val="631498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1300672"/>
        <c:crosses val="autoZero"/>
        <c:auto val="1"/>
        <c:lblAlgn val="ctr"/>
        <c:lblOffset val="100"/>
        <c:noMultiLvlLbl val="0"/>
      </c:catAx>
      <c:valAx>
        <c:axId val="6313006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1498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79% 100% 79% 75% 83% 0% 25% 83% 0% 0% 100% 0% 66%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0.79089305103148755</c:v>
                </c:pt>
                <c:pt idx="1">
                  <c:v>0.99869646182495342</c:v>
                </c:pt>
                <c:pt idx="2">
                  <c:v>0.78996872207327962</c:v>
                </c:pt>
                <c:pt idx="3">
                  <c:v>0.74819277108433735</c:v>
                </c:pt>
                <c:pt idx="4">
                  <c:v>0.83289588801399828</c:v>
                </c:pt>
                <c:pt idx="5">
                  <c:v>0</c:v>
                </c:pt>
                <c:pt idx="6">
                  <c:v>0.24861111111111112</c:v>
                </c:pt>
                <c:pt idx="7">
                  <c:v>0.83216945996275604</c:v>
                </c:pt>
                <c:pt idx="8">
                  <c:v>0</c:v>
                </c:pt>
                <c:pt idx="9">
                  <c:v>0</c:v>
                </c:pt>
                <c:pt idx="10">
                  <c:v>0.9989708404802744</c:v>
                </c:pt>
                <c:pt idx="11">
                  <c:v>0</c:v>
                </c:pt>
                <c:pt idx="12">
                  <c:v>0.66422764227642273</c:v>
                </c:pt>
                <c:pt idx="13">
                  <c:v>0.99941860465116283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0.52693630350065213</c:v>
                </c:pt>
                <c:pt idx="1">
                  <c:v>0.52693630350065213</c:v>
                </c:pt>
                <c:pt idx="2">
                  <c:v>0.52693630350065213</c:v>
                </c:pt>
                <c:pt idx="3">
                  <c:v>0.52693630350065213</c:v>
                </c:pt>
                <c:pt idx="4">
                  <c:v>0.52693630350065213</c:v>
                </c:pt>
                <c:pt idx="5">
                  <c:v>0.52693630350065213</c:v>
                </c:pt>
                <c:pt idx="6">
                  <c:v>0.52693630350065213</c:v>
                </c:pt>
                <c:pt idx="7">
                  <c:v>0.52693630350065213</c:v>
                </c:pt>
                <c:pt idx="8">
                  <c:v>0.52693630350065213</c:v>
                </c:pt>
                <c:pt idx="9">
                  <c:v>0.52693630350065213</c:v>
                </c:pt>
                <c:pt idx="10">
                  <c:v>0.52693630350065213</c:v>
                </c:pt>
                <c:pt idx="11">
                  <c:v>0.52693630350065213</c:v>
                </c:pt>
                <c:pt idx="12">
                  <c:v>0.52693630350065213</c:v>
                </c:pt>
                <c:pt idx="13">
                  <c:v>0.52693630350065213</c:v>
                </c:pt>
                <c:pt idx="14">
                  <c:v>0.52693630350065213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500288"/>
        <c:axId val="631302400"/>
      </c:lineChart>
      <c:catAx>
        <c:axId val="63150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1302400"/>
        <c:crosses val="autoZero"/>
        <c:auto val="1"/>
        <c:lblAlgn val="ctr"/>
        <c:lblOffset val="100"/>
        <c:noMultiLvlLbl val="0"/>
      </c:catAx>
      <c:valAx>
        <c:axId val="631302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1500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0">
                  <c:v>6134</c:v>
                </c:pt>
                <c:pt idx="1">
                  <c:v>5363</c:v>
                </c:pt>
                <c:pt idx="2">
                  <c:v>3722</c:v>
                </c:pt>
                <c:pt idx="3">
                  <c:v>3312</c:v>
                </c:pt>
                <c:pt idx="4">
                  <c:v>7616</c:v>
                </c:pt>
                <c:pt idx="6">
                  <c:v>1074</c:v>
                </c:pt>
                <c:pt idx="7">
                  <c:v>3575</c:v>
                </c:pt>
                <c:pt idx="10">
                  <c:v>5824</c:v>
                </c:pt>
                <c:pt idx="12">
                  <c:v>2451</c:v>
                </c:pt>
                <c:pt idx="13">
                  <c:v>10314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5370</c:v>
                </c:pt>
                <c:pt idx="2">
                  <c:v>3730</c:v>
                </c:pt>
                <c:pt idx="3">
                  <c:v>3320</c:v>
                </c:pt>
                <c:pt idx="4">
                  <c:v>7620</c:v>
                </c:pt>
                <c:pt idx="5">
                  <c:v>1360</c:v>
                </c:pt>
                <c:pt idx="6">
                  <c:v>1080</c:v>
                </c:pt>
                <c:pt idx="7">
                  <c:v>3580</c:v>
                </c:pt>
                <c:pt idx="8">
                  <c:v>4790</c:v>
                </c:pt>
                <c:pt idx="9">
                  <c:v>3980</c:v>
                </c:pt>
                <c:pt idx="10">
                  <c:v>5830</c:v>
                </c:pt>
                <c:pt idx="11">
                  <c:v>400</c:v>
                </c:pt>
                <c:pt idx="12">
                  <c:v>2460</c:v>
                </c:pt>
                <c:pt idx="13">
                  <c:v>10320</c:v>
                </c:pt>
                <c:pt idx="14">
                  <c:v>39300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562240"/>
        <c:axId val="631304704"/>
      </c:lineChart>
      <c:catAx>
        <c:axId val="6315622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1304704"/>
        <c:crosses val="autoZero"/>
        <c:auto val="1"/>
        <c:lblAlgn val="ctr"/>
        <c:lblOffset val="100"/>
        <c:noMultiLvlLbl val="0"/>
      </c:catAx>
      <c:valAx>
        <c:axId val="6313047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1562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79% 100% 79% 75% 83% 0% 25% 83% 0% 0% 100% 0% 66%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0.79089305103148755</c:v>
                </c:pt>
                <c:pt idx="1">
                  <c:v>0.99869646182495342</c:v>
                </c:pt>
                <c:pt idx="2">
                  <c:v>0.78996872207327962</c:v>
                </c:pt>
                <c:pt idx="3">
                  <c:v>0.74819277108433735</c:v>
                </c:pt>
                <c:pt idx="4">
                  <c:v>0.83289588801399828</c:v>
                </c:pt>
                <c:pt idx="5">
                  <c:v>0</c:v>
                </c:pt>
                <c:pt idx="6">
                  <c:v>0.24861111111111112</c:v>
                </c:pt>
                <c:pt idx="7">
                  <c:v>0.83216945996275604</c:v>
                </c:pt>
                <c:pt idx="8">
                  <c:v>0</c:v>
                </c:pt>
                <c:pt idx="9">
                  <c:v>0</c:v>
                </c:pt>
                <c:pt idx="10">
                  <c:v>0.9989708404802744</c:v>
                </c:pt>
                <c:pt idx="11">
                  <c:v>0</c:v>
                </c:pt>
                <c:pt idx="12">
                  <c:v>0.66422764227642273</c:v>
                </c:pt>
                <c:pt idx="13">
                  <c:v>0.99941860465116283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0.52693630350065213</c:v>
                </c:pt>
                <c:pt idx="1">
                  <c:v>0.52693630350065213</c:v>
                </c:pt>
                <c:pt idx="2">
                  <c:v>0.52693630350065213</c:v>
                </c:pt>
                <c:pt idx="3">
                  <c:v>0.52693630350065213</c:v>
                </c:pt>
                <c:pt idx="4">
                  <c:v>0.52693630350065213</c:v>
                </c:pt>
                <c:pt idx="5">
                  <c:v>0.52693630350065213</c:v>
                </c:pt>
                <c:pt idx="6">
                  <c:v>0.52693630350065213</c:v>
                </c:pt>
                <c:pt idx="7">
                  <c:v>0.52693630350065213</c:v>
                </c:pt>
                <c:pt idx="8">
                  <c:v>0.52693630350065213</c:v>
                </c:pt>
                <c:pt idx="9">
                  <c:v>0.52693630350065213</c:v>
                </c:pt>
                <c:pt idx="10">
                  <c:v>0.52693630350065213</c:v>
                </c:pt>
                <c:pt idx="11">
                  <c:v>0.52693630350065213</c:v>
                </c:pt>
                <c:pt idx="12">
                  <c:v>0.52693630350065213</c:v>
                </c:pt>
                <c:pt idx="13">
                  <c:v>0.52693630350065213</c:v>
                </c:pt>
                <c:pt idx="14">
                  <c:v>0.52693630350065213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563264"/>
        <c:axId val="631306432"/>
      </c:lineChart>
      <c:catAx>
        <c:axId val="63156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1306432"/>
        <c:crosses val="autoZero"/>
        <c:auto val="1"/>
        <c:lblAlgn val="ctr"/>
        <c:lblOffset val="100"/>
        <c:noMultiLvlLbl val="0"/>
      </c:catAx>
      <c:valAx>
        <c:axId val="631306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156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434304"/>
        <c:axId val="6346675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34304"/>
        <c:axId val="634667584"/>
      </c:lineChart>
      <c:catAx>
        <c:axId val="63043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634667584"/>
        <c:crosses val="autoZero"/>
        <c:auto val="1"/>
        <c:lblAlgn val="ctr"/>
        <c:lblOffset val="100"/>
        <c:noMultiLvlLbl val="0"/>
      </c:catAx>
      <c:valAx>
        <c:axId val="634667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04343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3562</c:v>
                </c:pt>
                <c:pt idx="2">
                  <c:v>5863</c:v>
                </c:pt>
                <c:pt idx="3">
                  <c:v>5792</c:v>
                </c:pt>
                <c:pt idx="4">
                  <c:v>7030</c:v>
                </c:pt>
                <c:pt idx="5">
                  <c:v>2519</c:v>
                </c:pt>
                <c:pt idx="6">
                  <c:v>4669</c:v>
                </c:pt>
                <c:pt idx="7">
                  <c:v>4880</c:v>
                </c:pt>
                <c:pt idx="10">
                  <c:v>5603</c:v>
                </c:pt>
                <c:pt idx="11">
                  <c:v>5195</c:v>
                </c:pt>
                <c:pt idx="12">
                  <c:v>2288</c:v>
                </c:pt>
                <c:pt idx="13">
                  <c:v>4076</c:v>
                </c:pt>
                <c:pt idx="14">
                  <c:v>2928</c:v>
                </c:pt>
                <c:pt idx="15">
                  <c:v>22056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3570</c:v>
                </c:pt>
                <c:pt idx="2">
                  <c:v>5870</c:v>
                </c:pt>
                <c:pt idx="3">
                  <c:v>5800</c:v>
                </c:pt>
                <c:pt idx="4">
                  <c:v>7030</c:v>
                </c:pt>
                <c:pt idx="5">
                  <c:v>2520</c:v>
                </c:pt>
                <c:pt idx="6">
                  <c:v>4670</c:v>
                </c:pt>
                <c:pt idx="7">
                  <c:v>4880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5200</c:v>
                </c:pt>
                <c:pt idx="12">
                  <c:v>2290</c:v>
                </c:pt>
                <c:pt idx="13">
                  <c:v>4080</c:v>
                </c:pt>
                <c:pt idx="14">
                  <c:v>2930</c:v>
                </c:pt>
                <c:pt idx="15">
                  <c:v>22060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45056"/>
        <c:axId val="634670464"/>
      </c:lineChart>
      <c:catAx>
        <c:axId val="635245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4670464"/>
        <c:crosses val="autoZero"/>
        <c:auto val="1"/>
        <c:lblAlgn val="ctr"/>
        <c:lblOffset val="100"/>
        <c:noMultiLvlLbl val="0"/>
      </c:catAx>
      <c:valAx>
        <c:axId val="634670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524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83% 100% 100% 83% 54% 96% 100% 0% 0% 100% 100% 58% 42% 58%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0.83146591970121386</c:v>
                </c:pt>
                <c:pt idx="2">
                  <c:v>0.99880749574105621</c:v>
                </c:pt>
                <c:pt idx="3">
                  <c:v>0.99862068965517237</c:v>
                </c:pt>
                <c:pt idx="4">
                  <c:v>0.83333333333333337</c:v>
                </c:pt>
                <c:pt idx="5">
                  <c:v>0.54145171957671956</c:v>
                </c:pt>
                <c:pt idx="6">
                  <c:v>0.95812812276945047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0.99875222816399289</c:v>
                </c:pt>
                <c:pt idx="11">
                  <c:v>0.99903846153846154</c:v>
                </c:pt>
                <c:pt idx="12">
                  <c:v>0.58282387190684137</c:v>
                </c:pt>
                <c:pt idx="13">
                  <c:v>0.41625816993464054</c:v>
                </c:pt>
                <c:pt idx="14">
                  <c:v>0.5829351535836178</c:v>
                </c:pt>
                <c:pt idx="15">
                  <c:v>0.58322756119673613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0.68832284847341574</c:v>
                </c:pt>
                <c:pt idx="1">
                  <c:v>0.68832284847341574</c:v>
                </c:pt>
                <c:pt idx="2">
                  <c:v>0.68832284847341574</c:v>
                </c:pt>
                <c:pt idx="3">
                  <c:v>0.68832284847341574</c:v>
                </c:pt>
                <c:pt idx="4">
                  <c:v>0.68832284847341574</c:v>
                </c:pt>
                <c:pt idx="5">
                  <c:v>0.68832284847341574</c:v>
                </c:pt>
                <c:pt idx="6">
                  <c:v>0.68832284847341574</c:v>
                </c:pt>
                <c:pt idx="7">
                  <c:v>0.68832284847341574</c:v>
                </c:pt>
                <c:pt idx="8">
                  <c:v>0.68832284847341574</c:v>
                </c:pt>
                <c:pt idx="9">
                  <c:v>0.68832284847341574</c:v>
                </c:pt>
                <c:pt idx="10">
                  <c:v>0.68832284847341574</c:v>
                </c:pt>
                <c:pt idx="11">
                  <c:v>0.68832284847341574</c:v>
                </c:pt>
                <c:pt idx="12">
                  <c:v>0.68832284847341574</c:v>
                </c:pt>
                <c:pt idx="13">
                  <c:v>0.68832284847341574</c:v>
                </c:pt>
                <c:pt idx="14">
                  <c:v>0.68832284847341574</c:v>
                </c:pt>
                <c:pt idx="15">
                  <c:v>0.68832284847341574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47104"/>
        <c:axId val="634672192"/>
      </c:lineChart>
      <c:catAx>
        <c:axId val="63524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4672192"/>
        <c:crosses val="autoZero"/>
        <c:auto val="1"/>
        <c:lblAlgn val="ctr"/>
        <c:lblOffset val="100"/>
        <c:noMultiLvlLbl val="0"/>
      </c:catAx>
      <c:valAx>
        <c:axId val="634672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5247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3562</c:v>
                </c:pt>
                <c:pt idx="2">
                  <c:v>5863</c:v>
                </c:pt>
                <c:pt idx="3">
                  <c:v>5792</c:v>
                </c:pt>
                <c:pt idx="4">
                  <c:v>7030</c:v>
                </c:pt>
                <c:pt idx="5">
                  <c:v>2519</c:v>
                </c:pt>
                <c:pt idx="6">
                  <c:v>4669</c:v>
                </c:pt>
                <c:pt idx="7">
                  <c:v>4880</c:v>
                </c:pt>
                <c:pt idx="10">
                  <c:v>5603</c:v>
                </c:pt>
                <c:pt idx="11">
                  <c:v>5195</c:v>
                </c:pt>
                <c:pt idx="12">
                  <c:v>2288</c:v>
                </c:pt>
                <c:pt idx="13">
                  <c:v>4076</c:v>
                </c:pt>
                <c:pt idx="14">
                  <c:v>2928</c:v>
                </c:pt>
                <c:pt idx="15">
                  <c:v>22056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3570</c:v>
                </c:pt>
                <c:pt idx="2">
                  <c:v>5870</c:v>
                </c:pt>
                <c:pt idx="3">
                  <c:v>5800</c:v>
                </c:pt>
                <c:pt idx="4">
                  <c:v>7030</c:v>
                </c:pt>
                <c:pt idx="5">
                  <c:v>2520</c:v>
                </c:pt>
                <c:pt idx="6">
                  <c:v>4670</c:v>
                </c:pt>
                <c:pt idx="7">
                  <c:v>4880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5200</c:v>
                </c:pt>
                <c:pt idx="12">
                  <c:v>2290</c:v>
                </c:pt>
                <c:pt idx="13">
                  <c:v>4080</c:v>
                </c:pt>
                <c:pt idx="14">
                  <c:v>2930</c:v>
                </c:pt>
                <c:pt idx="15">
                  <c:v>22060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47616"/>
        <c:axId val="634674496"/>
      </c:lineChart>
      <c:catAx>
        <c:axId val="635247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4674496"/>
        <c:crosses val="autoZero"/>
        <c:auto val="1"/>
        <c:lblAlgn val="ctr"/>
        <c:lblOffset val="100"/>
        <c:noMultiLvlLbl val="0"/>
      </c:catAx>
      <c:valAx>
        <c:axId val="6346744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524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83% 100% 100% 83% 54% 96% 100% 0% 0% 100% 100% 58% 42% 58% 58%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0.83146591970121386</c:v>
                </c:pt>
                <c:pt idx="2">
                  <c:v>0.99880749574105621</c:v>
                </c:pt>
                <c:pt idx="3">
                  <c:v>0.99862068965517237</c:v>
                </c:pt>
                <c:pt idx="4">
                  <c:v>0.83333333333333337</c:v>
                </c:pt>
                <c:pt idx="5">
                  <c:v>0.54145171957671956</c:v>
                </c:pt>
                <c:pt idx="6">
                  <c:v>0.95812812276945047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0.99875222816399289</c:v>
                </c:pt>
                <c:pt idx="11">
                  <c:v>0.99903846153846154</c:v>
                </c:pt>
                <c:pt idx="12">
                  <c:v>0.58282387190684137</c:v>
                </c:pt>
                <c:pt idx="13">
                  <c:v>0.41625816993464054</c:v>
                </c:pt>
                <c:pt idx="14">
                  <c:v>0.5829351535836178</c:v>
                </c:pt>
                <c:pt idx="15">
                  <c:v>0.58322756119673613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FLOAT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0.68832284847341574</c:v>
                </c:pt>
                <c:pt idx="1">
                  <c:v>0.68832284847341574</c:v>
                </c:pt>
                <c:pt idx="2">
                  <c:v>0.68832284847341574</c:v>
                </c:pt>
                <c:pt idx="3">
                  <c:v>0.68832284847341574</c:v>
                </c:pt>
                <c:pt idx="4">
                  <c:v>0.68832284847341574</c:v>
                </c:pt>
                <c:pt idx="5">
                  <c:v>0.68832284847341574</c:v>
                </c:pt>
                <c:pt idx="6">
                  <c:v>0.68832284847341574</c:v>
                </c:pt>
                <c:pt idx="7">
                  <c:v>0.68832284847341574</c:v>
                </c:pt>
                <c:pt idx="8">
                  <c:v>0.68832284847341574</c:v>
                </c:pt>
                <c:pt idx="9">
                  <c:v>0.68832284847341574</c:v>
                </c:pt>
                <c:pt idx="10">
                  <c:v>0.68832284847341574</c:v>
                </c:pt>
                <c:pt idx="11">
                  <c:v>0.68832284847341574</c:v>
                </c:pt>
                <c:pt idx="12">
                  <c:v>0.68832284847341574</c:v>
                </c:pt>
                <c:pt idx="13">
                  <c:v>0.68832284847341574</c:v>
                </c:pt>
                <c:pt idx="14">
                  <c:v>0.68832284847341574</c:v>
                </c:pt>
                <c:pt idx="15">
                  <c:v>0.68832284847341574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63328"/>
        <c:axId val="635004032"/>
      </c:lineChart>
      <c:catAx>
        <c:axId val="63536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5004032"/>
        <c:crosses val="autoZero"/>
        <c:auto val="1"/>
        <c:lblAlgn val="ctr"/>
        <c:lblOffset val="100"/>
        <c:noMultiLvlLbl val="0"/>
      </c:catAx>
      <c:valAx>
        <c:axId val="635004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536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5363840"/>
        <c:axId val="6350063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63840"/>
        <c:axId val="635006336"/>
      </c:lineChart>
      <c:catAx>
        <c:axId val="63536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635006336"/>
        <c:crosses val="autoZero"/>
        <c:auto val="1"/>
        <c:lblAlgn val="ctr"/>
        <c:lblOffset val="100"/>
        <c:noMultiLvlLbl val="0"/>
      </c:catAx>
      <c:valAx>
        <c:axId val="6350063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5363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1">
                  <c:v>4398</c:v>
                </c:pt>
                <c:pt idx="2">
                  <c:v>5774</c:v>
                </c:pt>
                <c:pt idx="3">
                  <c:v>3396</c:v>
                </c:pt>
                <c:pt idx="4">
                  <c:v>58384</c:v>
                </c:pt>
                <c:pt idx="6">
                  <c:v>5357</c:v>
                </c:pt>
                <c:pt idx="7">
                  <c:v>4303</c:v>
                </c:pt>
                <c:pt idx="11">
                  <c:v>4740</c:v>
                </c:pt>
                <c:pt idx="12">
                  <c:v>3249</c:v>
                </c:pt>
                <c:pt idx="13">
                  <c:v>5093</c:v>
                </c:pt>
                <c:pt idx="14">
                  <c:v>47180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4400</c:v>
                </c:pt>
                <c:pt idx="2">
                  <c:v>5780</c:v>
                </c:pt>
                <c:pt idx="3">
                  <c:v>3400</c:v>
                </c:pt>
                <c:pt idx="4">
                  <c:v>58390</c:v>
                </c:pt>
                <c:pt idx="5">
                  <c:v>2520</c:v>
                </c:pt>
                <c:pt idx="6">
                  <c:v>5360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3250</c:v>
                </c:pt>
                <c:pt idx="13">
                  <c:v>5094</c:v>
                </c:pt>
                <c:pt idx="14">
                  <c:v>47180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916608"/>
        <c:axId val="635009216"/>
      </c:lineChart>
      <c:catAx>
        <c:axId val="6309166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5009216"/>
        <c:crosses val="autoZero"/>
        <c:auto val="1"/>
        <c:lblAlgn val="ctr"/>
        <c:lblOffset val="100"/>
        <c:noMultiLvlLbl val="0"/>
      </c:catAx>
      <c:valAx>
        <c:axId val="6350092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0916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100% 100% 71% 79% 0% 100% 100% 0% 0% 0% 100% 62%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0.99954545454545451</c:v>
                </c:pt>
                <c:pt idx="2">
                  <c:v>0.99896193771626296</c:v>
                </c:pt>
                <c:pt idx="3">
                  <c:v>0.70750000000000002</c:v>
                </c:pt>
                <c:pt idx="4">
                  <c:v>0.7915853171205115</c:v>
                </c:pt>
                <c:pt idx="5">
                  <c:v>0</c:v>
                </c:pt>
                <c:pt idx="6">
                  <c:v>0.99944029850746263</c:v>
                </c:pt>
                <c:pt idx="7">
                  <c:v>0.9983758700696056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0.62480769230769229</c:v>
                </c:pt>
                <c:pt idx="13">
                  <c:v>0.9998036906164115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0.60800135072556016</c:v>
                </c:pt>
                <c:pt idx="1">
                  <c:v>0.60800135072556016</c:v>
                </c:pt>
                <c:pt idx="2">
                  <c:v>0.60800135072556016</c:v>
                </c:pt>
                <c:pt idx="3">
                  <c:v>0.60800135072556016</c:v>
                </c:pt>
                <c:pt idx="4">
                  <c:v>0.60800135072556016</c:v>
                </c:pt>
                <c:pt idx="5">
                  <c:v>0.60800135072556016</c:v>
                </c:pt>
                <c:pt idx="6">
                  <c:v>0.60800135072556016</c:v>
                </c:pt>
                <c:pt idx="7">
                  <c:v>0.60800135072556016</c:v>
                </c:pt>
                <c:pt idx="8">
                  <c:v>0.60800135072556016</c:v>
                </c:pt>
                <c:pt idx="9">
                  <c:v>0.60800135072556016</c:v>
                </c:pt>
                <c:pt idx="10">
                  <c:v>0.60800135072556016</c:v>
                </c:pt>
                <c:pt idx="11">
                  <c:v>0.60800135072556016</c:v>
                </c:pt>
                <c:pt idx="12">
                  <c:v>0.60800135072556016</c:v>
                </c:pt>
                <c:pt idx="13">
                  <c:v>0.60800135072556016</c:v>
                </c:pt>
                <c:pt idx="14">
                  <c:v>0.60800135072556016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918656"/>
        <c:axId val="630857728"/>
      </c:lineChart>
      <c:catAx>
        <c:axId val="63091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0857728"/>
        <c:crosses val="autoZero"/>
        <c:auto val="1"/>
        <c:lblAlgn val="ctr"/>
        <c:lblOffset val="100"/>
        <c:noMultiLvlLbl val="0"/>
      </c:catAx>
      <c:valAx>
        <c:axId val="6308577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0918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1">
                  <c:v>4398</c:v>
                </c:pt>
                <c:pt idx="2">
                  <c:v>5774</c:v>
                </c:pt>
                <c:pt idx="3">
                  <c:v>3396</c:v>
                </c:pt>
                <c:pt idx="4">
                  <c:v>58384</c:v>
                </c:pt>
                <c:pt idx="6">
                  <c:v>5357</c:v>
                </c:pt>
                <c:pt idx="7">
                  <c:v>4303</c:v>
                </c:pt>
                <c:pt idx="11">
                  <c:v>4740</c:v>
                </c:pt>
                <c:pt idx="12">
                  <c:v>3249</c:v>
                </c:pt>
                <c:pt idx="13">
                  <c:v>5093</c:v>
                </c:pt>
                <c:pt idx="14">
                  <c:v>47180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4400</c:v>
                </c:pt>
                <c:pt idx="2">
                  <c:v>5780</c:v>
                </c:pt>
                <c:pt idx="3">
                  <c:v>3400</c:v>
                </c:pt>
                <c:pt idx="4">
                  <c:v>58390</c:v>
                </c:pt>
                <c:pt idx="5">
                  <c:v>2520</c:v>
                </c:pt>
                <c:pt idx="6">
                  <c:v>5360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3250</c:v>
                </c:pt>
                <c:pt idx="13">
                  <c:v>5094</c:v>
                </c:pt>
                <c:pt idx="14">
                  <c:v>47180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461376"/>
        <c:axId val="630860032"/>
      </c:lineChart>
      <c:catAx>
        <c:axId val="6314613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0860032"/>
        <c:crosses val="autoZero"/>
        <c:auto val="1"/>
        <c:lblAlgn val="ctr"/>
        <c:lblOffset val="100"/>
        <c:noMultiLvlLbl val="0"/>
      </c:catAx>
      <c:valAx>
        <c:axId val="630860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146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100% 100% 71% 79% 0% 100% 100% 0% 0% 0% 100% 62%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0.99954545454545451</c:v>
                </c:pt>
                <c:pt idx="2">
                  <c:v>0.99896193771626296</c:v>
                </c:pt>
                <c:pt idx="3">
                  <c:v>0.70750000000000002</c:v>
                </c:pt>
                <c:pt idx="4">
                  <c:v>0.7915853171205115</c:v>
                </c:pt>
                <c:pt idx="5">
                  <c:v>0</c:v>
                </c:pt>
                <c:pt idx="6">
                  <c:v>0.99944029850746263</c:v>
                </c:pt>
                <c:pt idx="7">
                  <c:v>0.9983758700696056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0.62480769230769229</c:v>
                </c:pt>
                <c:pt idx="13">
                  <c:v>0.9998036906164115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FLOAT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0.60800135072556016</c:v>
                </c:pt>
                <c:pt idx="1">
                  <c:v>0.60800135072556016</c:v>
                </c:pt>
                <c:pt idx="2">
                  <c:v>0.60800135072556016</c:v>
                </c:pt>
                <c:pt idx="3">
                  <c:v>0.60800135072556016</c:v>
                </c:pt>
                <c:pt idx="4">
                  <c:v>0.60800135072556016</c:v>
                </c:pt>
                <c:pt idx="5">
                  <c:v>0.60800135072556016</c:v>
                </c:pt>
                <c:pt idx="6">
                  <c:v>0.60800135072556016</c:v>
                </c:pt>
                <c:pt idx="7">
                  <c:v>0.60800135072556016</c:v>
                </c:pt>
                <c:pt idx="8">
                  <c:v>0.60800135072556016</c:v>
                </c:pt>
                <c:pt idx="9">
                  <c:v>0.60800135072556016</c:v>
                </c:pt>
                <c:pt idx="10">
                  <c:v>0.60800135072556016</c:v>
                </c:pt>
                <c:pt idx="11">
                  <c:v>0.60800135072556016</c:v>
                </c:pt>
                <c:pt idx="12">
                  <c:v>0.60800135072556016</c:v>
                </c:pt>
                <c:pt idx="13">
                  <c:v>0.60800135072556016</c:v>
                </c:pt>
                <c:pt idx="14">
                  <c:v>0.60800135072556016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461888"/>
        <c:axId val="630861760"/>
      </c:lineChart>
      <c:catAx>
        <c:axId val="63146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0861760"/>
        <c:crosses val="autoZero"/>
        <c:auto val="1"/>
        <c:lblAlgn val="ctr"/>
        <c:lblOffset val="100"/>
        <c:noMultiLvlLbl val="0"/>
      </c:catAx>
      <c:valAx>
        <c:axId val="630861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1461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1462400"/>
        <c:axId val="6308640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462400"/>
        <c:axId val="630864064"/>
      </c:lineChart>
      <c:catAx>
        <c:axId val="63146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630864064"/>
        <c:crosses val="autoZero"/>
        <c:auto val="1"/>
        <c:lblAlgn val="ctr"/>
        <c:lblOffset val="100"/>
        <c:noMultiLvlLbl val="0"/>
      </c:catAx>
      <c:valAx>
        <c:axId val="6308640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1462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7596</c:v>
                </c:pt>
                <c:pt idx="2">
                  <c:v>5740</c:v>
                </c:pt>
                <c:pt idx="3">
                  <c:v>5312</c:v>
                </c:pt>
                <c:pt idx="4">
                  <c:v>76144</c:v>
                </c:pt>
                <c:pt idx="6">
                  <c:v>3669</c:v>
                </c:pt>
                <c:pt idx="12">
                  <c:v>4422</c:v>
                </c:pt>
                <c:pt idx="13">
                  <c:v>4495</c:v>
                </c:pt>
                <c:pt idx="14">
                  <c:v>47228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7600</c:v>
                </c:pt>
                <c:pt idx="2">
                  <c:v>5780</c:v>
                </c:pt>
                <c:pt idx="3">
                  <c:v>5320</c:v>
                </c:pt>
                <c:pt idx="4">
                  <c:v>74150</c:v>
                </c:pt>
                <c:pt idx="5">
                  <c:v>2520</c:v>
                </c:pt>
                <c:pt idx="6">
                  <c:v>3670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4430</c:v>
                </c:pt>
                <c:pt idx="13">
                  <c:v>4500</c:v>
                </c:pt>
                <c:pt idx="14">
                  <c:v>47230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551040"/>
        <c:axId val="667142976"/>
      </c:lineChart>
      <c:catAx>
        <c:axId val="630551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7142976"/>
        <c:crosses val="autoZero"/>
        <c:auto val="1"/>
        <c:lblAlgn val="ctr"/>
        <c:lblOffset val="100"/>
        <c:noMultiLvlLbl val="0"/>
      </c:catAx>
      <c:valAx>
        <c:axId val="667142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0551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75% 99% 100% 103% 0% 79% 0% 0% 0% 0% 0% 87%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0.74960526315789466</c:v>
                </c:pt>
                <c:pt idx="2">
                  <c:v>0.99307958477508651</c:v>
                </c:pt>
                <c:pt idx="3">
                  <c:v>0.99849624060150377</c:v>
                </c:pt>
                <c:pt idx="4">
                  <c:v>1.0268914362778152</c:v>
                </c:pt>
                <c:pt idx="5">
                  <c:v>0</c:v>
                </c:pt>
                <c:pt idx="6">
                  <c:v>0.79145095367847407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0.87341986455981946</c:v>
                </c:pt>
                <c:pt idx="13">
                  <c:v>0.91564814814814821</c:v>
                </c:pt>
                <c:pt idx="14">
                  <c:v>0.99995765403345327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0.48990327634881303</c:v>
                </c:pt>
                <c:pt idx="1">
                  <c:v>0.48990327634881303</c:v>
                </c:pt>
                <c:pt idx="2">
                  <c:v>0.48990327634881303</c:v>
                </c:pt>
                <c:pt idx="3">
                  <c:v>0.48990327634881303</c:v>
                </c:pt>
                <c:pt idx="4">
                  <c:v>0.48990327634881303</c:v>
                </c:pt>
                <c:pt idx="5">
                  <c:v>0.48990327634881303</c:v>
                </c:pt>
                <c:pt idx="6">
                  <c:v>0.48990327634881303</c:v>
                </c:pt>
                <c:pt idx="7">
                  <c:v>0.48990327634881303</c:v>
                </c:pt>
                <c:pt idx="8">
                  <c:v>0.48990327634881303</c:v>
                </c:pt>
                <c:pt idx="9">
                  <c:v>0.48990327634881303</c:v>
                </c:pt>
                <c:pt idx="10">
                  <c:v>0.48990327634881303</c:v>
                </c:pt>
                <c:pt idx="11">
                  <c:v>0.48990327634881303</c:v>
                </c:pt>
                <c:pt idx="12">
                  <c:v>0.48990327634881303</c:v>
                </c:pt>
                <c:pt idx="13">
                  <c:v>0.48990327634881303</c:v>
                </c:pt>
                <c:pt idx="14">
                  <c:v>0.48990327634881303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746816"/>
        <c:axId val="667145280"/>
      </c:lineChart>
      <c:catAx>
        <c:axId val="73174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7145280"/>
        <c:crosses val="autoZero"/>
        <c:auto val="1"/>
        <c:lblAlgn val="ctr"/>
        <c:lblOffset val="100"/>
        <c:noMultiLvlLbl val="0"/>
      </c:catAx>
      <c:valAx>
        <c:axId val="6671452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1746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7596</c:v>
                </c:pt>
                <c:pt idx="2">
                  <c:v>5740</c:v>
                </c:pt>
                <c:pt idx="3">
                  <c:v>5312</c:v>
                </c:pt>
                <c:pt idx="4">
                  <c:v>76144</c:v>
                </c:pt>
                <c:pt idx="6">
                  <c:v>3669</c:v>
                </c:pt>
                <c:pt idx="12">
                  <c:v>4422</c:v>
                </c:pt>
                <c:pt idx="13">
                  <c:v>4495</c:v>
                </c:pt>
                <c:pt idx="14">
                  <c:v>47228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7600</c:v>
                </c:pt>
                <c:pt idx="2">
                  <c:v>5780</c:v>
                </c:pt>
                <c:pt idx="3">
                  <c:v>5320</c:v>
                </c:pt>
                <c:pt idx="4">
                  <c:v>74150</c:v>
                </c:pt>
                <c:pt idx="5">
                  <c:v>2520</c:v>
                </c:pt>
                <c:pt idx="6">
                  <c:v>3670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4430</c:v>
                </c:pt>
                <c:pt idx="13">
                  <c:v>4500</c:v>
                </c:pt>
                <c:pt idx="14">
                  <c:v>47230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176448"/>
        <c:axId val="631120448"/>
      </c:lineChart>
      <c:catAx>
        <c:axId val="667176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1120448"/>
        <c:crosses val="autoZero"/>
        <c:auto val="1"/>
        <c:lblAlgn val="ctr"/>
        <c:lblOffset val="100"/>
        <c:noMultiLvlLbl val="0"/>
      </c:catAx>
      <c:valAx>
        <c:axId val="6311204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717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75% 99% 100% 103% 0% 79% 0% 0% 0% 0% 0% 87%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0.74960526315789466</c:v>
                </c:pt>
                <c:pt idx="2">
                  <c:v>0.99307958477508651</c:v>
                </c:pt>
                <c:pt idx="3">
                  <c:v>0.99849624060150377</c:v>
                </c:pt>
                <c:pt idx="4">
                  <c:v>1.0268914362778152</c:v>
                </c:pt>
                <c:pt idx="5">
                  <c:v>0</c:v>
                </c:pt>
                <c:pt idx="6">
                  <c:v>0.79145095367847407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0.87341986455981946</c:v>
                </c:pt>
                <c:pt idx="13">
                  <c:v>0.91564814814814821</c:v>
                </c:pt>
                <c:pt idx="14">
                  <c:v>0.99995765403345327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SHAFT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0.48990327634881303</c:v>
                </c:pt>
                <c:pt idx="1">
                  <c:v>0.48990327634881303</c:v>
                </c:pt>
                <c:pt idx="2">
                  <c:v>0.48990327634881303</c:v>
                </c:pt>
                <c:pt idx="3">
                  <c:v>0.48990327634881303</c:v>
                </c:pt>
                <c:pt idx="4">
                  <c:v>0.48990327634881303</c:v>
                </c:pt>
                <c:pt idx="5">
                  <c:v>0.48990327634881303</c:v>
                </c:pt>
                <c:pt idx="6">
                  <c:v>0.48990327634881303</c:v>
                </c:pt>
                <c:pt idx="7">
                  <c:v>0.48990327634881303</c:v>
                </c:pt>
                <c:pt idx="8">
                  <c:v>0.48990327634881303</c:v>
                </c:pt>
                <c:pt idx="9">
                  <c:v>0.48990327634881303</c:v>
                </c:pt>
                <c:pt idx="10">
                  <c:v>0.48990327634881303</c:v>
                </c:pt>
                <c:pt idx="11">
                  <c:v>0.48990327634881303</c:v>
                </c:pt>
                <c:pt idx="12">
                  <c:v>0.48990327634881303</c:v>
                </c:pt>
                <c:pt idx="13">
                  <c:v>0.48990327634881303</c:v>
                </c:pt>
                <c:pt idx="14">
                  <c:v>0.48990327634881303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770880"/>
        <c:axId val="631122752"/>
      </c:lineChart>
      <c:catAx>
        <c:axId val="73177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1122752"/>
        <c:crosses val="autoZero"/>
        <c:auto val="1"/>
        <c:lblAlgn val="ctr"/>
        <c:lblOffset val="100"/>
        <c:noMultiLvlLbl val="0"/>
      </c:catAx>
      <c:valAx>
        <c:axId val="631122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177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0.26618446621441771</c:v>
                </c:pt>
                <c:pt idx="1">
                  <c:v>0.28833776863503752</c:v>
                </c:pt>
                <c:pt idx="2">
                  <c:v>0.32472684442688654</c:v>
                </c:pt>
                <c:pt idx="3">
                  <c:v>0.38290751173688586</c:v>
                </c:pt>
                <c:pt idx="4">
                  <c:v>0.1415230203006764</c:v>
                </c:pt>
                <c:pt idx="5">
                  <c:v>0.34712252533786092</c:v>
                </c:pt>
                <c:pt idx="6">
                  <c:v>0.34138526446958845</c:v>
                </c:pt>
                <c:pt idx="7">
                  <c:v>0.22202827600130431</c:v>
                </c:pt>
                <c:pt idx="8">
                  <c:v>0.18596809321953811</c:v>
                </c:pt>
                <c:pt idx="9">
                  <c:v>0.4358831376617146</c:v>
                </c:pt>
                <c:pt idx="10">
                  <c:v>0.42760881485597196</c:v>
                </c:pt>
                <c:pt idx="11">
                  <c:v>0.60238683406050231</c:v>
                </c:pt>
                <c:pt idx="12">
                  <c:v>0.62445579086198788</c:v>
                </c:pt>
                <c:pt idx="13">
                  <c:v>0.53821785289988122</c:v>
                </c:pt>
                <c:pt idx="14">
                  <c:v>0.58827687695861053</c:v>
                </c:pt>
                <c:pt idx="15">
                  <c:v>0.71600095822307863</c:v>
                </c:pt>
                <c:pt idx="16">
                  <c:v>0.73251391170695057</c:v>
                </c:pt>
                <c:pt idx="17">
                  <c:v>0.7968571814037525</c:v>
                </c:pt>
                <c:pt idx="18">
                  <c:v>0.90163777792286137</c:v>
                </c:pt>
                <c:pt idx="19">
                  <c:v>0.55777140566026751</c:v>
                </c:pt>
                <c:pt idx="20">
                  <c:v>0.67419824460713351</c:v>
                </c:pt>
                <c:pt idx="21">
                  <c:v>0.59390451974504477</c:v>
                </c:pt>
                <c:pt idx="23">
                  <c:v>0.4492272450606063</c:v>
                </c:pt>
                <c:pt idx="24">
                  <c:v>0.55501262681640973</c:v>
                </c:pt>
                <c:pt idx="25">
                  <c:v>0.45802065688632737</c:v>
                </c:pt>
                <c:pt idx="26">
                  <c:v>0.52693630350065213</c:v>
                </c:pt>
                <c:pt idx="27">
                  <c:v>0.68832284847341574</c:v>
                </c:pt>
                <c:pt idx="28">
                  <c:v>0.60800135072556016</c:v>
                </c:pt>
                <c:pt idx="29">
                  <c:v>0.48990327634881303</c:v>
                </c:pt>
                <c:pt idx="31">
                  <c:v>0.48217737949072453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7177856"/>
        <c:axId val="6311273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177856"/>
        <c:axId val="631127360"/>
      </c:lineChart>
      <c:catAx>
        <c:axId val="63717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631127360"/>
        <c:crosses val="autoZero"/>
        <c:auto val="1"/>
        <c:lblAlgn val="ctr"/>
        <c:lblOffset val="100"/>
        <c:noMultiLvlLbl val="0"/>
      </c:catAx>
      <c:valAx>
        <c:axId val="6311273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71778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9.xml"/><Relationship Id="rId1" Type="http://schemas.openxmlformats.org/officeDocument/2006/relationships/chart" Target="../charts/chart128.xml"/><Relationship Id="rId6" Type="http://schemas.openxmlformats.org/officeDocument/2006/relationships/chart" Target="../charts/chart132.xml"/><Relationship Id="rId5" Type="http://schemas.openxmlformats.org/officeDocument/2006/relationships/chart" Target="../charts/chart131.xml"/><Relationship Id="rId4" Type="http://schemas.openxmlformats.org/officeDocument/2006/relationships/chart" Target="../charts/chart13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4.xml"/><Relationship Id="rId1" Type="http://schemas.openxmlformats.org/officeDocument/2006/relationships/chart" Target="../charts/chart133.xml"/><Relationship Id="rId6" Type="http://schemas.openxmlformats.org/officeDocument/2006/relationships/chart" Target="../charts/chart137.xml"/><Relationship Id="rId5" Type="http://schemas.openxmlformats.org/officeDocument/2006/relationships/chart" Target="../charts/chart136.xml"/><Relationship Id="rId4" Type="http://schemas.openxmlformats.org/officeDocument/2006/relationships/chart" Target="../charts/chart135.xml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9.xml"/><Relationship Id="rId1" Type="http://schemas.openxmlformats.org/officeDocument/2006/relationships/chart" Target="../charts/chart138.xml"/><Relationship Id="rId6" Type="http://schemas.openxmlformats.org/officeDocument/2006/relationships/chart" Target="../charts/chart142.xml"/><Relationship Id="rId5" Type="http://schemas.openxmlformats.org/officeDocument/2006/relationships/chart" Target="../charts/chart141.xml"/><Relationship Id="rId4" Type="http://schemas.openxmlformats.org/officeDocument/2006/relationships/chart" Target="../charts/chart140.xml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4.xml"/><Relationship Id="rId1" Type="http://schemas.openxmlformats.org/officeDocument/2006/relationships/chart" Target="../charts/chart143.xml"/><Relationship Id="rId6" Type="http://schemas.openxmlformats.org/officeDocument/2006/relationships/chart" Target="../charts/chart147.xml"/><Relationship Id="rId5" Type="http://schemas.openxmlformats.org/officeDocument/2006/relationships/chart" Target="../charts/chart146.xml"/><Relationship Id="rId4" Type="http://schemas.openxmlformats.org/officeDocument/2006/relationships/chart" Target="../charts/chart1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14" sqref="AJ14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7.5" style="75" bestFit="1" customWidth="1"/>
    <col min="19" max="33" width="5.5" style="75" bestFit="1" customWidth="1"/>
    <col min="34" max="16384" width="9" style="75"/>
  </cols>
  <sheetData>
    <row r="1" spans="1:33" ht="33.75" customHeight="1" thickBot="1">
      <c r="A1" s="439" t="s">
        <v>186</v>
      </c>
      <c r="B1" s="439"/>
      <c r="C1" s="439"/>
      <c r="D1" s="439"/>
      <c r="E1" s="439"/>
      <c r="F1" s="439"/>
      <c r="G1" s="439"/>
      <c r="H1" s="439"/>
    </row>
    <row r="2" spans="1:33" ht="21.75" customHeight="1" thickBot="1">
      <c r="A2" s="96" t="s">
        <v>64</v>
      </c>
      <c r="B2" s="98" t="s">
        <v>79</v>
      </c>
      <c r="C2" s="99" t="s">
        <v>80</v>
      </c>
      <c r="D2" s="99" t="s">
        <v>81</v>
      </c>
      <c r="E2" s="99" t="s">
        <v>82</v>
      </c>
      <c r="F2" s="99" t="s">
        <v>83</v>
      </c>
      <c r="G2" s="99" t="s">
        <v>84</v>
      </c>
      <c r="H2" s="99" t="s">
        <v>85</v>
      </c>
      <c r="I2" s="99" t="s">
        <v>86</v>
      </c>
      <c r="J2" s="99" t="s">
        <v>87</v>
      </c>
      <c r="K2" s="99" t="s">
        <v>88</v>
      </c>
      <c r="L2" s="99" t="s">
        <v>89</v>
      </c>
      <c r="M2" s="99" t="s">
        <v>90</v>
      </c>
      <c r="N2" s="99" t="s">
        <v>91</v>
      </c>
      <c r="O2" s="99" t="s">
        <v>92</v>
      </c>
      <c r="P2" s="99" t="s">
        <v>93</v>
      </c>
      <c r="Q2" s="99" t="s">
        <v>94</v>
      </c>
      <c r="R2" s="99" t="s">
        <v>95</v>
      </c>
      <c r="S2" s="99" t="s">
        <v>96</v>
      </c>
      <c r="T2" s="99" t="s">
        <v>97</v>
      </c>
      <c r="U2" s="99" t="s">
        <v>98</v>
      </c>
      <c r="V2" s="99" t="s">
        <v>99</v>
      </c>
      <c r="W2" s="99" t="s">
        <v>100</v>
      </c>
      <c r="X2" s="99" t="s">
        <v>101</v>
      </c>
      <c r="Y2" s="99" t="s">
        <v>102</v>
      </c>
      <c r="Z2" s="99" t="s">
        <v>103</v>
      </c>
      <c r="AA2" s="99" t="s">
        <v>104</v>
      </c>
      <c r="AB2" s="99" t="s">
        <v>105</v>
      </c>
      <c r="AC2" s="99" t="s">
        <v>106</v>
      </c>
      <c r="AD2" s="99" t="s">
        <v>107</v>
      </c>
      <c r="AE2" s="99" t="s">
        <v>108</v>
      </c>
      <c r="AF2" s="100" t="s">
        <v>109</v>
      </c>
      <c r="AG2" s="96" t="s">
        <v>111</v>
      </c>
    </row>
    <row r="3" spans="1:33" ht="21.75" customHeight="1">
      <c r="A3" s="116" t="s">
        <v>65</v>
      </c>
      <c r="B3" s="111">
        <f>'01'!AD6</f>
        <v>0</v>
      </c>
      <c r="C3" s="111">
        <f>'02'!AD6</f>
        <v>0</v>
      </c>
      <c r="D3" s="104">
        <f>'03'!AD6</f>
        <v>0</v>
      </c>
      <c r="E3" s="104">
        <f>'04'!AD6</f>
        <v>0</v>
      </c>
      <c r="F3" s="104">
        <f>'05'!AD6</f>
        <v>0</v>
      </c>
      <c r="G3" s="104">
        <f>'06'!AD6</f>
        <v>0</v>
      </c>
      <c r="H3" s="104">
        <f>'07'!AD6</f>
        <v>0</v>
      </c>
      <c r="I3" s="104">
        <f>'08'!AD6</f>
        <v>0</v>
      </c>
      <c r="J3" s="104">
        <f>'09'!AD6</f>
        <v>0</v>
      </c>
      <c r="K3" s="104">
        <f>'10'!AD6</f>
        <v>0</v>
      </c>
      <c r="L3" s="104">
        <f>'11'!AD6</f>
        <v>0</v>
      </c>
      <c r="M3" s="104">
        <f>'12'!AD6</f>
        <v>0.58311485642946326</v>
      </c>
      <c r="N3" s="122">
        <f>'13'!AD6</f>
        <v>0.99881188118811881</v>
      </c>
      <c r="O3" s="104">
        <f>'14'!AD6</f>
        <v>0.99921259842519683</v>
      </c>
      <c r="P3" s="104">
        <f>'15'!AD6+'15'!AD7</f>
        <v>0.95476416998212532</v>
      </c>
      <c r="Q3" s="104">
        <f>'16'!AD6</f>
        <v>0.99933628318584067</v>
      </c>
      <c r="R3" s="104">
        <f>'17'!AD6</f>
        <v>0.99934640522875817</v>
      </c>
      <c r="S3" s="104">
        <f>'18'!AD6</f>
        <v>1</v>
      </c>
      <c r="T3" s="104">
        <f>'19'!AD6</f>
        <v>0.99955456570155898</v>
      </c>
      <c r="U3" s="104">
        <f>'20'!AD6</f>
        <v>0.99844097995545655</v>
      </c>
      <c r="V3" s="104">
        <f>'21'!AD6</f>
        <v>0.99821826280623605</v>
      </c>
      <c r="W3" s="122">
        <f>'22'!AD6</f>
        <v>0.49951219512195122</v>
      </c>
      <c r="X3" s="104"/>
      <c r="Y3" s="104">
        <f>'24'!AD6</f>
        <v>0.74736842105263157</v>
      </c>
      <c r="Z3" s="104">
        <f>'25'!AD6</f>
        <v>0.53974196277495767</v>
      </c>
      <c r="AA3" s="104">
        <f>'26'!AD6</f>
        <v>0</v>
      </c>
      <c r="AB3" s="104">
        <f>'27'!AD6</f>
        <v>0.79089305103148755</v>
      </c>
      <c r="AC3" s="104">
        <f>'28'!AD6</f>
        <v>0</v>
      </c>
      <c r="AD3" s="104">
        <f>'29'!AD6</f>
        <v>0</v>
      </c>
      <c r="AE3" s="104">
        <f>'30'!AD6</f>
        <v>0</v>
      </c>
      <c r="AF3" s="105"/>
      <c r="AG3" s="107">
        <f>SUM(B3:AF3)/30</f>
        <v>0.40361052109612605</v>
      </c>
    </row>
    <row r="4" spans="1:33" ht="21.75" customHeight="1">
      <c r="A4" s="117" t="s">
        <v>66</v>
      </c>
      <c r="B4" s="112">
        <f>'01'!AD7</f>
        <v>0</v>
      </c>
      <c r="C4" s="112">
        <f>'02'!AD7</f>
        <v>0</v>
      </c>
      <c r="D4" s="81">
        <f>'03'!AD7</f>
        <v>0</v>
      </c>
      <c r="E4" s="81">
        <f>'04'!AD7</f>
        <v>0</v>
      </c>
      <c r="F4" s="81">
        <f>'05'!AD7</f>
        <v>0</v>
      </c>
      <c r="G4" s="81">
        <f>'06'!AD7</f>
        <v>0.74989200863930883</v>
      </c>
      <c r="H4" s="81">
        <f>'07'!AD7</f>
        <v>0.99970134395221499</v>
      </c>
      <c r="I4" s="81">
        <f>'08'!AD7</f>
        <v>0</v>
      </c>
      <c r="J4" s="81">
        <f>'09'!AD7</f>
        <v>0.83321799307958477</v>
      </c>
      <c r="K4" s="81">
        <f>'10'!AD7</f>
        <v>0.9996031746031746</v>
      </c>
      <c r="L4" s="81">
        <f>'11'!AD7</f>
        <v>0.99959919839679356</v>
      </c>
      <c r="M4" s="81">
        <f>'12'!AD7</f>
        <v>0.99969954932398597</v>
      </c>
      <c r="N4" s="81">
        <f>'13'!AD7</f>
        <v>0.5</v>
      </c>
      <c r="O4" s="81">
        <f>'14'!AD7</f>
        <v>0</v>
      </c>
      <c r="P4" s="81">
        <f>'15'!AD8</f>
        <v>0.41640042598509053</v>
      </c>
      <c r="Q4" s="81">
        <f>'16'!AD7</f>
        <v>0.87454896907216495</v>
      </c>
      <c r="R4" s="81">
        <f>'17'!AD7</f>
        <v>0.70833333333333337</v>
      </c>
      <c r="S4" s="81">
        <f>'18'!AD7</f>
        <v>0</v>
      </c>
      <c r="T4" s="81">
        <f>'19'!AD7</f>
        <v>0.70704075425790758</v>
      </c>
      <c r="U4" s="81">
        <f>'20'!AD7</f>
        <v>0.87438307873090482</v>
      </c>
      <c r="V4" s="81">
        <f>'21'!AD7</f>
        <v>0.91666666666666663</v>
      </c>
      <c r="W4" s="81">
        <f>'22'!AD7</f>
        <v>0.99979838709677415</v>
      </c>
      <c r="X4" s="81"/>
      <c r="Y4" s="81">
        <f>'24'!AD7</f>
        <v>0.8747809762202754</v>
      </c>
      <c r="Z4" s="81">
        <f>'25'!AD7</f>
        <v>0.99919028340080973</v>
      </c>
      <c r="AA4" s="81">
        <f>'26'!AD7</f>
        <v>1.0004048582995952</v>
      </c>
      <c r="AB4" s="81">
        <f>'27'!AD7</f>
        <v>0.99869646182495342</v>
      </c>
      <c r="AC4" s="81">
        <f>'28'!AD7</f>
        <v>0.83146591970121386</v>
      </c>
      <c r="AD4" s="81">
        <f>'29'!AD7</f>
        <v>0.99954545454545451</v>
      </c>
      <c r="AE4" s="81">
        <f>'30'!AD7</f>
        <v>0.74960526315789466</v>
      </c>
      <c r="AF4" s="82"/>
      <c r="AG4" s="83">
        <f t="shared" ref="AG4:AG18" si="0">SUM(B4:AF4)/30</f>
        <v>0.60108580334293671</v>
      </c>
    </row>
    <row r="5" spans="1:33" ht="21.75" customHeight="1">
      <c r="A5" s="118" t="s">
        <v>67</v>
      </c>
      <c r="B5" s="113">
        <f>'01'!AD8</f>
        <v>0.70756340579710142</v>
      </c>
      <c r="C5" s="113">
        <f>'02'!AD8</f>
        <v>0.95667388167388179</v>
      </c>
      <c r="D5" s="84">
        <f>'03'!AD8</f>
        <v>0.99835728952772074</v>
      </c>
      <c r="E5" s="84">
        <f>'04'!AD8</f>
        <v>0.99980952380952381</v>
      </c>
      <c r="F5" s="84">
        <f>'05'!AD8</f>
        <v>0</v>
      </c>
      <c r="G5" s="84">
        <f>'06'!AD8</f>
        <v>0</v>
      </c>
      <c r="H5" s="84">
        <f>'07'!AD8</f>
        <v>0</v>
      </c>
      <c r="I5" s="84">
        <f>'08'!AD8</f>
        <v>0</v>
      </c>
      <c r="J5" s="84">
        <f>'09'!AD8</f>
        <v>0</v>
      </c>
      <c r="K5" s="84">
        <f>'10'!AD8</f>
        <v>0.99980411361410382</v>
      </c>
      <c r="L5" s="84">
        <f>'11'!AD8</f>
        <v>0.99982222222222217</v>
      </c>
      <c r="M5" s="84">
        <f>'12'!AD8</f>
        <v>0.99964349376114081</v>
      </c>
      <c r="N5" s="84">
        <f>'13'!AD8</f>
        <v>1</v>
      </c>
      <c r="O5" s="84">
        <f>'14'!AD8</f>
        <v>0.99928251121076228</v>
      </c>
      <c r="P5" s="84">
        <f>'15'!AD9</f>
        <v>0.99765765765765768</v>
      </c>
      <c r="Q5" s="84">
        <f>'16'!AD8</f>
        <v>0.99981583793738493</v>
      </c>
      <c r="R5" s="84">
        <f>'17'!AD8</f>
        <v>0.79080027359781124</v>
      </c>
      <c r="S5" s="84">
        <f>'18'!AD8</f>
        <v>0.99981185324553157</v>
      </c>
      <c r="T5" s="84">
        <f>'19'!AD8</f>
        <v>1</v>
      </c>
      <c r="U5" s="84">
        <f>'20'!AD8</f>
        <v>0</v>
      </c>
      <c r="V5" s="84">
        <f>'21'!AD8</f>
        <v>0.87416467780429596</v>
      </c>
      <c r="W5" s="123">
        <f>'22'!AD8</f>
        <v>0.99924953095684799</v>
      </c>
      <c r="X5" s="84"/>
      <c r="Y5" s="84">
        <f>'24'!AD8</f>
        <v>0.95753388946819606</v>
      </c>
      <c r="Z5" s="84">
        <f>'25'!AD8</f>
        <v>0.99927073837739289</v>
      </c>
      <c r="AA5" s="84">
        <f>'26'!AD8</f>
        <v>0</v>
      </c>
      <c r="AB5" s="84">
        <f>'27'!AD8</f>
        <v>0.78996872207327962</v>
      </c>
      <c r="AC5" s="84">
        <f>'28'!AD8</f>
        <v>0.99880749574105621</v>
      </c>
      <c r="AD5" s="84">
        <f>'29'!AD8</f>
        <v>0.99896193771626296</v>
      </c>
      <c r="AE5" s="84">
        <f>'30'!AD8</f>
        <v>0.99307958477508651</v>
      </c>
      <c r="AF5" s="85"/>
      <c r="AG5" s="86">
        <f t="shared" si="0"/>
        <v>0.70200262136557534</v>
      </c>
    </row>
    <row r="6" spans="1:33" ht="21.75" customHeight="1">
      <c r="A6" s="119" t="s">
        <v>68</v>
      </c>
      <c r="B6" s="114">
        <f>'01'!AD9</f>
        <v>0.37374401913875599</v>
      </c>
      <c r="C6" s="114">
        <f>'02'!AD9</f>
        <v>0</v>
      </c>
      <c r="D6" s="87">
        <f>'03'!AD9</f>
        <v>0.54166666666666663</v>
      </c>
      <c r="E6" s="87">
        <f>'04'!AD9</f>
        <v>0.99947552447552446</v>
      </c>
      <c r="F6" s="87">
        <f>'05'!AD9</f>
        <v>0.37329545454545454</v>
      </c>
      <c r="G6" s="87">
        <f>'06'!AD9</f>
        <v>0.79146393512590685</v>
      </c>
      <c r="H6" s="87">
        <f>'07'!AD9</f>
        <v>0.79029156327543426</v>
      </c>
      <c r="I6" s="87">
        <f>'08'!AD9</f>
        <v>0.99980205859065718</v>
      </c>
      <c r="J6" s="87">
        <f>'09'!AD9</f>
        <v>0.79080381471389638</v>
      </c>
      <c r="K6" s="87">
        <f>'10'!AD9</f>
        <v>0.99920477137176933</v>
      </c>
      <c r="L6" s="87">
        <f>'11'!AD9</f>
        <v>0.9989429175475687</v>
      </c>
      <c r="M6" s="87">
        <f>'12'!AD9</f>
        <v>0.99883945841392652</v>
      </c>
      <c r="N6" s="87">
        <f>'13'!AD9</f>
        <v>0.79004154447702835</v>
      </c>
      <c r="O6" s="87">
        <f>'14'!AD9</f>
        <v>0.99935897435897436</v>
      </c>
      <c r="P6" s="87">
        <f>'15'!AD10</f>
        <v>0.99978448275862064</v>
      </c>
      <c r="Q6" s="87">
        <f>'16'!AD9+'16'!AD10</f>
        <v>0.91482966186087522</v>
      </c>
      <c r="R6" s="87">
        <f>'17'!AD9</f>
        <v>0.45833333333333331</v>
      </c>
      <c r="S6" s="87">
        <f>'18'!AD9</f>
        <v>0.58252595155709341</v>
      </c>
      <c r="T6" s="87">
        <f>'19'!AD9</f>
        <v>0.91519157088122605</v>
      </c>
      <c r="U6" s="87">
        <f>'20'!AD9</f>
        <v>1</v>
      </c>
      <c r="V6" s="87">
        <f>'21'!AD9</f>
        <v>0.9988562091503268</v>
      </c>
      <c r="W6" s="87">
        <f>'22'!AD9</f>
        <v>0.99982935153583619</v>
      </c>
      <c r="X6" s="87"/>
      <c r="Y6" s="87">
        <f>'24'!AD9+'24'!AD10</f>
        <v>0.95584855870288943</v>
      </c>
      <c r="Z6" s="87">
        <f>'25'!AD9</f>
        <v>0.91621399176954732</v>
      </c>
      <c r="AA6" s="87">
        <f>'26'!AD9</f>
        <v>0.99962121212121213</v>
      </c>
      <c r="AB6" s="87">
        <f>'27'!AD9</f>
        <v>0.74819277108433735</v>
      </c>
      <c r="AC6" s="87">
        <f>'28'!AD9</f>
        <v>0.99862068965517237</v>
      </c>
      <c r="AD6" s="87">
        <f>'29'!AD9</f>
        <v>0.70750000000000002</v>
      </c>
      <c r="AE6" s="87">
        <f>'30'!AD9</f>
        <v>0.99849624060150377</v>
      </c>
      <c r="AF6" s="88"/>
      <c r="AG6" s="89">
        <f t="shared" si="0"/>
        <v>0.7880258242571182</v>
      </c>
    </row>
    <row r="7" spans="1:33" ht="21.75" customHeight="1">
      <c r="A7" s="119" t="s">
        <v>69</v>
      </c>
      <c r="B7" s="114">
        <f>'01'!AD10</f>
        <v>0.58106060606060617</v>
      </c>
      <c r="C7" s="114">
        <f>'02'!AD10</f>
        <v>0.78976158645276284</v>
      </c>
      <c r="D7" s="87">
        <f>'03'!AD10</f>
        <v>0.79166666666666663</v>
      </c>
      <c r="E7" s="87">
        <f>'04'!AD10</f>
        <v>0.91541666666666666</v>
      </c>
      <c r="F7" s="87">
        <f>'05'!AD10</f>
        <v>0.58296760710553819</v>
      </c>
      <c r="G7" s="87">
        <f>'06'!AD10</f>
        <v>0</v>
      </c>
      <c r="H7" s="87">
        <f>'07'!AD10</f>
        <v>0</v>
      </c>
      <c r="I7" s="87">
        <f>'08'!AD10</f>
        <v>0</v>
      </c>
      <c r="J7" s="87">
        <f>'09'!AD10</f>
        <v>0</v>
      </c>
      <c r="K7" s="87">
        <f>'10'!AD10</f>
        <v>0</v>
      </c>
      <c r="L7" s="87">
        <f>'11'!AD10</f>
        <v>0</v>
      </c>
      <c r="M7" s="87">
        <f>'12'!AD10</f>
        <v>0.87476510067114088</v>
      </c>
      <c r="N7" s="87">
        <f>'13'!AD10</f>
        <v>0.99980952380952381</v>
      </c>
      <c r="O7" s="87">
        <f>'14'!AD10</f>
        <v>0.83333333333333337</v>
      </c>
      <c r="P7" s="87">
        <f>'15'!AD11</f>
        <v>0.9992402659069326</v>
      </c>
      <c r="Q7" s="87">
        <f>'16'!AD11</f>
        <v>0.99980657640232107</v>
      </c>
      <c r="R7" s="87">
        <f>'17'!AD10</f>
        <v>0.54126838235294117</v>
      </c>
      <c r="S7" s="87">
        <f>'18'!AD10</f>
        <v>0.87420903954802254</v>
      </c>
      <c r="T7" s="87">
        <f>'19'!AD10</f>
        <v>0.99943449575871823</v>
      </c>
      <c r="U7" s="87">
        <f>'20'!AD10</f>
        <v>0.79166666666666663</v>
      </c>
      <c r="V7" s="87">
        <f>'21'!AD10</f>
        <v>0.99962085308056869</v>
      </c>
      <c r="W7" s="87">
        <f>'22'!AD10</f>
        <v>0.9998015873015873</v>
      </c>
      <c r="X7" s="87"/>
      <c r="Y7" s="87">
        <f>'24'!AD11</f>
        <v>0</v>
      </c>
      <c r="Z7" s="87">
        <f>'25'!AD10</f>
        <v>0.83293603496225666</v>
      </c>
      <c r="AA7" s="87">
        <f>'26'!AD10</f>
        <v>0.99924170616113739</v>
      </c>
      <c r="AB7" s="87">
        <f>'27'!AD10</f>
        <v>0.83289588801399828</v>
      </c>
      <c r="AC7" s="87">
        <f>'28'!AD10</f>
        <v>0.83333333333333337</v>
      </c>
      <c r="AD7" s="87">
        <f>'29'!AD10</f>
        <v>0.7915853171205115</v>
      </c>
      <c r="AE7" s="87">
        <f>'30'!AD10</f>
        <v>1.0268914362778152</v>
      </c>
      <c r="AF7" s="88"/>
      <c r="AG7" s="89">
        <f t="shared" si="0"/>
        <v>0.62969042245510154</v>
      </c>
    </row>
    <row r="8" spans="1:33" ht="21.75" customHeight="1">
      <c r="A8" s="119" t="s">
        <v>70</v>
      </c>
      <c r="B8" s="114">
        <f>'01'!AD11</f>
        <v>0</v>
      </c>
      <c r="C8" s="114">
        <f>'02'!AD11</f>
        <v>0</v>
      </c>
      <c r="D8" s="87">
        <f>'03'!AD11</f>
        <v>0</v>
      </c>
      <c r="E8" s="87">
        <f>'04'!AD11</f>
        <v>0.16466666666666666</v>
      </c>
      <c r="F8" s="87">
        <f>'05'!AD11</f>
        <v>0</v>
      </c>
      <c r="G8" s="87">
        <f>'06'!AD11</f>
        <v>0.58333333333333337</v>
      </c>
      <c r="H8" s="87">
        <f>'07'!AD11</f>
        <v>0</v>
      </c>
      <c r="I8" s="87">
        <f>'08'!AD11</f>
        <v>0</v>
      </c>
      <c r="J8" s="87">
        <f>'09'!AD11</f>
        <v>0</v>
      </c>
      <c r="K8" s="87">
        <f>'10'!AD11</f>
        <v>0.83333333333333337</v>
      </c>
      <c r="L8" s="87">
        <f>'11'!AD11</f>
        <v>0.875</v>
      </c>
      <c r="M8" s="87">
        <f>'12'!AD11</f>
        <v>0.6642570281124498</v>
      </c>
      <c r="N8" s="87">
        <f>'13'!AD11</f>
        <v>0.99876033057851243</v>
      </c>
      <c r="O8" s="87">
        <f>'14'!AD11</f>
        <v>0.41496598639455784</v>
      </c>
      <c r="P8" s="87">
        <f>'15'!AD12</f>
        <v>0</v>
      </c>
      <c r="Q8" s="87">
        <f>'16'!AD12</f>
        <v>0</v>
      </c>
      <c r="R8" s="87">
        <f>'17'!AD11</f>
        <v>0</v>
      </c>
      <c r="S8" s="87">
        <f>'18'!AD11</f>
        <v>0.66617647058823526</v>
      </c>
      <c r="T8" s="87">
        <f>'19'!AD11</f>
        <v>0.99980732177263965</v>
      </c>
      <c r="U8" s="87">
        <f>'20'!AD11</f>
        <v>0</v>
      </c>
      <c r="V8" s="87">
        <f>'21'!AD11</f>
        <v>0</v>
      </c>
      <c r="W8" s="87">
        <f>'22'!AD11</f>
        <v>0</v>
      </c>
      <c r="X8" s="87"/>
      <c r="Y8" s="87">
        <f>'24'!AD12</f>
        <v>0</v>
      </c>
      <c r="Z8" s="87">
        <f>'25'!AD11</f>
        <v>0.79095130522088353</v>
      </c>
      <c r="AA8" s="87">
        <f>'26'!AD11+'26'!AD12</f>
        <v>0.91600877192982455</v>
      </c>
      <c r="AB8" s="87">
        <f>'27'!AD11</f>
        <v>0</v>
      </c>
      <c r="AC8" s="87">
        <f>'28'!AD11</f>
        <v>0.54145171957671956</v>
      </c>
      <c r="AD8" s="87">
        <f>'29'!AD11</f>
        <v>0</v>
      </c>
      <c r="AE8" s="87">
        <f>'30'!AD11</f>
        <v>0</v>
      </c>
      <c r="AF8" s="88"/>
      <c r="AG8" s="89">
        <f t="shared" si="0"/>
        <v>0.28162374225023856</v>
      </c>
    </row>
    <row r="9" spans="1:33" ht="21.75" customHeight="1">
      <c r="A9" s="119" t="s">
        <v>71</v>
      </c>
      <c r="B9" s="114">
        <f>'01'!AD12+'01'!AD13</f>
        <v>0.33333333333333337</v>
      </c>
      <c r="C9" s="114">
        <f>'02'!AD12</f>
        <v>0</v>
      </c>
      <c r="D9" s="87">
        <f>'03'!AD12</f>
        <v>0</v>
      </c>
      <c r="E9" s="87">
        <f>'04'!AD12</f>
        <v>0</v>
      </c>
      <c r="F9" s="87">
        <f>'05'!AD12</f>
        <v>0</v>
      </c>
      <c r="G9" s="87">
        <f>'06'!AD12</f>
        <v>0</v>
      </c>
      <c r="H9" s="87">
        <f>'07'!AD12</f>
        <v>0</v>
      </c>
      <c r="I9" s="87">
        <f>'08'!AD12</f>
        <v>0</v>
      </c>
      <c r="J9" s="87">
        <f>'09'!AD12</f>
        <v>0</v>
      </c>
      <c r="K9" s="87">
        <f>'10'!AD12</f>
        <v>0</v>
      </c>
      <c r="L9" s="87">
        <f>'11'!AD12</f>
        <v>0</v>
      </c>
      <c r="M9" s="87">
        <f>'12'!AD12</f>
        <v>0</v>
      </c>
      <c r="N9" s="87">
        <f>'13'!AD12</f>
        <v>0</v>
      </c>
      <c r="O9" s="87">
        <f>'14'!AD12</f>
        <v>0</v>
      </c>
      <c r="P9" s="87">
        <f>'15'!AD13</f>
        <v>0</v>
      </c>
      <c r="Q9" s="87">
        <f>'16'!AD13</f>
        <v>0.45650912106135982</v>
      </c>
      <c r="R9" s="87">
        <f>'17'!AD12</f>
        <v>0.58121639784946233</v>
      </c>
      <c r="S9" s="87">
        <f>'18'!AD12</f>
        <v>0.99862700228832957</v>
      </c>
      <c r="T9" s="87">
        <f>'19'!AD12</f>
        <v>0.41594827586206901</v>
      </c>
      <c r="U9" s="87">
        <f>'20'!AD12</f>
        <v>0.49826086956521737</v>
      </c>
      <c r="V9" s="87">
        <f>'21'!AD12</f>
        <v>0.99941747572815531</v>
      </c>
      <c r="W9" s="87">
        <f>'22'!AD12</f>
        <v>0.33281249999999996</v>
      </c>
      <c r="X9" s="87"/>
      <c r="Y9" s="87">
        <f>'24'!AD13</f>
        <v>0.74928115015974439</v>
      </c>
      <c r="Z9" s="87">
        <f>'25'!AD12</f>
        <v>0.99902723735408561</v>
      </c>
      <c r="AA9" s="87">
        <f>'26'!AD13</f>
        <v>0.99960861056751471</v>
      </c>
      <c r="AB9" s="87">
        <f>'27'!AD12</f>
        <v>0.24861111111111112</v>
      </c>
      <c r="AC9" s="87">
        <f>'28'!AD12</f>
        <v>0.95812812276945047</v>
      </c>
      <c r="AD9" s="87">
        <f>'29'!AD12</f>
        <v>0.99944029850746263</v>
      </c>
      <c r="AE9" s="87">
        <f>'30'!AD12</f>
        <v>0.79145095367847407</v>
      </c>
      <c r="AF9" s="88"/>
      <c r="AG9" s="89">
        <f t="shared" si="0"/>
        <v>0.34538908199452567</v>
      </c>
    </row>
    <row r="10" spans="1:33" ht="21.75" customHeight="1">
      <c r="A10" s="119" t="s">
        <v>72</v>
      </c>
      <c r="B10" s="114">
        <f>'01'!AD14</f>
        <v>0</v>
      </c>
      <c r="C10" s="114">
        <f>'02'!AD13</f>
        <v>0.49923469387755104</v>
      </c>
      <c r="D10" s="87">
        <f>'03'!AD13</f>
        <v>0</v>
      </c>
      <c r="E10" s="87">
        <f>'04'!AD13</f>
        <v>0.12465277777777778</v>
      </c>
      <c r="F10" s="87">
        <f>'05'!AD13</f>
        <v>0</v>
      </c>
      <c r="G10" s="87">
        <f>'06'!AD13</f>
        <v>0</v>
      </c>
      <c r="H10" s="87">
        <f>'07'!AD13</f>
        <v>0</v>
      </c>
      <c r="I10" s="87">
        <f>'08'!AD13</f>
        <v>0</v>
      </c>
      <c r="J10" s="87">
        <f>'09'!AD13</f>
        <v>0</v>
      </c>
      <c r="K10" s="87">
        <f>'10'!AD13</f>
        <v>0</v>
      </c>
      <c r="L10" s="87">
        <f>'11'!AD13</f>
        <v>0</v>
      </c>
      <c r="M10" s="87">
        <f>'12'!AD13</f>
        <v>0</v>
      </c>
      <c r="N10" s="87">
        <f>'13'!AD13</f>
        <v>0</v>
      </c>
      <c r="O10" s="87">
        <f>'14'!AD13</f>
        <v>0</v>
      </c>
      <c r="P10" s="87">
        <f>'15'!AD14</f>
        <v>0</v>
      </c>
      <c r="Q10" s="87">
        <f>'16'!AD14</f>
        <v>0.95810461416070014</v>
      </c>
      <c r="R10" s="87">
        <f>'17'!AD13</f>
        <v>0.78942873969375738</v>
      </c>
      <c r="S10" s="87">
        <f>'18'!AD13</f>
        <v>0.99941060903732815</v>
      </c>
      <c r="T10" s="87">
        <f>'19'!AD13+'19'!AD14+'19'!AD15+'19'!AD16</f>
        <v>0.87199777951933111</v>
      </c>
      <c r="U10" s="87">
        <f>'20'!AD13</f>
        <v>0.99937629937629935</v>
      </c>
      <c r="V10" s="87">
        <f>'21'!AD13+'21'!AD14+'21'!AD15</f>
        <v>0.66250721670177581</v>
      </c>
      <c r="W10" s="87">
        <f>'22'!AD13</f>
        <v>0</v>
      </c>
      <c r="X10" s="87"/>
      <c r="Y10" s="87">
        <f>'24'!AD14</f>
        <v>0.41558441558441561</v>
      </c>
      <c r="Z10" s="87">
        <f>'25'!AD13</f>
        <v>0</v>
      </c>
      <c r="AA10" s="87">
        <f>'26'!AD14</f>
        <v>0</v>
      </c>
      <c r="AB10" s="87">
        <f>'27'!AD13</f>
        <v>0.83216945996275604</v>
      </c>
      <c r="AC10" s="87">
        <f>'28'!AD13</f>
        <v>1</v>
      </c>
      <c r="AD10" s="87">
        <f>'29'!AD13</f>
        <v>0.9983758700696056</v>
      </c>
      <c r="AE10" s="87">
        <f>'30'!AD13</f>
        <v>0</v>
      </c>
      <c r="AF10" s="88"/>
      <c r="AG10" s="89">
        <f t="shared" si="0"/>
        <v>0.30502808252537661</v>
      </c>
    </row>
    <row r="11" spans="1:33" ht="21.75" customHeight="1">
      <c r="A11" s="118" t="s">
        <v>73</v>
      </c>
      <c r="B11" s="113">
        <f>'01'!AD15</f>
        <v>0</v>
      </c>
      <c r="C11" s="113">
        <f>'02'!AD14</f>
        <v>0</v>
      </c>
      <c r="D11" s="84">
        <f>'03'!AD14</f>
        <v>0</v>
      </c>
      <c r="E11" s="84">
        <f>'04'!AD14</f>
        <v>0</v>
      </c>
      <c r="F11" s="84">
        <f>'05'!AD14</f>
        <v>0</v>
      </c>
      <c r="G11" s="84">
        <f>'06'!AD14</f>
        <v>0</v>
      </c>
      <c r="H11" s="84">
        <f>'07'!AD14</f>
        <v>0</v>
      </c>
      <c r="I11" s="84">
        <f>'08'!AD14</f>
        <v>0</v>
      </c>
      <c r="J11" s="84">
        <f>'09'!AD14</f>
        <v>0</v>
      </c>
      <c r="K11" s="84">
        <f>'10'!AD14</f>
        <v>0</v>
      </c>
      <c r="L11" s="84">
        <f>'11'!AD14</f>
        <v>0</v>
      </c>
      <c r="M11" s="84">
        <f>'12'!AD14</f>
        <v>0</v>
      </c>
      <c r="N11" s="84">
        <f>'13'!AD14</f>
        <v>0.58188705234159777</v>
      </c>
      <c r="O11" s="84">
        <f>'14'!AD14</f>
        <v>0.25</v>
      </c>
      <c r="P11" s="84">
        <f>'15'!AD15</f>
        <v>0</v>
      </c>
      <c r="Q11" s="84">
        <f>'16'!AD15</f>
        <v>0</v>
      </c>
      <c r="R11" s="84">
        <f>'17'!AD14</f>
        <v>0.58145161290322589</v>
      </c>
      <c r="S11" s="84">
        <f>'18'!AD14</f>
        <v>0.99863813229571985</v>
      </c>
      <c r="T11" s="84">
        <f>'19'!AD17</f>
        <v>0.99958246346555324</v>
      </c>
      <c r="U11" s="84">
        <f>'20'!AD14</f>
        <v>0</v>
      </c>
      <c r="V11" s="84">
        <f>'21'!AD16</f>
        <v>0</v>
      </c>
      <c r="W11" s="84">
        <f>'22'!AD14</f>
        <v>0</v>
      </c>
      <c r="X11" s="84"/>
      <c r="Y11" s="84">
        <f>'24'!AD15</f>
        <v>0</v>
      </c>
      <c r="Z11" s="84">
        <f>'25'!AD14</f>
        <v>0</v>
      </c>
      <c r="AA11" s="84">
        <f>'26'!AD15</f>
        <v>0</v>
      </c>
      <c r="AB11" s="84">
        <f>'27'!AD14</f>
        <v>0</v>
      </c>
      <c r="AC11" s="84">
        <f>'28'!AD14</f>
        <v>0</v>
      </c>
      <c r="AD11" s="84">
        <f>'29'!AD14</f>
        <v>0</v>
      </c>
      <c r="AE11" s="84">
        <f>'30'!AD14</f>
        <v>0</v>
      </c>
      <c r="AF11" s="85"/>
      <c r="AG11" s="86">
        <f t="shared" si="0"/>
        <v>0.11371864203353656</v>
      </c>
    </row>
    <row r="12" spans="1:33" ht="21.75" customHeight="1">
      <c r="A12" s="118" t="s">
        <v>74</v>
      </c>
      <c r="B12" s="113">
        <f>'01'!AD16</f>
        <v>0</v>
      </c>
      <c r="C12" s="113">
        <f>'02'!AD15</f>
        <v>0</v>
      </c>
      <c r="D12" s="84">
        <f>'03'!AD15</f>
        <v>0</v>
      </c>
      <c r="E12" s="84">
        <f>'04'!AD15</f>
        <v>0</v>
      </c>
      <c r="F12" s="84">
        <f>'05'!AD15</f>
        <v>0</v>
      </c>
      <c r="G12" s="84">
        <f>'06'!AD15</f>
        <v>0.87460227272727264</v>
      </c>
      <c r="H12" s="84">
        <f>'07'!AD15</f>
        <v>0.87480533926585091</v>
      </c>
      <c r="I12" s="84">
        <f>'08'!AD15</f>
        <v>0.9994946304485155</v>
      </c>
      <c r="J12" s="84">
        <f>'09'!AD15</f>
        <v>0.375</v>
      </c>
      <c r="K12" s="84">
        <f>'10'!AD15</f>
        <v>0.37463768115942031</v>
      </c>
      <c r="L12" s="84">
        <f>'11'!AD15</f>
        <v>0.58287037037037037</v>
      </c>
      <c r="M12" s="84">
        <f>'12'!AD15</f>
        <v>0.99943555973659459</v>
      </c>
      <c r="N12" s="84">
        <f>'13'!AD15</f>
        <v>0.99868297271872064</v>
      </c>
      <c r="O12" s="84">
        <f>'14'!AD15</f>
        <v>0.8743682310469314</v>
      </c>
      <c r="P12" s="84">
        <f>'15'!AD16</f>
        <v>0.99961538461538457</v>
      </c>
      <c r="Q12" s="84">
        <f>'16'!AD16</f>
        <v>1</v>
      </c>
      <c r="R12" s="84">
        <f>'17'!AD15</f>
        <v>0.99981238273921202</v>
      </c>
      <c r="S12" s="84">
        <f>'18'!AD15</f>
        <v>0.49953271028037383</v>
      </c>
      <c r="T12" s="84">
        <f>'19'!AD18</f>
        <v>0.83333333333333337</v>
      </c>
      <c r="U12" s="84">
        <f>'20'!AD15</f>
        <v>0</v>
      </c>
      <c r="V12" s="84">
        <f>'21'!AD17</f>
        <v>0</v>
      </c>
      <c r="W12" s="84">
        <f>'22'!AD15</f>
        <v>0</v>
      </c>
      <c r="X12" s="84"/>
      <c r="Y12" s="84">
        <f>'24'!AD16</f>
        <v>0</v>
      </c>
      <c r="Z12" s="84">
        <f>'25'!AD15</f>
        <v>0</v>
      </c>
      <c r="AA12" s="84">
        <f>'26'!AD16</f>
        <v>0</v>
      </c>
      <c r="AB12" s="84">
        <f>'27'!AD15</f>
        <v>0</v>
      </c>
      <c r="AC12" s="84">
        <f>'28'!AD15</f>
        <v>0</v>
      </c>
      <c r="AD12" s="84">
        <f>'29'!AD15</f>
        <v>0</v>
      </c>
      <c r="AE12" s="84">
        <f>'30'!AD15</f>
        <v>0</v>
      </c>
      <c r="AF12" s="85"/>
      <c r="AG12" s="86">
        <f t="shared" si="0"/>
        <v>0.37620636228139931</v>
      </c>
    </row>
    <row r="13" spans="1:33" ht="21.75" customHeight="1">
      <c r="A13" s="118" t="s">
        <v>75</v>
      </c>
      <c r="B13" s="113">
        <f>'01'!AD17</f>
        <v>0</v>
      </c>
      <c r="C13" s="113">
        <f>'02'!AD16</f>
        <v>0</v>
      </c>
      <c r="D13" s="84">
        <f>'03'!AD16</f>
        <v>0</v>
      </c>
      <c r="E13" s="84">
        <f>'04'!AD16</f>
        <v>0</v>
      </c>
      <c r="F13" s="84">
        <f>'05'!AD16</f>
        <v>0</v>
      </c>
      <c r="G13" s="84">
        <f>'06'!AD16</f>
        <v>0</v>
      </c>
      <c r="H13" s="84">
        <f>'07'!AD16</f>
        <v>0.95833333333333337</v>
      </c>
      <c r="I13" s="84">
        <f>'08'!AD16</f>
        <v>0.8311274509803922</v>
      </c>
      <c r="J13" s="84">
        <f>'09'!AD16</f>
        <v>0</v>
      </c>
      <c r="K13" s="84">
        <f>'10'!AD16</f>
        <v>0.12441860465116279</v>
      </c>
      <c r="L13" s="84">
        <f>'11'!AD16</f>
        <v>0</v>
      </c>
      <c r="M13" s="84">
        <f>'12'!AD16</f>
        <v>0.74974704890387855</v>
      </c>
      <c r="N13" s="84">
        <f>'13'!AD16</f>
        <v>0.99917864476386042</v>
      </c>
      <c r="O13" s="84">
        <f>'14'!AD16</f>
        <v>0.78782142857142856</v>
      </c>
      <c r="P13" s="84">
        <f>'15'!AD17</f>
        <v>0.99979919678714857</v>
      </c>
      <c r="Q13" s="84">
        <f>'16'!AD17</f>
        <v>0.37477611940298505</v>
      </c>
      <c r="R13" s="84">
        <f>'17'!AD16</f>
        <v>0.66666666666666663</v>
      </c>
      <c r="S13" s="84">
        <f>'18'!AD16</f>
        <v>0.99831932773109244</v>
      </c>
      <c r="T13" s="84">
        <f>'19'!AD19</f>
        <v>0.99958419958419964</v>
      </c>
      <c r="U13" s="84">
        <f>'20'!AD16+'20'!AD17</f>
        <v>0.91568168934240368</v>
      </c>
      <c r="V13" s="84">
        <f>'21'!AD18</f>
        <v>0.99982817869415808</v>
      </c>
      <c r="W13" s="84">
        <f>'22'!AD16</f>
        <v>0.99740484429065746</v>
      </c>
      <c r="X13" s="84"/>
      <c r="Y13" s="84">
        <f>'24'!AD17</f>
        <v>0.95656682027649764</v>
      </c>
      <c r="Z13" s="84">
        <f>'25'!AD16</f>
        <v>0.9996569468267581</v>
      </c>
      <c r="AA13" s="84">
        <f>'26'!AD17</f>
        <v>0.91666666666666663</v>
      </c>
      <c r="AB13" s="84">
        <f>'27'!AD16</f>
        <v>0.9989708404802744</v>
      </c>
      <c r="AC13" s="84">
        <f>'28'!AD16</f>
        <v>0.99875222816399289</v>
      </c>
      <c r="AD13" s="84">
        <f>'29'!AD16</f>
        <v>0</v>
      </c>
      <c r="AE13" s="84">
        <f>'30'!AD16</f>
        <v>0</v>
      </c>
      <c r="AF13" s="85"/>
      <c r="AG13" s="86">
        <f t="shared" si="0"/>
        <v>0.54244334120391857</v>
      </c>
    </row>
    <row r="14" spans="1:33" ht="21.75" customHeight="1">
      <c r="A14" s="118" t="s">
        <v>76</v>
      </c>
      <c r="B14" s="113">
        <f>'01'!AD18</f>
        <v>0.66580645161290319</v>
      </c>
      <c r="C14" s="113">
        <f>'02'!AD17</f>
        <v>0.7903472222222222</v>
      </c>
      <c r="D14" s="84">
        <f>'03'!AD17</f>
        <v>0.53979885057471255</v>
      </c>
      <c r="E14" s="84">
        <f>'04'!AD17</f>
        <v>0.58235458612975388</v>
      </c>
      <c r="F14" s="84">
        <f>'05'!AD17</f>
        <v>0.16666666666666666</v>
      </c>
      <c r="G14" s="84">
        <f>'06'!AD17</f>
        <v>0</v>
      </c>
      <c r="H14" s="84">
        <f>'07'!AD17</f>
        <v>0</v>
      </c>
      <c r="I14" s="84">
        <f>'08'!AD17</f>
        <v>0</v>
      </c>
      <c r="J14" s="84">
        <f>'09'!AD17</f>
        <v>0.7904995904995904</v>
      </c>
      <c r="K14" s="84">
        <f>'10'!AD17</f>
        <v>0.83333333333333337</v>
      </c>
      <c r="L14" s="84">
        <f>'11'!AD17</f>
        <v>0.3745945945945946</v>
      </c>
      <c r="M14" s="84">
        <f>'12'!AD17</f>
        <v>0</v>
      </c>
      <c r="N14" s="84">
        <f>'13'!AD17</f>
        <v>0.24971264367816093</v>
      </c>
      <c r="O14" s="84">
        <f>'14'!AD17</f>
        <v>0.37351973684210527</v>
      </c>
      <c r="P14" s="84">
        <f>'15'!AD18</f>
        <v>0.58294701986754971</v>
      </c>
      <c r="Q14" s="84">
        <f>'16'!AD18</f>
        <v>0.99904397705544934</v>
      </c>
      <c r="R14" s="84">
        <f>'17'!AD17</f>
        <v>0.99849340866290015</v>
      </c>
      <c r="S14" s="84">
        <f>'18'!AD17</f>
        <v>0.45783514492753619</v>
      </c>
      <c r="T14" s="84">
        <f>'19'!AD20</f>
        <v>0.87437796208530805</v>
      </c>
      <c r="U14" s="84">
        <f>'20'!AD18</f>
        <v>0.45734978540772531</v>
      </c>
      <c r="V14" s="84">
        <f>'21'!AD19</f>
        <v>0.83209570957095713</v>
      </c>
      <c r="W14" s="84">
        <f>'22'!AD17</f>
        <v>0.91628709454796409</v>
      </c>
      <c r="X14" s="84"/>
      <c r="Y14" s="84">
        <f>'24'!AD18</f>
        <v>0.16499999999999998</v>
      </c>
      <c r="Z14" s="84">
        <f>'25'!AD17</f>
        <v>0</v>
      </c>
      <c r="AA14" s="84">
        <f>'26'!AD18</f>
        <v>0</v>
      </c>
      <c r="AB14" s="84">
        <f>'27'!AD17</f>
        <v>0</v>
      </c>
      <c r="AC14" s="84">
        <f>'28'!AD17</f>
        <v>0.99903846153846154</v>
      </c>
      <c r="AD14" s="84">
        <f>'29'!AD17</f>
        <v>1</v>
      </c>
      <c r="AE14" s="84">
        <f>'30'!AD17</f>
        <v>0</v>
      </c>
      <c r="AF14" s="85"/>
      <c r="AG14" s="86">
        <f t="shared" si="0"/>
        <v>0.45497007466059647</v>
      </c>
    </row>
    <row r="15" spans="1:33" ht="21.75" customHeight="1">
      <c r="A15" s="119" t="s">
        <v>77</v>
      </c>
      <c r="B15" s="114">
        <f>'01'!AD19</f>
        <v>0.3314102564102564</v>
      </c>
      <c r="C15" s="114">
        <f>'02'!AD18</f>
        <v>0.28904914529914533</v>
      </c>
      <c r="D15" s="87">
        <f>'03'!AD18</f>
        <v>0</v>
      </c>
      <c r="E15" s="87">
        <f>'04'!AD18</f>
        <v>0</v>
      </c>
      <c r="F15" s="87">
        <f>'05'!AD18</f>
        <v>0</v>
      </c>
      <c r="G15" s="87">
        <f>'06'!AD18</f>
        <v>0.9581493921944978</v>
      </c>
      <c r="H15" s="87">
        <f>'07'!AD18</f>
        <v>0.74864457831325304</v>
      </c>
      <c r="I15" s="87">
        <f>'08'!AD18</f>
        <v>0.5</v>
      </c>
      <c r="J15" s="87">
        <f>'09'!AD18</f>
        <v>0</v>
      </c>
      <c r="K15" s="87">
        <f>'10'!AD18</f>
        <v>0.49974937343358394</v>
      </c>
      <c r="L15" s="87">
        <f>'11'!AD18</f>
        <v>0</v>
      </c>
      <c r="M15" s="87">
        <f>'12'!AD18</f>
        <v>0.58308615819209042</v>
      </c>
      <c r="N15" s="87">
        <f>'13'!AD18</f>
        <v>0</v>
      </c>
      <c r="O15" s="87">
        <f>'14'!AD18</f>
        <v>0</v>
      </c>
      <c r="P15" s="87">
        <f>'15'!AD19</f>
        <v>0</v>
      </c>
      <c r="Q15" s="87">
        <f>'16'!AD19</f>
        <v>0.16458333333333333</v>
      </c>
      <c r="R15" s="87">
        <f>'17'!AD18</f>
        <v>0.87307162534435256</v>
      </c>
      <c r="S15" s="87">
        <f>'18'!AD18</f>
        <v>0.91519157088122605</v>
      </c>
      <c r="T15" s="87">
        <f>'19'!AD21</f>
        <v>0.91516393442622945</v>
      </c>
      <c r="U15" s="87">
        <f>'20'!AD19</f>
        <v>0.83149678604224053</v>
      </c>
      <c r="V15" s="87">
        <f>'21'!AD20</f>
        <v>0.83193668528864062</v>
      </c>
      <c r="W15" s="87">
        <f>'22'!AD18</f>
        <v>0.33180428134556572</v>
      </c>
      <c r="X15" s="87"/>
      <c r="Y15" s="87">
        <f>'24'!AD19</f>
        <v>0</v>
      </c>
      <c r="Z15" s="87">
        <f>'25'!AD18</f>
        <v>0.91506249999999989</v>
      </c>
      <c r="AA15" s="87">
        <f>'26'!AD19</f>
        <v>0.16463963963963962</v>
      </c>
      <c r="AB15" s="87">
        <f>'27'!AD18</f>
        <v>0.66422764227642273</v>
      </c>
      <c r="AC15" s="87">
        <f>'28'!AD18</f>
        <v>0.58282387190684137</v>
      </c>
      <c r="AD15" s="87">
        <f>'29'!AD18</f>
        <v>0.62480769230769229</v>
      </c>
      <c r="AE15" s="87">
        <f>'30'!AD18</f>
        <v>0.87341986455981946</v>
      </c>
      <c r="AF15" s="88"/>
      <c r="AG15" s="89">
        <f t="shared" si="0"/>
        <v>0.41994394437316102</v>
      </c>
    </row>
    <row r="16" spans="1:33" ht="21.75" customHeight="1">
      <c r="A16" s="119" t="s">
        <v>78</v>
      </c>
      <c r="B16" s="114">
        <f>'01'!AD20</f>
        <v>0.125</v>
      </c>
      <c r="C16" s="114">
        <f>'02'!AD19</f>
        <v>0</v>
      </c>
      <c r="D16" s="87">
        <f>'03'!AD19</f>
        <v>0.99958333333333338</v>
      </c>
      <c r="E16" s="87">
        <f>'04'!AD19</f>
        <v>0.95740471576227393</v>
      </c>
      <c r="F16" s="87">
        <f>'05'!AD19</f>
        <v>0</v>
      </c>
      <c r="G16" s="87">
        <f>'06'!AD19</f>
        <v>0.24956521739130436</v>
      </c>
      <c r="H16" s="87">
        <f>'07'!AD19</f>
        <v>0.2490506329113924</v>
      </c>
      <c r="I16" s="87">
        <f>'08'!AD19</f>
        <v>0</v>
      </c>
      <c r="J16" s="87">
        <f>'09'!AD19</f>
        <v>0</v>
      </c>
      <c r="K16" s="87">
        <f>'10'!AD19</f>
        <v>0.87416267942583736</v>
      </c>
      <c r="L16" s="87">
        <f>'11'!AD19</f>
        <v>1</v>
      </c>
      <c r="M16" s="87">
        <f>'12'!AD19</f>
        <v>0.58333333333333337</v>
      </c>
      <c r="N16" s="87">
        <f>'13'!AD19</f>
        <v>0.33333333333333331</v>
      </c>
      <c r="O16" s="87">
        <f>'14'!AD19</f>
        <v>0.54153192371475944</v>
      </c>
      <c r="P16" s="87">
        <f>'15'!AD20</f>
        <v>0.87428425357873218</v>
      </c>
      <c r="Q16" s="87">
        <f>'16'!AD20</f>
        <v>0.99942583732057422</v>
      </c>
      <c r="R16" s="87">
        <f>'17'!AD19</f>
        <v>0.99961240310077515</v>
      </c>
      <c r="S16" s="87">
        <f>'18'!AD19</f>
        <v>1</v>
      </c>
      <c r="T16" s="87">
        <f>'19'!AD22</f>
        <v>0.99359223300970878</v>
      </c>
      <c r="U16" s="87">
        <f>'20'!AD20</f>
        <v>0</v>
      </c>
      <c r="V16" s="87">
        <f>'21'!AD21</f>
        <v>0</v>
      </c>
      <c r="W16" s="87">
        <f>'22'!AD19</f>
        <v>0.83288227334235465</v>
      </c>
      <c r="X16" s="87"/>
      <c r="Y16" s="87">
        <f>'24'!AD20</f>
        <v>0.91644444444444439</v>
      </c>
      <c r="Z16" s="87">
        <f>'25'!AD19</f>
        <v>0.33313840155945418</v>
      </c>
      <c r="AA16" s="87">
        <f>'26'!AD20</f>
        <v>0.87411838790931984</v>
      </c>
      <c r="AB16" s="87">
        <f>'27'!AD19</f>
        <v>0.99941860465116283</v>
      </c>
      <c r="AC16" s="87">
        <f>'28'!AD19+'28'!AD20</f>
        <v>0.9991933235182584</v>
      </c>
      <c r="AD16" s="87">
        <f>'29'!AD19</f>
        <v>0.9998036906164115</v>
      </c>
      <c r="AE16" s="87">
        <f>'30'!AD19</f>
        <v>0.91564814814814821</v>
      </c>
      <c r="AF16" s="88"/>
      <c r="AG16" s="89">
        <f t="shared" si="0"/>
        <v>0.58835090568016368</v>
      </c>
    </row>
    <row r="17" spans="1:33" ht="21.75" customHeight="1" thickBot="1">
      <c r="A17" s="120" t="s">
        <v>116</v>
      </c>
      <c r="B17" s="115">
        <f>'01'!AD21</f>
        <v>0.87484892086330934</v>
      </c>
      <c r="C17" s="115">
        <f>'02'!AD20</f>
        <v>1</v>
      </c>
      <c r="D17" s="90">
        <f>'03'!AD20</f>
        <v>0.99982985963419824</v>
      </c>
      <c r="E17" s="90">
        <f>'04'!AD20</f>
        <v>0.99983221476510065</v>
      </c>
      <c r="F17" s="90">
        <f>'05'!AD20</f>
        <v>0.99991557619248628</v>
      </c>
      <c r="G17" s="90">
        <f>'06'!AD20</f>
        <v>0.99983172065628945</v>
      </c>
      <c r="H17" s="90">
        <f>'07'!AD20</f>
        <v>0.49995217599234815</v>
      </c>
      <c r="I17" s="90">
        <f>'08'!AD20</f>
        <v>0</v>
      </c>
      <c r="J17" s="90">
        <f>'09'!AD20</f>
        <v>0</v>
      </c>
      <c r="K17" s="90">
        <f>'10'!AD20</f>
        <v>0</v>
      </c>
      <c r="L17" s="90">
        <f>'11'!AD20</f>
        <v>0.58330291970802928</v>
      </c>
      <c r="M17" s="90">
        <f>'12'!AD20</f>
        <v>0.99988092402953088</v>
      </c>
      <c r="N17" s="90">
        <f>'13'!AD20</f>
        <v>0.91661893604096156</v>
      </c>
      <c r="O17" s="90">
        <f>'14'!AD20</f>
        <v>0.9998730696001692</v>
      </c>
      <c r="P17" s="90">
        <f>'15'!AD21</f>
        <v>0.99966029723991512</v>
      </c>
      <c r="Q17" s="90">
        <f>'16'!AD21</f>
        <v>0.99923404255319148</v>
      </c>
      <c r="R17" s="90">
        <f>'17'!AD20</f>
        <v>0.9998737107977268</v>
      </c>
      <c r="S17" s="90">
        <f>'18'!AD20+'18'!AD21</f>
        <v>0.96257990867579912</v>
      </c>
      <c r="T17" s="90">
        <f>'19'!AD23</f>
        <v>0.99995777918513828</v>
      </c>
      <c r="U17" s="90">
        <f>'20'!AD21</f>
        <v>0.99991492981709906</v>
      </c>
      <c r="V17" s="90">
        <f>'21'!AD22</f>
        <v>0.99966173361522204</v>
      </c>
      <c r="W17" s="90">
        <f>'22'!AD20</f>
        <v>0.99918575063613235</v>
      </c>
      <c r="X17" s="90"/>
      <c r="Y17" s="90">
        <f>'24'!AD21</f>
        <v>0</v>
      </c>
      <c r="Z17" s="90">
        <f>'25'!AD20</f>
        <v>0</v>
      </c>
      <c r="AA17" s="90">
        <f>'26'!AD21</f>
        <v>0</v>
      </c>
      <c r="AB17" s="90">
        <f>'27'!AD20</f>
        <v>0</v>
      </c>
      <c r="AC17" s="90">
        <f>'28'!AD21</f>
        <v>0.58322756119673613</v>
      </c>
      <c r="AD17" s="90">
        <f>'29'!AD20</f>
        <v>1</v>
      </c>
      <c r="AE17" s="90">
        <f>'30'!AD20</f>
        <v>0.99995765403345327</v>
      </c>
      <c r="AF17" s="91"/>
      <c r="AG17" s="92">
        <f t="shared" si="0"/>
        <v>0.68057132284109456</v>
      </c>
    </row>
    <row r="18" spans="1:33" s="93" customFormat="1" ht="21.75" customHeight="1">
      <c r="A18" s="97" t="s">
        <v>110</v>
      </c>
      <c r="B18" s="101">
        <f>'01'!AD22</f>
        <v>0.26618446621441771</v>
      </c>
      <c r="C18" s="101">
        <f>'02'!AD21</f>
        <v>0.28833776863503752</v>
      </c>
      <c r="D18" s="102">
        <f>'03'!AD21</f>
        <v>0.32472684442688654</v>
      </c>
      <c r="E18" s="102">
        <f>'04'!AD21</f>
        <v>0.38290751173688586</v>
      </c>
      <c r="F18" s="102">
        <f>'05'!AD21</f>
        <v>0.1415230203006764</v>
      </c>
      <c r="G18" s="102">
        <f>'06'!AD21</f>
        <v>0.34712252533786092</v>
      </c>
      <c r="H18" s="102">
        <f>'07'!AD21</f>
        <v>0.34138526446958845</v>
      </c>
      <c r="I18" s="102">
        <f>'08'!AD21</f>
        <v>0.22202827600130431</v>
      </c>
      <c r="J18" s="102">
        <f>'09'!AD21</f>
        <v>0.18596809321953811</v>
      </c>
      <c r="K18" s="102">
        <f>'10'!AD21</f>
        <v>0.4358831376617146</v>
      </c>
      <c r="L18" s="102">
        <f>'11'!AD21</f>
        <v>0.42760881485597196</v>
      </c>
      <c r="M18" s="102">
        <f>'12'!AD21</f>
        <v>0.60238683406050231</v>
      </c>
      <c r="N18" s="102">
        <f>'13'!AD21</f>
        <v>0.62445579086198788</v>
      </c>
      <c r="O18" s="102">
        <f>'14'!AD21</f>
        <v>0.53821785289988122</v>
      </c>
      <c r="P18" s="102">
        <f>'15'!AD22</f>
        <v>0.58827687695861053</v>
      </c>
      <c r="Q18" s="102">
        <f>'16'!AD22</f>
        <v>0.71600095822307863</v>
      </c>
      <c r="R18" s="102">
        <f>'17'!AD21</f>
        <v>0.73251391170695057</v>
      </c>
      <c r="S18" s="102">
        <f>'18'!AD22</f>
        <v>0.7968571814037525</v>
      </c>
      <c r="T18" s="102">
        <f>'19'!AD24</f>
        <v>0.90163777792286137</v>
      </c>
      <c r="U18" s="102">
        <f>'20'!AD22</f>
        <v>0.55777140566026751</v>
      </c>
      <c r="V18" s="102">
        <f>'21'!AD23</f>
        <v>0.67419824460713351</v>
      </c>
      <c r="W18" s="102">
        <f>'22'!AD21</f>
        <v>0.59390451974504477</v>
      </c>
      <c r="X18" s="102"/>
      <c r="Y18" s="102">
        <f>'24'!AD22</f>
        <v>0.4492272450606063</v>
      </c>
      <c r="Z18" s="102">
        <f>'25'!AD21</f>
        <v>0.55501262681640973</v>
      </c>
      <c r="AA18" s="102">
        <f>'26'!AD22</f>
        <v>0.45802065688632737</v>
      </c>
      <c r="AB18" s="102">
        <f>'27'!AD21</f>
        <v>0.52693630350065213</v>
      </c>
      <c r="AC18" s="102">
        <f>'28'!AD22</f>
        <v>0.68832284847341574</v>
      </c>
      <c r="AD18" s="102">
        <f>'29'!AD21</f>
        <v>0.60800135072556016</v>
      </c>
      <c r="AE18" s="102">
        <f>'30'!AD21</f>
        <v>0.48990327634881303</v>
      </c>
      <c r="AF18" s="103"/>
      <c r="AG18" s="106">
        <f t="shared" si="0"/>
        <v>0.48217737949072453</v>
      </c>
    </row>
    <row r="19" spans="1:33" ht="21.75" customHeight="1" thickBot="1">
      <c r="A19" s="76" t="s">
        <v>114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176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0.26618446621441771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135</v>
      </c>
      <c r="E7" s="56" t="s">
        <v>156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0.26618446621441771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2760</v>
      </c>
      <c r="K8" s="15">
        <f>L8+2046+2448</f>
        <v>7251</v>
      </c>
      <c r="L8" s="15">
        <v>2757</v>
      </c>
      <c r="M8" s="16">
        <f t="shared" si="0"/>
        <v>2757</v>
      </c>
      <c r="N8" s="16">
        <v>0</v>
      </c>
      <c r="O8" s="62">
        <f t="shared" si="1"/>
        <v>0</v>
      </c>
      <c r="P8" s="42">
        <f t="shared" si="2"/>
        <v>17</v>
      </c>
      <c r="Q8" s="43">
        <f t="shared" si="3"/>
        <v>7</v>
      </c>
      <c r="R8" s="7"/>
      <c r="S8" s="6">
        <v>7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0.99891304347826082</v>
      </c>
      <c r="AC8" s="9">
        <f t="shared" si="5"/>
        <v>0.70833333333333337</v>
      </c>
      <c r="AD8" s="10">
        <f t="shared" si="6"/>
        <v>0.70756340579710142</v>
      </c>
      <c r="AE8" s="39">
        <f t="shared" si="7"/>
        <v>0.26618446621441771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128</v>
      </c>
      <c r="D9" s="55" t="s">
        <v>121</v>
      </c>
      <c r="E9" s="57" t="s">
        <v>157</v>
      </c>
      <c r="F9" s="12" t="s">
        <v>148</v>
      </c>
      <c r="G9" s="12">
        <v>1</v>
      </c>
      <c r="H9" s="13">
        <v>24</v>
      </c>
      <c r="I9" s="34">
        <v>17000</v>
      </c>
      <c r="J9" s="5">
        <v>2090</v>
      </c>
      <c r="K9" s="15">
        <f>L9+2857+3325+4387+1493+2171</f>
        <v>16316</v>
      </c>
      <c r="L9" s="15">
        <v>2083</v>
      </c>
      <c r="M9" s="16">
        <f t="shared" si="0"/>
        <v>2083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/>
      <c r="S9" s="6">
        <v>15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0.99665071770334923</v>
      </c>
      <c r="AC9" s="9">
        <f t="shared" si="5"/>
        <v>0.375</v>
      </c>
      <c r="AD9" s="10">
        <f t="shared" si="6"/>
        <v>0.37374401913875599</v>
      </c>
      <c r="AE9" s="39">
        <f t="shared" si="7"/>
        <v>0.26618446621441771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165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2310</v>
      </c>
      <c r="K10" s="15">
        <f>L10+746+1650</f>
        <v>4697</v>
      </c>
      <c r="L10" s="15">
        <f>1327+974</f>
        <v>2301</v>
      </c>
      <c r="M10" s="16">
        <f t="shared" si="0"/>
        <v>2301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>
        <v>10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0.99610389610389616</v>
      </c>
      <c r="AC10" s="9">
        <f t="shared" si="5"/>
        <v>0.58333333333333337</v>
      </c>
      <c r="AD10" s="10">
        <f t="shared" si="6"/>
        <v>0.58106060606060617</v>
      </c>
      <c r="AE10" s="39">
        <f t="shared" si="7"/>
        <v>0.26618446621441771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138</v>
      </c>
      <c r="E11" s="57" t="s">
        <v>158</v>
      </c>
      <c r="F11" s="12" t="s">
        <v>159</v>
      </c>
      <c r="G11" s="12">
        <v>1</v>
      </c>
      <c r="H11" s="13">
        <v>25</v>
      </c>
      <c r="I11" s="34">
        <v>600</v>
      </c>
      <c r="J11" s="14">
        <v>710</v>
      </c>
      <c r="K11" s="15">
        <f>L11+710</f>
        <v>710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0.26618446621441771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177</v>
      </c>
      <c r="E12" s="57" t="s">
        <v>178</v>
      </c>
      <c r="F12" s="12" t="s">
        <v>130</v>
      </c>
      <c r="G12" s="12">
        <v>1</v>
      </c>
      <c r="H12" s="13">
        <v>25</v>
      </c>
      <c r="I12" s="34">
        <v>600</v>
      </c>
      <c r="J12" s="5">
        <v>680</v>
      </c>
      <c r="K12" s="15">
        <f>L12</f>
        <v>680</v>
      </c>
      <c r="L12" s="15">
        <v>680</v>
      </c>
      <c r="M12" s="16">
        <f t="shared" si="0"/>
        <v>680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/>
      <c r="T12" s="17"/>
      <c r="U12" s="17"/>
      <c r="V12" s="18"/>
      <c r="W12" s="19">
        <v>19</v>
      </c>
      <c r="X12" s="17"/>
      <c r="Y12" s="20"/>
      <c r="Z12" s="20"/>
      <c r="AA12" s="21"/>
      <c r="AB12" s="8">
        <f t="shared" si="4"/>
        <v>1</v>
      </c>
      <c r="AC12" s="9">
        <f t="shared" si="5"/>
        <v>0.20833333333333334</v>
      </c>
      <c r="AD12" s="10">
        <f t="shared" si="6"/>
        <v>0.20833333333333334</v>
      </c>
      <c r="AE12" s="39">
        <f t="shared" si="7"/>
        <v>0.26618446621441771</v>
      </c>
      <c r="AF12" s="94">
        <f t="shared" si="8"/>
        <v>7</v>
      </c>
    </row>
    <row r="13" spans="1:32" ht="27" customHeight="1">
      <c r="A13" s="110">
        <v>7</v>
      </c>
      <c r="B13" s="11" t="s">
        <v>59</v>
      </c>
      <c r="C13" s="37" t="s">
        <v>122</v>
      </c>
      <c r="D13" s="55" t="s">
        <v>183</v>
      </c>
      <c r="E13" s="57" t="s">
        <v>184</v>
      </c>
      <c r="F13" s="12" t="s">
        <v>185</v>
      </c>
      <c r="G13" s="12">
        <v>1</v>
      </c>
      <c r="H13" s="13">
        <v>25</v>
      </c>
      <c r="I13" s="34">
        <v>250</v>
      </c>
      <c r="J13" s="5">
        <v>350</v>
      </c>
      <c r="K13" s="15">
        <f>L13</f>
        <v>350</v>
      </c>
      <c r="L13" s="15">
        <v>350</v>
      </c>
      <c r="M13" s="16">
        <f t="shared" ref="M13" si="9">L13-N13</f>
        <v>350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3</v>
      </c>
      <c r="Q13" s="43">
        <f t="shared" ref="Q13" si="12">SUM(R13:AA13)</f>
        <v>21</v>
      </c>
      <c r="R13" s="7"/>
      <c r="S13" s="6"/>
      <c r="T13" s="17"/>
      <c r="U13" s="17"/>
      <c r="V13" s="18"/>
      <c r="W13" s="19">
        <v>21</v>
      </c>
      <c r="X13" s="17"/>
      <c r="Y13" s="20"/>
      <c r="Z13" s="20"/>
      <c r="AA13" s="21"/>
      <c r="AB13" s="8">
        <f t="shared" ref="AB13" si="13">IF(J13=0,"0",(L13/J13))</f>
        <v>1</v>
      </c>
      <c r="AC13" s="9">
        <f t="shared" ref="AC13" si="14">IF(P13=0,"0",(P13/24))</f>
        <v>0.125</v>
      </c>
      <c r="AD13" s="10">
        <f t="shared" ref="AD13" si="15">AC13*AB13*(1-O13)</f>
        <v>0.125</v>
      </c>
      <c r="AE13" s="39">
        <f t="shared" si="7"/>
        <v>0.26618446621441771</v>
      </c>
      <c r="AF13" s="94">
        <f t="shared" ref="AF13" si="16">A13</f>
        <v>7</v>
      </c>
    </row>
    <row r="14" spans="1:32" ht="27" customHeight="1">
      <c r="A14" s="110">
        <v>8</v>
      </c>
      <c r="B14" s="11" t="s">
        <v>59</v>
      </c>
      <c r="C14" s="11" t="s">
        <v>170</v>
      </c>
      <c r="D14" s="55"/>
      <c r="E14" s="57" t="s">
        <v>172</v>
      </c>
      <c r="F14" s="12" t="s">
        <v>130</v>
      </c>
      <c r="G14" s="12" t="s">
        <v>171</v>
      </c>
      <c r="H14" s="13">
        <v>25</v>
      </c>
      <c r="I14" s="7">
        <v>1000</v>
      </c>
      <c r="J14" s="14">
        <v>300</v>
      </c>
      <c r="K14" s="15">
        <f>L14+300</f>
        <v>300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0.26618446621441771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167</v>
      </c>
      <c r="E15" s="57" t="s">
        <v>168</v>
      </c>
      <c r="F15" s="33" t="s">
        <v>169</v>
      </c>
      <c r="G15" s="36">
        <v>1</v>
      </c>
      <c r="H15" s="38">
        <v>25</v>
      </c>
      <c r="I15" s="7">
        <v>200</v>
      </c>
      <c r="J15" s="5">
        <v>191</v>
      </c>
      <c r="K15" s="15">
        <f>L15+191</f>
        <v>191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0.26618446621441771</v>
      </c>
      <c r="AF15" s="94">
        <f t="shared" si="8"/>
        <v>9</v>
      </c>
    </row>
    <row r="16" spans="1:32" ht="27" customHeight="1">
      <c r="A16" s="109">
        <v>10</v>
      </c>
      <c r="B16" s="11" t="s">
        <v>154</v>
      </c>
      <c r="C16" s="37" t="s">
        <v>152</v>
      </c>
      <c r="D16" s="55"/>
      <c r="E16" s="57" t="s">
        <v>153</v>
      </c>
      <c r="F16" s="12" t="s">
        <v>155</v>
      </c>
      <c r="G16" s="12">
        <v>8</v>
      </c>
      <c r="H16" s="13">
        <v>15</v>
      </c>
      <c r="I16" s="34">
        <v>3000</v>
      </c>
      <c r="J16" s="5">
        <v>5410</v>
      </c>
      <c r="K16" s="15">
        <f>L16+4500+5408</f>
        <v>9908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0.26618446621441771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128</v>
      </c>
      <c r="D17" s="55" t="s">
        <v>131</v>
      </c>
      <c r="E17" s="56" t="s">
        <v>142</v>
      </c>
      <c r="F17" s="12" t="s">
        <v>127</v>
      </c>
      <c r="G17" s="36">
        <v>1</v>
      </c>
      <c r="H17" s="38">
        <v>25</v>
      </c>
      <c r="I17" s="7">
        <v>3000</v>
      </c>
      <c r="J17" s="14">
        <v>490</v>
      </c>
      <c r="K17" s="15">
        <f>L17+3264+489</f>
        <v>3753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0.26618446621441771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161</v>
      </c>
      <c r="E18" s="56" t="s">
        <v>162</v>
      </c>
      <c r="F18" s="12">
        <v>8301</v>
      </c>
      <c r="G18" s="12">
        <v>1</v>
      </c>
      <c r="H18" s="13">
        <v>25</v>
      </c>
      <c r="I18" s="34">
        <v>15000</v>
      </c>
      <c r="J18" s="5">
        <v>3100</v>
      </c>
      <c r="K18" s="15">
        <f>L18+2929+2877+2911</f>
        <v>11813</v>
      </c>
      <c r="L18" s="15">
        <f>880+2216</f>
        <v>3096</v>
      </c>
      <c r="M18" s="16">
        <f t="shared" si="0"/>
        <v>3096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0.99870967741935479</v>
      </c>
      <c r="AC18" s="9">
        <f t="shared" si="5"/>
        <v>0.66666666666666663</v>
      </c>
      <c r="AD18" s="10">
        <f t="shared" si="6"/>
        <v>0.66580645161290319</v>
      </c>
      <c r="AE18" s="39">
        <f t="shared" si="7"/>
        <v>0.26618446621441771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135</v>
      </c>
      <c r="E19" s="57" t="s">
        <v>160</v>
      </c>
      <c r="F19" s="12" t="s">
        <v>130</v>
      </c>
      <c r="G19" s="12">
        <v>1</v>
      </c>
      <c r="H19" s="13">
        <v>25</v>
      </c>
      <c r="I19" s="34">
        <v>2000</v>
      </c>
      <c r="J19" s="5">
        <v>1040</v>
      </c>
      <c r="K19" s="15">
        <f>L19+380</f>
        <v>1414</v>
      </c>
      <c r="L19" s="15">
        <f>580+454</f>
        <v>1034</v>
      </c>
      <c r="M19" s="16">
        <f t="shared" ref="M19" si="17">L19-N19</f>
        <v>1034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8</v>
      </c>
      <c r="Q19" s="43">
        <f t="shared" ref="Q19" si="20">SUM(R19:AA19)</f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21">IF(J19=0,"0",(L19/J19))</f>
        <v>0.99423076923076925</v>
      </c>
      <c r="AC19" s="9">
        <f t="shared" ref="AC19" si="22">IF(P19=0,"0",(P19/24))</f>
        <v>0.33333333333333331</v>
      </c>
      <c r="AD19" s="10">
        <f t="shared" ref="AD19" si="23">AC19*AB19*(1-O19)</f>
        <v>0.3314102564102564</v>
      </c>
      <c r="AE19" s="39">
        <f t="shared" si="7"/>
        <v>0.26618446621441771</v>
      </c>
      <c r="AF19" s="94">
        <f t="shared" ref="AF19" si="24">A19</f>
        <v>13</v>
      </c>
    </row>
    <row r="20" spans="1:32" ht="27" customHeight="1">
      <c r="A20" s="110">
        <v>14</v>
      </c>
      <c r="B20" s="11" t="s">
        <v>59</v>
      </c>
      <c r="C20" s="37" t="s">
        <v>122</v>
      </c>
      <c r="D20" s="55" t="s">
        <v>179</v>
      </c>
      <c r="E20" s="57" t="s">
        <v>180</v>
      </c>
      <c r="F20" s="33" t="s">
        <v>181</v>
      </c>
      <c r="G20" s="36">
        <v>1</v>
      </c>
      <c r="H20" s="38">
        <v>25</v>
      </c>
      <c r="I20" s="34">
        <v>250</v>
      </c>
      <c r="J20" s="5">
        <v>350</v>
      </c>
      <c r="K20" s="15">
        <f>L20</f>
        <v>350</v>
      </c>
      <c r="L20" s="15">
        <v>350</v>
      </c>
      <c r="M20" s="16">
        <f t="shared" si="0"/>
        <v>350</v>
      </c>
      <c r="N20" s="16">
        <v>0</v>
      </c>
      <c r="O20" s="62">
        <f t="shared" si="1"/>
        <v>0</v>
      </c>
      <c r="P20" s="42">
        <f t="shared" si="2"/>
        <v>3</v>
      </c>
      <c r="Q20" s="43">
        <f t="shared" si="3"/>
        <v>21</v>
      </c>
      <c r="R20" s="7"/>
      <c r="S20" s="6"/>
      <c r="T20" s="17"/>
      <c r="U20" s="17"/>
      <c r="V20" s="18"/>
      <c r="W20" s="19">
        <v>21</v>
      </c>
      <c r="X20" s="17"/>
      <c r="Y20" s="20"/>
      <c r="Z20" s="20"/>
      <c r="AA20" s="21"/>
      <c r="AB20" s="8">
        <f t="shared" si="4"/>
        <v>1</v>
      </c>
      <c r="AC20" s="9">
        <f t="shared" si="5"/>
        <v>0.125</v>
      </c>
      <c r="AD20" s="10">
        <f t="shared" si="6"/>
        <v>0.125</v>
      </c>
      <c r="AE20" s="39">
        <f t="shared" si="7"/>
        <v>0.26618446621441771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182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34750</v>
      </c>
      <c r="K21" s="15">
        <f>L21</f>
        <v>34744</v>
      </c>
      <c r="L21" s="15">
        <f>3702*2+6835*4</f>
        <v>34744</v>
      </c>
      <c r="M21" s="16">
        <f t="shared" si="0"/>
        <v>34744</v>
      </c>
      <c r="N21" s="16">
        <v>0</v>
      </c>
      <c r="O21" s="62">
        <f t="shared" si="1"/>
        <v>0</v>
      </c>
      <c r="P21" s="42">
        <f t="shared" si="2"/>
        <v>21</v>
      </c>
      <c r="Q21" s="43">
        <f t="shared" si="3"/>
        <v>3</v>
      </c>
      <c r="R21" s="7"/>
      <c r="S21" s="6"/>
      <c r="T21" s="17">
        <v>3</v>
      </c>
      <c r="U21" s="17"/>
      <c r="V21" s="18"/>
      <c r="W21" s="19"/>
      <c r="X21" s="17"/>
      <c r="Y21" s="20"/>
      <c r="Z21" s="20"/>
      <c r="AA21" s="21"/>
      <c r="AB21" s="8">
        <f t="shared" si="4"/>
        <v>0.99982733812949642</v>
      </c>
      <c r="AC21" s="9">
        <f t="shared" si="5"/>
        <v>0.875</v>
      </c>
      <c r="AD21" s="10">
        <f t="shared" si="6"/>
        <v>0.87484892086330934</v>
      </c>
      <c r="AE21" s="39">
        <f t="shared" si="7"/>
        <v>0.26618446621441771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25">SUM(I6:I21)</f>
        <v>368900</v>
      </c>
      <c r="J22" s="22">
        <f t="shared" si="25"/>
        <v>58211</v>
      </c>
      <c r="K22" s="23">
        <f t="shared" si="25"/>
        <v>121994</v>
      </c>
      <c r="L22" s="24">
        <f t="shared" si="25"/>
        <v>47395</v>
      </c>
      <c r="M22" s="23">
        <f t="shared" si="25"/>
        <v>47395</v>
      </c>
      <c r="N22" s="24">
        <f t="shared" si="25"/>
        <v>0</v>
      </c>
      <c r="O22" s="44">
        <f t="shared" si="1"/>
        <v>0</v>
      </c>
      <c r="P22" s="45">
        <f t="shared" ref="P22:AA22" si="26">SUM(P6:P21)</f>
        <v>96</v>
      </c>
      <c r="Q22" s="46">
        <f t="shared" si="26"/>
        <v>288</v>
      </c>
      <c r="R22" s="26">
        <f t="shared" si="26"/>
        <v>24</v>
      </c>
      <c r="S22" s="27">
        <f t="shared" si="26"/>
        <v>56</v>
      </c>
      <c r="T22" s="27">
        <f t="shared" si="26"/>
        <v>3</v>
      </c>
      <c r="U22" s="27">
        <f t="shared" si="26"/>
        <v>0</v>
      </c>
      <c r="V22" s="28">
        <f t="shared" si="26"/>
        <v>0</v>
      </c>
      <c r="W22" s="29">
        <f t="shared" si="26"/>
        <v>181</v>
      </c>
      <c r="X22" s="30">
        <f t="shared" si="26"/>
        <v>0</v>
      </c>
      <c r="Y22" s="30">
        <f t="shared" si="26"/>
        <v>0</v>
      </c>
      <c r="Z22" s="30">
        <f t="shared" si="26"/>
        <v>0</v>
      </c>
      <c r="AA22" s="30">
        <f t="shared" si="26"/>
        <v>24</v>
      </c>
      <c r="AB22" s="31">
        <f>SUM(AB6:AB21)/15</f>
        <v>0.59896236280434167</v>
      </c>
      <c r="AC22" s="4">
        <f>SUM(AC6:AC21)/15</f>
        <v>0.26666666666666666</v>
      </c>
      <c r="AD22" s="4">
        <f>SUM(AD6:AD21)/15</f>
        <v>0.26618446621441771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187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188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125" t="s">
        <v>47</v>
      </c>
      <c r="D51" s="125" t="s">
        <v>48</v>
      </c>
      <c r="E51" s="125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125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128</v>
      </c>
      <c r="B52" s="506"/>
      <c r="C52" s="126" t="s">
        <v>140</v>
      </c>
      <c r="D52" s="127" t="s">
        <v>121</v>
      </c>
      <c r="E52" s="126" t="s">
        <v>157</v>
      </c>
      <c r="F52" s="487" t="s">
        <v>189</v>
      </c>
      <c r="G52" s="487"/>
      <c r="H52" s="487"/>
      <c r="I52" s="487"/>
      <c r="J52" s="487"/>
      <c r="K52" s="487"/>
      <c r="L52" s="487"/>
      <c r="M52" s="498"/>
      <c r="N52" s="137" t="s">
        <v>122</v>
      </c>
      <c r="O52" s="74" t="s">
        <v>139</v>
      </c>
      <c r="P52" s="503" t="s">
        <v>165</v>
      </c>
      <c r="Q52" s="504"/>
      <c r="R52" s="497" t="s">
        <v>166</v>
      </c>
      <c r="S52" s="497"/>
      <c r="T52" s="497"/>
      <c r="U52" s="497"/>
      <c r="V52" s="487" t="s">
        <v>136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126" t="s">
        <v>144</v>
      </c>
      <c r="D53" s="127" t="s">
        <v>146</v>
      </c>
      <c r="E53" s="126" t="s">
        <v>162</v>
      </c>
      <c r="F53" s="487" t="s">
        <v>190</v>
      </c>
      <c r="G53" s="487"/>
      <c r="H53" s="487"/>
      <c r="I53" s="487"/>
      <c r="J53" s="487"/>
      <c r="K53" s="487"/>
      <c r="L53" s="487"/>
      <c r="M53" s="498"/>
      <c r="N53" s="128" t="s">
        <v>170</v>
      </c>
      <c r="O53" s="74" t="s">
        <v>129</v>
      </c>
      <c r="P53" s="503"/>
      <c r="Q53" s="504"/>
      <c r="R53" s="497" t="s">
        <v>174</v>
      </c>
      <c r="S53" s="497"/>
      <c r="T53" s="497"/>
      <c r="U53" s="497"/>
      <c r="V53" s="487" t="s">
        <v>136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122</v>
      </c>
      <c r="B54" s="506"/>
      <c r="C54" s="126" t="s">
        <v>143</v>
      </c>
      <c r="D54" s="127" t="s">
        <v>137</v>
      </c>
      <c r="E54" s="126" t="s">
        <v>163</v>
      </c>
      <c r="F54" s="487" t="s">
        <v>173</v>
      </c>
      <c r="G54" s="487"/>
      <c r="H54" s="487"/>
      <c r="I54" s="487"/>
      <c r="J54" s="487"/>
      <c r="K54" s="487"/>
      <c r="L54" s="487"/>
      <c r="M54" s="498"/>
      <c r="N54" s="128" t="s">
        <v>122</v>
      </c>
      <c r="O54" s="74" t="s">
        <v>201</v>
      </c>
      <c r="P54" s="503" t="s">
        <v>202</v>
      </c>
      <c r="Q54" s="504"/>
      <c r="R54" s="497" t="s">
        <v>203</v>
      </c>
      <c r="S54" s="497"/>
      <c r="T54" s="497"/>
      <c r="U54" s="497"/>
      <c r="V54" s="487" t="s">
        <v>204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122</v>
      </c>
      <c r="B55" s="506"/>
      <c r="C55" s="139" t="s">
        <v>139</v>
      </c>
      <c r="D55" s="138" t="s">
        <v>135</v>
      </c>
      <c r="E55" s="139" t="s">
        <v>166</v>
      </c>
      <c r="F55" s="487" t="s">
        <v>175</v>
      </c>
      <c r="G55" s="487"/>
      <c r="H55" s="487"/>
      <c r="I55" s="487"/>
      <c r="J55" s="487"/>
      <c r="K55" s="487"/>
      <c r="L55" s="487"/>
      <c r="M55" s="498"/>
      <c r="N55" s="128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 t="s">
        <v>145</v>
      </c>
      <c r="B56" s="497"/>
      <c r="C56" s="138" t="s">
        <v>129</v>
      </c>
      <c r="D56" s="138"/>
      <c r="E56" s="138" t="s">
        <v>174</v>
      </c>
      <c r="F56" s="487" t="s">
        <v>191</v>
      </c>
      <c r="G56" s="487"/>
      <c r="H56" s="487"/>
      <c r="I56" s="487"/>
      <c r="J56" s="487"/>
      <c r="K56" s="487"/>
      <c r="L56" s="487"/>
      <c r="M56" s="498"/>
      <c r="N56" s="128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 t="s">
        <v>122</v>
      </c>
      <c r="B57" s="497"/>
      <c r="C57" s="127" t="s">
        <v>192</v>
      </c>
      <c r="D57" s="127" t="s">
        <v>193</v>
      </c>
      <c r="E57" s="126" t="s">
        <v>194</v>
      </c>
      <c r="F57" s="487" t="s">
        <v>195</v>
      </c>
      <c r="G57" s="487"/>
      <c r="H57" s="487"/>
      <c r="I57" s="487"/>
      <c r="J57" s="487"/>
      <c r="K57" s="487"/>
      <c r="L57" s="487"/>
      <c r="M57" s="498"/>
      <c r="N57" s="128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 t="s">
        <v>122</v>
      </c>
      <c r="B58" s="497"/>
      <c r="C58" s="127" t="s">
        <v>192</v>
      </c>
      <c r="D58" s="127" t="s">
        <v>196</v>
      </c>
      <c r="E58" s="126" t="s">
        <v>197</v>
      </c>
      <c r="F58" s="487" t="s">
        <v>195</v>
      </c>
      <c r="G58" s="487"/>
      <c r="H58" s="487"/>
      <c r="I58" s="487"/>
      <c r="J58" s="487"/>
      <c r="K58" s="487"/>
      <c r="L58" s="487"/>
      <c r="M58" s="498"/>
      <c r="N58" s="128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 t="s">
        <v>122</v>
      </c>
      <c r="B59" s="506"/>
      <c r="C59" s="126" t="s">
        <v>198</v>
      </c>
      <c r="D59" s="127" t="s">
        <v>199</v>
      </c>
      <c r="E59" s="126" t="s">
        <v>200</v>
      </c>
      <c r="F59" s="487" t="s">
        <v>195</v>
      </c>
      <c r="G59" s="487"/>
      <c r="H59" s="487"/>
      <c r="I59" s="487"/>
      <c r="J59" s="487"/>
      <c r="K59" s="487"/>
      <c r="L59" s="487"/>
      <c r="M59" s="498"/>
      <c r="N59" s="128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127"/>
      <c r="D60" s="127"/>
      <c r="E60" s="127"/>
      <c r="F60" s="487"/>
      <c r="G60" s="487"/>
      <c r="H60" s="487"/>
      <c r="I60" s="487"/>
      <c r="J60" s="487"/>
      <c r="K60" s="487"/>
      <c r="L60" s="487"/>
      <c r="M60" s="498"/>
      <c r="N60" s="128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130"/>
      <c r="D61" s="130"/>
      <c r="E61" s="130"/>
      <c r="F61" s="501"/>
      <c r="G61" s="501"/>
      <c r="H61" s="501"/>
      <c r="I61" s="501"/>
      <c r="J61" s="501"/>
      <c r="K61" s="501"/>
      <c r="L61" s="501"/>
      <c r="M61" s="502"/>
      <c r="N61" s="129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205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131" t="s">
        <v>2</v>
      </c>
      <c r="D63" s="131" t="s">
        <v>38</v>
      </c>
      <c r="E63" s="131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131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133" t="s">
        <v>206</v>
      </c>
      <c r="D64" s="135"/>
      <c r="E64" s="132" t="s">
        <v>207</v>
      </c>
      <c r="F64" s="485" t="s">
        <v>208</v>
      </c>
      <c r="G64" s="475"/>
      <c r="H64" s="475"/>
      <c r="I64" s="475"/>
      <c r="J64" s="475"/>
      <c r="K64" s="488" t="s">
        <v>209</v>
      </c>
      <c r="L64" s="488"/>
      <c r="M64" s="54" t="s">
        <v>147</v>
      </c>
      <c r="N64" s="475">
        <v>14</v>
      </c>
      <c r="O64" s="475"/>
      <c r="P64" s="486">
        <v>200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2</v>
      </c>
      <c r="B65" s="484"/>
      <c r="C65" s="133" t="s">
        <v>206</v>
      </c>
      <c r="D65" s="135"/>
      <c r="E65" s="132" t="s">
        <v>210</v>
      </c>
      <c r="F65" s="485" t="s">
        <v>211</v>
      </c>
      <c r="G65" s="475"/>
      <c r="H65" s="475"/>
      <c r="I65" s="475"/>
      <c r="J65" s="475"/>
      <c r="K65" s="475" t="s">
        <v>212</v>
      </c>
      <c r="L65" s="475"/>
      <c r="M65" s="54" t="s">
        <v>213</v>
      </c>
      <c r="N65" s="475">
        <v>6</v>
      </c>
      <c r="O65" s="475"/>
      <c r="P65" s="486">
        <v>200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133" t="s">
        <v>206</v>
      </c>
      <c r="D66" s="135"/>
      <c r="E66" s="132" t="s">
        <v>193</v>
      </c>
      <c r="F66" s="485" t="s">
        <v>214</v>
      </c>
      <c r="G66" s="475"/>
      <c r="H66" s="475"/>
      <c r="I66" s="475"/>
      <c r="J66" s="475"/>
      <c r="K66" s="488" t="s">
        <v>215</v>
      </c>
      <c r="L66" s="488"/>
      <c r="M66" s="54" t="s">
        <v>213</v>
      </c>
      <c r="N66" s="475">
        <v>11</v>
      </c>
      <c r="O66" s="475"/>
      <c r="P66" s="486">
        <v>200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133"/>
      <c r="D67" s="135"/>
      <c r="E67" s="132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133"/>
      <c r="D68" s="135"/>
      <c r="E68" s="132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133"/>
      <c r="D69" s="135"/>
      <c r="E69" s="132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133"/>
      <c r="D70" s="135"/>
      <c r="E70" s="132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133"/>
      <c r="D71" s="135"/>
      <c r="E71" s="132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216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134" t="s">
        <v>2</v>
      </c>
      <c r="D73" s="134" t="s">
        <v>38</v>
      </c>
      <c r="E73" s="134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136" t="s">
        <v>62</v>
      </c>
      <c r="D74" s="136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135" t="s">
        <v>128</v>
      </c>
      <c r="D75" s="135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7">A75+1</f>
        <v>3</v>
      </c>
      <c r="B76" s="447"/>
      <c r="C76" s="135" t="s">
        <v>62</v>
      </c>
      <c r="D76" s="135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7"/>
        <v>4</v>
      </c>
      <c r="B77" s="447"/>
      <c r="C77" s="135" t="s">
        <v>62</v>
      </c>
      <c r="D77" s="135"/>
      <c r="E77" s="35" t="s">
        <v>121</v>
      </c>
      <c r="F77" s="447" t="s">
        <v>124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7"/>
        <v>5</v>
      </c>
      <c r="B78" s="447"/>
      <c r="C78" s="135" t="s">
        <v>62</v>
      </c>
      <c r="D78" s="135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7"/>
        <v>6</v>
      </c>
      <c r="B79" s="447"/>
      <c r="C79" s="135"/>
      <c r="D79" s="135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7"/>
        <v>7</v>
      </c>
      <c r="B80" s="447"/>
      <c r="C80" s="135"/>
      <c r="D80" s="135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7"/>
        <v>8</v>
      </c>
      <c r="B81" s="447"/>
      <c r="C81" s="135"/>
      <c r="D81" s="135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7"/>
        <v>9</v>
      </c>
      <c r="B82" s="447"/>
      <c r="C82" s="135"/>
      <c r="D82" s="135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217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>
        <v>1</v>
      </c>
      <c r="D85" s="448"/>
      <c r="E85" s="448" t="s">
        <v>150</v>
      </c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 t="s">
        <v>149</v>
      </c>
      <c r="U85" s="448"/>
      <c r="V85" s="449"/>
      <c r="W85" s="449"/>
      <c r="X85" s="449"/>
      <c r="Y85" s="440" t="s">
        <v>151</v>
      </c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218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40" t="s">
        <v>17</v>
      </c>
      <c r="L5" s="140" t="s">
        <v>18</v>
      </c>
      <c r="M5" s="140" t="s">
        <v>19</v>
      </c>
      <c r="N5" s="14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0.28833776863503752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135</v>
      </c>
      <c r="E7" s="56" t="s">
        <v>156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0.28833776863503752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4620</v>
      </c>
      <c r="K8" s="15">
        <f>L8+2046+2448+2757</f>
        <v>11863</v>
      </c>
      <c r="L8" s="15">
        <f>2877+1735</f>
        <v>4612</v>
      </c>
      <c r="M8" s="16">
        <f t="shared" si="0"/>
        <v>4612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>
        <v>1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0.9982683982683983</v>
      </c>
      <c r="AC8" s="9">
        <f t="shared" si="5"/>
        <v>0.95833333333333337</v>
      </c>
      <c r="AD8" s="10">
        <f t="shared" si="6"/>
        <v>0.95667388167388179</v>
      </c>
      <c r="AE8" s="39">
        <f t="shared" si="7"/>
        <v>0.28833776863503752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128</v>
      </c>
      <c r="D9" s="55" t="s">
        <v>121</v>
      </c>
      <c r="E9" s="57" t="s">
        <v>157</v>
      </c>
      <c r="F9" s="12" t="s">
        <v>148</v>
      </c>
      <c r="G9" s="12">
        <v>1</v>
      </c>
      <c r="H9" s="13">
        <v>24</v>
      </c>
      <c r="I9" s="34">
        <v>17000</v>
      </c>
      <c r="J9" s="5">
        <v>2090</v>
      </c>
      <c r="K9" s="15">
        <f>L9+2857+3325+4387+1493+2171+2083</f>
        <v>16316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0.28833776863503752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165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3740</v>
      </c>
      <c r="K10" s="15">
        <f>L10+746+1650+2301</f>
        <v>8428</v>
      </c>
      <c r="L10" s="15">
        <f>2851+880</f>
        <v>3731</v>
      </c>
      <c r="M10" s="16">
        <f t="shared" si="0"/>
        <v>3731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0.9975935828877005</v>
      </c>
      <c r="AC10" s="9">
        <f t="shared" si="5"/>
        <v>0.79166666666666663</v>
      </c>
      <c r="AD10" s="10">
        <f t="shared" si="6"/>
        <v>0.78976158645276284</v>
      </c>
      <c r="AE10" s="39">
        <f t="shared" si="7"/>
        <v>0.28833776863503752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138</v>
      </c>
      <c r="E11" s="57" t="s">
        <v>158</v>
      </c>
      <c r="F11" s="12" t="s">
        <v>159</v>
      </c>
      <c r="G11" s="12">
        <v>1</v>
      </c>
      <c r="H11" s="13">
        <v>25</v>
      </c>
      <c r="I11" s="34">
        <v>600</v>
      </c>
      <c r="J11" s="14">
        <v>710</v>
      </c>
      <c r="K11" s="15">
        <f>L11+710</f>
        <v>710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0.28833776863503752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183</v>
      </c>
      <c r="E12" s="57" t="s">
        <v>184</v>
      </c>
      <c r="F12" s="12" t="s">
        <v>185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0.28833776863503752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170</v>
      </c>
      <c r="D13" s="55"/>
      <c r="E13" s="57" t="s">
        <v>172</v>
      </c>
      <c r="F13" s="12" t="s">
        <v>130</v>
      </c>
      <c r="G13" s="12" t="s">
        <v>171</v>
      </c>
      <c r="H13" s="13">
        <v>25</v>
      </c>
      <c r="I13" s="7">
        <v>1000</v>
      </c>
      <c r="J13" s="14">
        <v>1960</v>
      </c>
      <c r="K13" s="15">
        <f>L13+300</f>
        <v>2257</v>
      </c>
      <c r="L13" s="15">
        <f>618+1339</f>
        <v>1957</v>
      </c>
      <c r="M13" s="16">
        <f t="shared" si="0"/>
        <v>1957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0.99846938775510208</v>
      </c>
      <c r="AC13" s="9">
        <f t="shared" si="5"/>
        <v>0.5</v>
      </c>
      <c r="AD13" s="10">
        <f t="shared" si="6"/>
        <v>0.49923469387755104</v>
      </c>
      <c r="AE13" s="39">
        <f t="shared" si="7"/>
        <v>0.28833776863503752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167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0.28833776863503752</v>
      </c>
      <c r="AF14" s="94">
        <f t="shared" si="8"/>
        <v>9</v>
      </c>
    </row>
    <row r="15" spans="1:32" ht="27" customHeight="1">
      <c r="A15" s="109">
        <v>10</v>
      </c>
      <c r="B15" s="11" t="s">
        <v>154</v>
      </c>
      <c r="C15" s="37" t="s">
        <v>152</v>
      </c>
      <c r="D15" s="55"/>
      <c r="E15" s="57" t="s">
        <v>153</v>
      </c>
      <c r="F15" s="12" t="s">
        <v>155</v>
      </c>
      <c r="G15" s="12">
        <v>8</v>
      </c>
      <c r="H15" s="13">
        <v>15</v>
      </c>
      <c r="I15" s="34">
        <v>3000</v>
      </c>
      <c r="J15" s="5">
        <v>5410</v>
      </c>
      <c r="K15" s="15">
        <f>L15+4500+5408</f>
        <v>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0.28833776863503752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128</v>
      </c>
      <c r="D16" s="55" t="s">
        <v>131</v>
      </c>
      <c r="E16" s="56" t="s">
        <v>142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0.28833776863503752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161</v>
      </c>
      <c r="E17" s="56" t="s">
        <v>162</v>
      </c>
      <c r="F17" s="12">
        <v>8301</v>
      </c>
      <c r="G17" s="12">
        <v>1</v>
      </c>
      <c r="H17" s="13">
        <v>25</v>
      </c>
      <c r="I17" s="34">
        <v>15000</v>
      </c>
      <c r="J17" s="5">
        <v>4200</v>
      </c>
      <c r="K17" s="15">
        <f>L17+2929+2877+2911+3096</f>
        <v>16006</v>
      </c>
      <c r="L17" s="15">
        <f>3153+1040</f>
        <v>4193</v>
      </c>
      <c r="M17" s="16">
        <f t="shared" si="0"/>
        <v>4193</v>
      </c>
      <c r="N17" s="16">
        <v>0</v>
      </c>
      <c r="O17" s="62">
        <f t="shared" si="1"/>
        <v>0</v>
      </c>
      <c r="P17" s="42">
        <f t="shared" si="2"/>
        <v>19</v>
      </c>
      <c r="Q17" s="43">
        <f t="shared" si="3"/>
        <v>5</v>
      </c>
      <c r="R17" s="7"/>
      <c r="S17" s="6">
        <v>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0.99833333333333329</v>
      </c>
      <c r="AC17" s="9">
        <f t="shared" si="5"/>
        <v>0.79166666666666663</v>
      </c>
      <c r="AD17" s="10">
        <f t="shared" si="6"/>
        <v>0.7903472222222222</v>
      </c>
      <c r="AE17" s="39">
        <f t="shared" si="7"/>
        <v>0.28833776863503752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135</v>
      </c>
      <c r="E18" s="57" t="s">
        <v>160</v>
      </c>
      <c r="F18" s="12" t="s">
        <v>130</v>
      </c>
      <c r="G18" s="12">
        <v>1</v>
      </c>
      <c r="H18" s="13">
        <v>25</v>
      </c>
      <c r="I18" s="34">
        <v>2000</v>
      </c>
      <c r="J18" s="5">
        <v>780</v>
      </c>
      <c r="K18" s="15">
        <f>L18+380+1034</f>
        <v>2187</v>
      </c>
      <c r="L18" s="15">
        <v>773</v>
      </c>
      <c r="M18" s="16">
        <f t="shared" si="0"/>
        <v>773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>
        <v>17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0.99102564102564106</v>
      </c>
      <c r="AC18" s="9">
        <f t="shared" si="5"/>
        <v>0.29166666666666669</v>
      </c>
      <c r="AD18" s="10">
        <f t="shared" si="6"/>
        <v>0.28904914529914533</v>
      </c>
      <c r="AE18" s="39">
        <f t="shared" si="7"/>
        <v>0.28833776863503752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122</v>
      </c>
      <c r="D19" s="55" t="s">
        <v>165</v>
      </c>
      <c r="E19" s="57" t="s">
        <v>180</v>
      </c>
      <c r="F19" s="33" t="s">
        <v>181</v>
      </c>
      <c r="G19" s="36">
        <v>1</v>
      </c>
      <c r="H19" s="38">
        <v>25</v>
      </c>
      <c r="I19" s="34">
        <v>250</v>
      </c>
      <c r="J19" s="5">
        <v>350</v>
      </c>
      <c r="K19" s="15">
        <f>L19+350</f>
        <v>350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0.28833776863503752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47040</v>
      </c>
      <c r="K20" s="15">
        <f>L20+34744</f>
        <v>81784</v>
      </c>
      <c r="L20" s="15">
        <f>6965*4+4795*4</f>
        <v>47040</v>
      </c>
      <c r="M20" s="16">
        <f t="shared" si="0"/>
        <v>47040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0.28833776863503752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368300</v>
      </c>
      <c r="J21" s="22">
        <f t="shared" si="9"/>
        <v>75611</v>
      </c>
      <c r="K21" s="23">
        <f t="shared" si="9"/>
        <v>183620</v>
      </c>
      <c r="L21" s="24">
        <f t="shared" si="9"/>
        <v>62306</v>
      </c>
      <c r="M21" s="23">
        <f t="shared" si="9"/>
        <v>62306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104</v>
      </c>
      <c r="Q21" s="46">
        <f t="shared" si="10"/>
        <v>256</v>
      </c>
      <c r="R21" s="26">
        <f t="shared" si="10"/>
        <v>24</v>
      </c>
      <c r="S21" s="27">
        <f t="shared" si="10"/>
        <v>52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156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0.39891268955134501</v>
      </c>
      <c r="AC21" s="4">
        <f>SUM(AC6:AC20)/15</f>
        <v>0.28888888888888886</v>
      </c>
      <c r="AD21" s="4">
        <f>SUM(AD6:AD20)/15</f>
        <v>0.28833776863503752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219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227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141" t="s">
        <v>47</v>
      </c>
      <c r="D50" s="141" t="s">
        <v>48</v>
      </c>
      <c r="E50" s="141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141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128</v>
      </c>
      <c r="B51" s="506"/>
      <c r="C51" s="142" t="s">
        <v>220</v>
      </c>
      <c r="D51" s="143" t="s">
        <v>221</v>
      </c>
      <c r="E51" s="142" t="s">
        <v>222</v>
      </c>
      <c r="F51" s="487" t="s">
        <v>223</v>
      </c>
      <c r="G51" s="487"/>
      <c r="H51" s="487"/>
      <c r="I51" s="487"/>
      <c r="J51" s="487"/>
      <c r="K51" s="487"/>
      <c r="L51" s="487"/>
      <c r="M51" s="498"/>
      <c r="N51" s="144" t="s">
        <v>122</v>
      </c>
      <c r="O51" s="74" t="s">
        <v>201</v>
      </c>
      <c r="P51" s="503" t="s">
        <v>202</v>
      </c>
      <c r="Q51" s="504"/>
      <c r="R51" s="497" t="s">
        <v>162</v>
      </c>
      <c r="S51" s="497"/>
      <c r="T51" s="497"/>
      <c r="U51" s="497"/>
      <c r="V51" s="487" t="s">
        <v>226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122</v>
      </c>
      <c r="B52" s="506"/>
      <c r="C52" s="142" t="s">
        <v>144</v>
      </c>
      <c r="D52" s="143" t="s">
        <v>146</v>
      </c>
      <c r="E52" s="142" t="s">
        <v>162</v>
      </c>
      <c r="F52" s="487" t="s">
        <v>224</v>
      </c>
      <c r="G52" s="487"/>
      <c r="H52" s="487"/>
      <c r="I52" s="487"/>
      <c r="J52" s="487"/>
      <c r="K52" s="487"/>
      <c r="L52" s="487"/>
      <c r="M52" s="498"/>
      <c r="N52" s="144" t="s">
        <v>228</v>
      </c>
      <c r="O52" s="74" t="s">
        <v>229</v>
      </c>
      <c r="P52" s="503" t="s">
        <v>230</v>
      </c>
      <c r="Q52" s="504"/>
      <c r="R52" s="497" t="s">
        <v>231</v>
      </c>
      <c r="S52" s="497"/>
      <c r="T52" s="497"/>
      <c r="U52" s="497"/>
      <c r="V52" s="487" t="s">
        <v>232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142" t="s">
        <v>143</v>
      </c>
      <c r="D53" s="143" t="s">
        <v>137</v>
      </c>
      <c r="E53" s="142" t="s">
        <v>163</v>
      </c>
      <c r="F53" s="487" t="s">
        <v>225</v>
      </c>
      <c r="G53" s="487"/>
      <c r="H53" s="487"/>
      <c r="I53" s="487"/>
      <c r="J53" s="487"/>
      <c r="K53" s="487"/>
      <c r="L53" s="487"/>
      <c r="M53" s="498"/>
      <c r="N53" s="144" t="s">
        <v>233</v>
      </c>
      <c r="O53" s="74" t="s">
        <v>140</v>
      </c>
      <c r="P53" s="503" t="s">
        <v>234</v>
      </c>
      <c r="Q53" s="504"/>
      <c r="R53" s="497" t="s">
        <v>235</v>
      </c>
      <c r="S53" s="497"/>
      <c r="T53" s="497"/>
      <c r="U53" s="497"/>
      <c r="V53" s="487" t="s">
        <v>236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122</v>
      </c>
      <c r="B54" s="506"/>
      <c r="C54" s="142" t="s">
        <v>139</v>
      </c>
      <c r="D54" s="143" t="s">
        <v>135</v>
      </c>
      <c r="E54" s="142" t="s">
        <v>166</v>
      </c>
      <c r="F54" s="487" t="s">
        <v>226</v>
      </c>
      <c r="G54" s="487"/>
      <c r="H54" s="487"/>
      <c r="I54" s="487"/>
      <c r="J54" s="487"/>
      <c r="K54" s="487"/>
      <c r="L54" s="487"/>
      <c r="M54" s="498"/>
      <c r="N54" s="144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 t="s">
        <v>145</v>
      </c>
      <c r="B55" s="497"/>
      <c r="C55" s="143" t="s">
        <v>129</v>
      </c>
      <c r="D55" s="143"/>
      <c r="E55" s="143" t="s">
        <v>174</v>
      </c>
      <c r="F55" s="487" t="s">
        <v>226</v>
      </c>
      <c r="G55" s="487"/>
      <c r="H55" s="487"/>
      <c r="I55" s="487"/>
      <c r="J55" s="487"/>
      <c r="K55" s="487"/>
      <c r="L55" s="487"/>
      <c r="M55" s="498"/>
      <c r="N55" s="144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43"/>
      <c r="D56" s="143"/>
      <c r="E56" s="142"/>
      <c r="F56" s="487"/>
      <c r="G56" s="487"/>
      <c r="H56" s="487"/>
      <c r="I56" s="487"/>
      <c r="J56" s="487"/>
      <c r="K56" s="487"/>
      <c r="L56" s="487"/>
      <c r="M56" s="498"/>
      <c r="N56" s="144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43"/>
      <c r="D57" s="143"/>
      <c r="E57" s="142"/>
      <c r="F57" s="487"/>
      <c r="G57" s="487"/>
      <c r="H57" s="487"/>
      <c r="I57" s="487"/>
      <c r="J57" s="487"/>
      <c r="K57" s="487"/>
      <c r="L57" s="487"/>
      <c r="M57" s="498"/>
      <c r="N57" s="144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142"/>
      <c r="D58" s="143"/>
      <c r="E58" s="142"/>
      <c r="F58" s="487"/>
      <c r="G58" s="487"/>
      <c r="H58" s="487"/>
      <c r="I58" s="487"/>
      <c r="J58" s="487"/>
      <c r="K58" s="487"/>
      <c r="L58" s="487"/>
      <c r="M58" s="498"/>
      <c r="N58" s="144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43"/>
      <c r="D59" s="143"/>
      <c r="E59" s="143"/>
      <c r="F59" s="487"/>
      <c r="G59" s="487"/>
      <c r="H59" s="487"/>
      <c r="I59" s="487"/>
      <c r="J59" s="487"/>
      <c r="K59" s="487"/>
      <c r="L59" s="487"/>
      <c r="M59" s="498"/>
      <c r="N59" s="144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146"/>
      <c r="D60" s="146"/>
      <c r="E60" s="146"/>
      <c r="F60" s="501"/>
      <c r="G60" s="501"/>
      <c r="H60" s="501"/>
      <c r="I60" s="501"/>
      <c r="J60" s="501"/>
      <c r="K60" s="501"/>
      <c r="L60" s="501"/>
      <c r="M60" s="502"/>
      <c r="N60" s="145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237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47" t="s">
        <v>2</v>
      </c>
      <c r="D62" s="147" t="s">
        <v>38</v>
      </c>
      <c r="E62" s="147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47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49"/>
      <c r="D63" s="151"/>
      <c r="E63" s="148"/>
      <c r="F63" s="485"/>
      <c r="G63" s="475"/>
      <c r="H63" s="475"/>
      <c r="I63" s="475"/>
      <c r="J63" s="475"/>
      <c r="K63" s="488"/>
      <c r="L63" s="488"/>
      <c r="M63" s="54"/>
      <c r="N63" s="475"/>
      <c r="O63" s="475"/>
      <c r="P63" s="486"/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49"/>
      <c r="D64" s="151"/>
      <c r="E64" s="148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49"/>
      <c r="D65" s="151"/>
      <c r="E65" s="148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49"/>
      <c r="D66" s="151"/>
      <c r="E66" s="148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49"/>
      <c r="D67" s="151"/>
      <c r="E67" s="148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49"/>
      <c r="D68" s="151"/>
      <c r="E68" s="148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49"/>
      <c r="D69" s="151"/>
      <c r="E69" s="148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49"/>
      <c r="D70" s="151"/>
      <c r="E70" s="148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238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50" t="s">
        <v>2</v>
      </c>
      <c r="D72" s="150" t="s">
        <v>38</v>
      </c>
      <c r="E72" s="150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52" t="s">
        <v>62</v>
      </c>
      <c r="D73" s="152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51" t="s">
        <v>128</v>
      </c>
      <c r="D74" s="151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151" t="s">
        <v>62</v>
      </c>
      <c r="D75" s="151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151" t="s">
        <v>62</v>
      </c>
      <c r="D76" s="151"/>
      <c r="E76" s="35" t="s">
        <v>121</v>
      </c>
      <c r="F76" s="447" t="s">
        <v>124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151" t="s">
        <v>62</v>
      </c>
      <c r="D77" s="151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151"/>
      <c r="D78" s="151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151"/>
      <c r="D79" s="151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151"/>
      <c r="D80" s="151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151"/>
      <c r="D81" s="151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239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</v>
      </c>
      <c r="D84" s="448"/>
      <c r="E84" s="448" t="s">
        <v>150</v>
      </c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 t="s">
        <v>149</v>
      </c>
      <c r="U84" s="448"/>
      <c r="V84" s="449"/>
      <c r="W84" s="449"/>
      <c r="X84" s="449"/>
      <c r="Y84" s="440" t="s">
        <v>151</v>
      </c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13" zoomScale="72" zoomScaleNormal="72" zoomScaleSheetLayoutView="70" workbookViewId="0">
      <selection activeCell="K77" sqref="K77:S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240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53" t="s">
        <v>17</v>
      </c>
      <c r="L5" s="153" t="s">
        <v>18</v>
      </c>
      <c r="M5" s="153" t="s">
        <v>19</v>
      </c>
      <c r="N5" s="15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0.32472684442688654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135</v>
      </c>
      <c r="E7" s="56" t="s">
        <v>156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0.32472684442688654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4870</v>
      </c>
      <c r="K8" s="15">
        <f>L8+2046+2448+2757+4612</f>
        <v>16725</v>
      </c>
      <c r="L8" s="15">
        <f>2543+2319</f>
        <v>4862</v>
      </c>
      <c r="M8" s="16">
        <f t="shared" si="0"/>
        <v>4862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0.99835728952772074</v>
      </c>
      <c r="AC8" s="9">
        <f t="shared" si="5"/>
        <v>1</v>
      </c>
      <c r="AD8" s="10">
        <f t="shared" si="6"/>
        <v>0.99835728952772074</v>
      </c>
      <c r="AE8" s="39">
        <f t="shared" si="7"/>
        <v>0.32472684442688654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128</v>
      </c>
      <c r="D9" s="55" t="s">
        <v>121</v>
      </c>
      <c r="E9" s="57" t="s">
        <v>157</v>
      </c>
      <c r="F9" s="12" t="s">
        <v>148</v>
      </c>
      <c r="G9" s="12">
        <v>1</v>
      </c>
      <c r="H9" s="13">
        <v>24</v>
      </c>
      <c r="I9" s="34">
        <v>17000</v>
      </c>
      <c r="J9" s="5">
        <v>2180</v>
      </c>
      <c r="K9" s="15">
        <f>L9+2857+3325+4387+1493+2171+2083</f>
        <v>18496</v>
      </c>
      <c r="L9" s="15">
        <f>2180</f>
        <v>2180</v>
      </c>
      <c r="M9" s="16">
        <f t="shared" si="0"/>
        <v>2180</v>
      </c>
      <c r="N9" s="16">
        <v>0</v>
      </c>
      <c r="O9" s="62">
        <f t="shared" si="1"/>
        <v>0</v>
      </c>
      <c r="P9" s="42">
        <f t="shared" si="2"/>
        <v>13</v>
      </c>
      <c r="Q9" s="43">
        <f t="shared" si="3"/>
        <v>11</v>
      </c>
      <c r="R9" s="7"/>
      <c r="S9" s="6">
        <v>11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9">
        <f t="shared" si="7"/>
        <v>0.32472684442688654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137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3690</v>
      </c>
      <c r="K10" s="15">
        <f>L10+746+1650+2301+3731</f>
        <v>12118</v>
      </c>
      <c r="L10" s="15">
        <f>1873+1817</f>
        <v>3690</v>
      </c>
      <c r="M10" s="16">
        <f t="shared" si="0"/>
        <v>3690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0.32472684442688654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138</v>
      </c>
      <c r="E11" s="57" t="s">
        <v>158</v>
      </c>
      <c r="F11" s="12" t="s">
        <v>159</v>
      </c>
      <c r="G11" s="12">
        <v>1</v>
      </c>
      <c r="H11" s="13">
        <v>25</v>
      </c>
      <c r="I11" s="34">
        <v>600</v>
      </c>
      <c r="J11" s="14">
        <v>710</v>
      </c>
      <c r="K11" s="15">
        <f>L11+710</f>
        <v>710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0.32472684442688654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183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0.32472684442688654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170</v>
      </c>
      <c r="D13" s="55"/>
      <c r="E13" s="57" t="s">
        <v>172</v>
      </c>
      <c r="F13" s="12" t="s">
        <v>130</v>
      </c>
      <c r="G13" s="12" t="s">
        <v>171</v>
      </c>
      <c r="H13" s="13">
        <v>25</v>
      </c>
      <c r="I13" s="7">
        <v>1000</v>
      </c>
      <c r="J13" s="14">
        <v>1960</v>
      </c>
      <c r="K13" s="15">
        <f>L13+300+1957</f>
        <v>2257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0.32472684442688654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0.32472684442688654</v>
      </c>
      <c r="AF14" s="94">
        <f t="shared" si="8"/>
        <v>9</v>
      </c>
    </row>
    <row r="15" spans="1:32" ht="27" customHeight="1">
      <c r="A15" s="109">
        <v>10</v>
      </c>
      <c r="B15" s="11" t="s">
        <v>154</v>
      </c>
      <c r="C15" s="37" t="s">
        <v>152</v>
      </c>
      <c r="D15" s="55"/>
      <c r="E15" s="57" t="s">
        <v>153</v>
      </c>
      <c r="F15" s="12" t="s">
        <v>155</v>
      </c>
      <c r="G15" s="12">
        <v>8</v>
      </c>
      <c r="H15" s="13">
        <v>15</v>
      </c>
      <c r="I15" s="34">
        <v>3000</v>
      </c>
      <c r="J15" s="5">
        <v>5410</v>
      </c>
      <c r="K15" s="15">
        <f>L15+4500+5408</f>
        <v>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0.32472684442688654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128</v>
      </c>
      <c r="D16" s="55" t="s">
        <v>131</v>
      </c>
      <c r="E16" s="56" t="s">
        <v>142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0.32472684442688654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161</v>
      </c>
      <c r="E17" s="56" t="s">
        <v>162</v>
      </c>
      <c r="F17" s="12">
        <v>8301</v>
      </c>
      <c r="G17" s="12">
        <v>1</v>
      </c>
      <c r="H17" s="13">
        <v>25</v>
      </c>
      <c r="I17" s="34">
        <v>15000</v>
      </c>
      <c r="J17" s="5">
        <v>2320</v>
      </c>
      <c r="K17" s="15">
        <f>L17+2929+2877+2911+3096+4193</f>
        <v>18318</v>
      </c>
      <c r="L17" s="15">
        <f>631+1681</f>
        <v>2312</v>
      </c>
      <c r="M17" s="16">
        <f t="shared" si="0"/>
        <v>2312</v>
      </c>
      <c r="N17" s="16">
        <v>0</v>
      </c>
      <c r="O17" s="62">
        <f t="shared" si="1"/>
        <v>0</v>
      </c>
      <c r="P17" s="42">
        <f t="shared" si="2"/>
        <v>13</v>
      </c>
      <c r="Q17" s="43">
        <f t="shared" si="3"/>
        <v>11</v>
      </c>
      <c r="R17" s="7"/>
      <c r="S17" s="6">
        <v>11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0.99655172413793103</v>
      </c>
      <c r="AC17" s="9">
        <f t="shared" si="5"/>
        <v>0.54166666666666663</v>
      </c>
      <c r="AD17" s="10">
        <f t="shared" si="6"/>
        <v>0.53979885057471255</v>
      </c>
      <c r="AE17" s="39">
        <f t="shared" si="7"/>
        <v>0.32472684442688654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135</v>
      </c>
      <c r="E18" s="57" t="s">
        <v>160</v>
      </c>
      <c r="F18" s="12" t="s">
        <v>130</v>
      </c>
      <c r="G18" s="12">
        <v>1</v>
      </c>
      <c r="H18" s="13">
        <v>25</v>
      </c>
      <c r="I18" s="34">
        <v>2000</v>
      </c>
      <c r="J18" s="5">
        <v>780</v>
      </c>
      <c r="K18" s="15">
        <f>L18+380+1034+773</f>
        <v>2187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0.32472684442688654</v>
      </c>
      <c r="AF18" s="94">
        <f t="shared" si="8"/>
        <v>13</v>
      </c>
    </row>
    <row r="19" spans="1:32" ht="27" customHeight="1">
      <c r="A19" s="110">
        <v>14</v>
      </c>
      <c r="B19" s="11" t="s">
        <v>244</v>
      </c>
      <c r="C19" s="37" t="s">
        <v>241</v>
      </c>
      <c r="D19" s="55" t="s">
        <v>242</v>
      </c>
      <c r="E19" s="57" t="s">
        <v>243</v>
      </c>
      <c r="F19" s="33" t="s">
        <v>130</v>
      </c>
      <c r="G19" s="36">
        <v>1</v>
      </c>
      <c r="H19" s="38">
        <v>25</v>
      </c>
      <c r="I19" s="34">
        <v>5000</v>
      </c>
      <c r="J19" s="5">
        <v>4800</v>
      </c>
      <c r="K19" s="15">
        <f>L19</f>
        <v>4798</v>
      </c>
      <c r="L19" s="15">
        <f>2010+2788</f>
        <v>4798</v>
      </c>
      <c r="M19" s="16">
        <f t="shared" si="0"/>
        <v>4798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0.99958333333333338</v>
      </c>
      <c r="AC19" s="9">
        <f t="shared" si="5"/>
        <v>1</v>
      </c>
      <c r="AD19" s="10">
        <f t="shared" si="6"/>
        <v>0.99958333333333338</v>
      </c>
      <c r="AE19" s="39">
        <f t="shared" si="7"/>
        <v>0.32472684442688654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47020</v>
      </c>
      <c r="K20" s="15">
        <f>L20+34744+47040</f>
        <v>128796</v>
      </c>
      <c r="L20" s="15">
        <f>6103*4+5650*4</f>
        <v>47012</v>
      </c>
      <c r="M20" s="16">
        <f t="shared" si="0"/>
        <v>47012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0.99982985963419824</v>
      </c>
      <c r="AC20" s="9">
        <f t="shared" si="5"/>
        <v>1</v>
      </c>
      <c r="AD20" s="10">
        <f t="shared" si="6"/>
        <v>0.99982985963419824</v>
      </c>
      <c r="AE20" s="39">
        <f t="shared" si="7"/>
        <v>0.32472684442688654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373050</v>
      </c>
      <c r="J21" s="22">
        <f t="shared" si="9"/>
        <v>78451</v>
      </c>
      <c r="K21" s="23">
        <f t="shared" si="9"/>
        <v>248124</v>
      </c>
      <c r="L21" s="24">
        <f t="shared" si="9"/>
        <v>64854</v>
      </c>
      <c r="M21" s="23">
        <f t="shared" si="9"/>
        <v>64854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117</v>
      </c>
      <c r="Q21" s="46">
        <f t="shared" si="10"/>
        <v>243</v>
      </c>
      <c r="R21" s="26">
        <f t="shared" si="10"/>
        <v>24</v>
      </c>
      <c r="S21" s="27">
        <f t="shared" si="10"/>
        <v>27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0.39962148044221224</v>
      </c>
      <c r="AC21" s="4">
        <f>SUM(AC6:AC20)/15</f>
        <v>0.32500000000000001</v>
      </c>
      <c r="AD21" s="4">
        <f>SUM(AD6:AD20)/15</f>
        <v>0.32472684442688654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245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227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154" t="s">
        <v>47</v>
      </c>
      <c r="D50" s="154" t="s">
        <v>48</v>
      </c>
      <c r="E50" s="154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154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128</v>
      </c>
      <c r="B51" s="506"/>
      <c r="C51" s="155" t="s">
        <v>220</v>
      </c>
      <c r="D51" s="156" t="s">
        <v>221</v>
      </c>
      <c r="E51" s="155" t="s">
        <v>141</v>
      </c>
      <c r="F51" s="487" t="s">
        <v>223</v>
      </c>
      <c r="G51" s="487"/>
      <c r="H51" s="487"/>
      <c r="I51" s="487"/>
      <c r="J51" s="487"/>
      <c r="K51" s="487"/>
      <c r="L51" s="487"/>
      <c r="M51" s="498"/>
      <c r="N51" s="157" t="s">
        <v>255</v>
      </c>
      <c r="O51" s="74" t="s">
        <v>256</v>
      </c>
      <c r="P51" s="503"/>
      <c r="Q51" s="504"/>
      <c r="R51" s="497" t="s">
        <v>257</v>
      </c>
      <c r="S51" s="497"/>
      <c r="T51" s="497"/>
      <c r="U51" s="497"/>
      <c r="V51" s="487" t="s">
        <v>258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122</v>
      </c>
      <c r="B52" s="506"/>
      <c r="C52" s="155" t="s">
        <v>144</v>
      </c>
      <c r="D52" s="156" t="s">
        <v>146</v>
      </c>
      <c r="E52" s="155" t="s">
        <v>162</v>
      </c>
      <c r="F52" s="487" t="s">
        <v>246</v>
      </c>
      <c r="G52" s="487"/>
      <c r="H52" s="487"/>
      <c r="I52" s="487"/>
      <c r="J52" s="487"/>
      <c r="K52" s="487"/>
      <c r="L52" s="487"/>
      <c r="M52" s="498"/>
      <c r="N52" s="157"/>
      <c r="O52" s="74"/>
      <c r="P52" s="503"/>
      <c r="Q52" s="504"/>
      <c r="R52" s="497"/>
      <c r="S52" s="497"/>
      <c r="T52" s="497"/>
      <c r="U52" s="497"/>
      <c r="V52" s="487"/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247</v>
      </c>
      <c r="B53" s="506"/>
      <c r="C53" s="155" t="s">
        <v>248</v>
      </c>
      <c r="D53" s="156" t="s">
        <v>58</v>
      </c>
      <c r="E53" s="155" t="s">
        <v>243</v>
      </c>
      <c r="F53" s="487" t="s">
        <v>249</v>
      </c>
      <c r="G53" s="487"/>
      <c r="H53" s="487"/>
      <c r="I53" s="487"/>
      <c r="J53" s="487"/>
      <c r="K53" s="487"/>
      <c r="L53" s="487"/>
      <c r="M53" s="498"/>
      <c r="N53" s="157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122</v>
      </c>
      <c r="B54" s="506"/>
      <c r="C54" s="155" t="s">
        <v>139</v>
      </c>
      <c r="D54" s="156" t="s">
        <v>135</v>
      </c>
      <c r="E54" s="155" t="s">
        <v>166</v>
      </c>
      <c r="F54" s="487" t="s">
        <v>250</v>
      </c>
      <c r="G54" s="487"/>
      <c r="H54" s="487"/>
      <c r="I54" s="487"/>
      <c r="J54" s="487"/>
      <c r="K54" s="487"/>
      <c r="L54" s="487"/>
      <c r="M54" s="498"/>
      <c r="N54" s="157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 t="s">
        <v>247</v>
      </c>
      <c r="B55" s="497"/>
      <c r="C55" s="156" t="s">
        <v>251</v>
      </c>
      <c r="D55" s="156" t="s">
        <v>252</v>
      </c>
      <c r="E55" s="156" t="s">
        <v>253</v>
      </c>
      <c r="F55" s="487" t="s">
        <v>254</v>
      </c>
      <c r="G55" s="487"/>
      <c r="H55" s="487"/>
      <c r="I55" s="487"/>
      <c r="J55" s="487"/>
      <c r="K55" s="487"/>
      <c r="L55" s="487"/>
      <c r="M55" s="498"/>
      <c r="N55" s="157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56"/>
      <c r="D56" s="156"/>
      <c r="E56" s="155"/>
      <c r="F56" s="487"/>
      <c r="G56" s="487"/>
      <c r="H56" s="487"/>
      <c r="I56" s="487"/>
      <c r="J56" s="487"/>
      <c r="K56" s="487"/>
      <c r="L56" s="487"/>
      <c r="M56" s="498"/>
      <c r="N56" s="157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56"/>
      <c r="D57" s="156"/>
      <c r="E57" s="155"/>
      <c r="F57" s="487"/>
      <c r="G57" s="487"/>
      <c r="H57" s="487"/>
      <c r="I57" s="487"/>
      <c r="J57" s="487"/>
      <c r="K57" s="487"/>
      <c r="L57" s="487"/>
      <c r="M57" s="498"/>
      <c r="N57" s="157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155"/>
      <c r="D58" s="156"/>
      <c r="E58" s="155"/>
      <c r="F58" s="487"/>
      <c r="G58" s="487"/>
      <c r="H58" s="487"/>
      <c r="I58" s="487"/>
      <c r="J58" s="487"/>
      <c r="K58" s="487"/>
      <c r="L58" s="487"/>
      <c r="M58" s="498"/>
      <c r="N58" s="157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56"/>
      <c r="D59" s="156"/>
      <c r="E59" s="156"/>
      <c r="F59" s="487"/>
      <c r="G59" s="487"/>
      <c r="H59" s="487"/>
      <c r="I59" s="487"/>
      <c r="J59" s="487"/>
      <c r="K59" s="487"/>
      <c r="L59" s="487"/>
      <c r="M59" s="498"/>
      <c r="N59" s="157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159"/>
      <c r="D60" s="159"/>
      <c r="E60" s="159"/>
      <c r="F60" s="501"/>
      <c r="G60" s="501"/>
      <c r="H60" s="501"/>
      <c r="I60" s="501"/>
      <c r="J60" s="501"/>
      <c r="K60" s="501"/>
      <c r="L60" s="501"/>
      <c r="M60" s="502"/>
      <c r="N60" s="158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259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60" t="s">
        <v>2</v>
      </c>
      <c r="D62" s="160" t="s">
        <v>38</v>
      </c>
      <c r="E62" s="160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60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62"/>
      <c r="D63" s="164"/>
      <c r="E63" s="161"/>
      <c r="F63" s="485"/>
      <c r="G63" s="475"/>
      <c r="H63" s="475"/>
      <c r="I63" s="475"/>
      <c r="J63" s="475"/>
      <c r="K63" s="488"/>
      <c r="L63" s="488"/>
      <c r="M63" s="54"/>
      <c r="N63" s="475"/>
      <c r="O63" s="475"/>
      <c r="P63" s="486"/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62"/>
      <c r="D64" s="164"/>
      <c r="E64" s="161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62"/>
      <c r="D65" s="164"/>
      <c r="E65" s="161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62"/>
      <c r="D66" s="164"/>
      <c r="E66" s="161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62"/>
      <c r="D67" s="164"/>
      <c r="E67" s="161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62"/>
      <c r="D68" s="164"/>
      <c r="E68" s="161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62"/>
      <c r="D69" s="164"/>
      <c r="E69" s="161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62"/>
      <c r="D70" s="164"/>
      <c r="E70" s="161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260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63" t="s">
        <v>2</v>
      </c>
      <c r="D72" s="163" t="s">
        <v>38</v>
      </c>
      <c r="E72" s="163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65" t="s">
        <v>62</v>
      </c>
      <c r="D73" s="165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64" t="s">
        <v>128</v>
      </c>
      <c r="D74" s="164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164" t="s">
        <v>62</v>
      </c>
      <c r="D75" s="164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164" t="s">
        <v>62</v>
      </c>
      <c r="D76" s="164"/>
      <c r="E76" s="35" t="s">
        <v>121</v>
      </c>
      <c r="F76" s="447" t="s">
        <v>124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164" t="s">
        <v>62</v>
      </c>
      <c r="D77" s="164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164"/>
      <c r="D78" s="164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164"/>
      <c r="D79" s="164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164"/>
      <c r="D80" s="164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164"/>
      <c r="D81" s="164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261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</v>
      </c>
      <c r="D84" s="448"/>
      <c r="E84" s="448" t="s">
        <v>150</v>
      </c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 t="s">
        <v>149</v>
      </c>
      <c r="U84" s="448"/>
      <c r="V84" s="449"/>
      <c r="W84" s="449"/>
      <c r="X84" s="449"/>
      <c r="Y84" s="440" t="s">
        <v>151</v>
      </c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84" sqref="T84:U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262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78" t="s">
        <v>17</v>
      </c>
      <c r="L5" s="178" t="s">
        <v>18</v>
      </c>
      <c r="M5" s="178" t="s">
        <v>19</v>
      </c>
      <c r="N5" s="17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0.38290751173688586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135</v>
      </c>
      <c r="E7" s="56" t="s">
        <v>156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0.38290751173688586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</f>
        <v>21974</v>
      </c>
      <c r="L8" s="15">
        <f>2543+351+2355</f>
        <v>5249</v>
      </c>
      <c r="M8" s="16">
        <f t="shared" si="0"/>
        <v>5249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0.99980952380952381</v>
      </c>
      <c r="AC8" s="9">
        <f t="shared" si="5"/>
        <v>1</v>
      </c>
      <c r="AD8" s="10">
        <f t="shared" si="6"/>
        <v>0.99980952380952381</v>
      </c>
      <c r="AE8" s="39">
        <f t="shared" si="7"/>
        <v>0.38290751173688586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128</v>
      </c>
      <c r="D9" s="55" t="s">
        <v>121</v>
      </c>
      <c r="E9" s="57" t="s">
        <v>157</v>
      </c>
      <c r="F9" s="12" t="s">
        <v>148</v>
      </c>
      <c r="G9" s="12">
        <v>1</v>
      </c>
      <c r="H9" s="13">
        <v>24</v>
      </c>
      <c r="I9" s="34">
        <v>17000</v>
      </c>
      <c r="J9" s="5">
        <v>5720</v>
      </c>
      <c r="K9" s="15">
        <f>L9+2857+3325+4387+1493+2171+2083+2180</f>
        <v>24213</v>
      </c>
      <c r="L9" s="15">
        <f>2733+431+2553</f>
        <v>5717</v>
      </c>
      <c r="M9" s="16">
        <f t="shared" si="0"/>
        <v>5717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0.99947552447552446</v>
      </c>
      <c r="AC9" s="9">
        <f t="shared" si="5"/>
        <v>1</v>
      </c>
      <c r="AD9" s="10">
        <f t="shared" si="6"/>
        <v>0.99947552447552446</v>
      </c>
      <c r="AE9" s="39">
        <f t="shared" si="7"/>
        <v>0.38290751173688586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4400</v>
      </c>
      <c r="K10" s="15">
        <f>L10+746+1650+2301+3731+3690</f>
        <v>16512</v>
      </c>
      <c r="L10" s="15">
        <f>2240+2154</f>
        <v>4394</v>
      </c>
      <c r="M10" s="16">
        <f t="shared" si="0"/>
        <v>4394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>
        <v>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0.99863636363636366</v>
      </c>
      <c r="AC10" s="9">
        <f t="shared" si="5"/>
        <v>0.91666666666666663</v>
      </c>
      <c r="AD10" s="10">
        <f t="shared" si="6"/>
        <v>0.91541666666666666</v>
      </c>
      <c r="AE10" s="39">
        <f t="shared" si="7"/>
        <v>0.38290751173688586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263</v>
      </c>
      <c r="D11" s="55" t="s">
        <v>264</v>
      </c>
      <c r="E11" s="57" t="s">
        <v>265</v>
      </c>
      <c r="F11" s="12" t="s">
        <v>212</v>
      </c>
      <c r="G11" s="12">
        <v>1</v>
      </c>
      <c r="H11" s="13">
        <v>25</v>
      </c>
      <c r="I11" s="34">
        <v>2000</v>
      </c>
      <c r="J11" s="14">
        <v>500</v>
      </c>
      <c r="K11" s="15">
        <f>L11</f>
        <v>494</v>
      </c>
      <c r="L11" s="15">
        <f>494</f>
        <v>494</v>
      </c>
      <c r="M11" s="16">
        <f t="shared" si="0"/>
        <v>494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>
        <v>20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0.98799999999999999</v>
      </c>
      <c r="AC11" s="9">
        <f t="shared" si="5"/>
        <v>0.16666666666666666</v>
      </c>
      <c r="AD11" s="10">
        <f t="shared" si="6"/>
        <v>0.16466666666666666</v>
      </c>
      <c r="AE11" s="39">
        <f t="shared" si="7"/>
        <v>0.38290751173688586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0.38290751173688586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170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</f>
        <v>359</v>
      </c>
      <c r="L13" s="15">
        <f>359</f>
        <v>359</v>
      </c>
      <c r="M13" s="16">
        <f t="shared" si="0"/>
        <v>359</v>
      </c>
      <c r="N13" s="16">
        <v>0</v>
      </c>
      <c r="O13" s="62">
        <f t="shared" si="1"/>
        <v>0</v>
      </c>
      <c r="P13" s="42">
        <f t="shared" si="2"/>
        <v>3</v>
      </c>
      <c r="Q13" s="43">
        <f t="shared" si="3"/>
        <v>21</v>
      </c>
      <c r="R13" s="7"/>
      <c r="S13" s="6"/>
      <c r="T13" s="17"/>
      <c r="U13" s="17"/>
      <c r="V13" s="18"/>
      <c r="W13" s="19">
        <v>21</v>
      </c>
      <c r="X13" s="17"/>
      <c r="Y13" s="20"/>
      <c r="Z13" s="20"/>
      <c r="AA13" s="21"/>
      <c r="AB13" s="8">
        <f t="shared" si="4"/>
        <v>0.99722222222222223</v>
      </c>
      <c r="AC13" s="9">
        <f t="shared" si="5"/>
        <v>0.125</v>
      </c>
      <c r="AD13" s="10">
        <f t="shared" si="6"/>
        <v>0.12465277777777778</v>
      </c>
      <c r="AE13" s="39">
        <f t="shared" si="7"/>
        <v>0.38290751173688586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0.38290751173688586</v>
      </c>
      <c r="AF14" s="94">
        <f t="shared" si="8"/>
        <v>9</v>
      </c>
    </row>
    <row r="15" spans="1:32" ht="27" customHeight="1">
      <c r="A15" s="109">
        <v>10</v>
      </c>
      <c r="B15" s="11" t="s">
        <v>154</v>
      </c>
      <c r="C15" s="37" t="s">
        <v>152</v>
      </c>
      <c r="D15" s="55"/>
      <c r="E15" s="57" t="s">
        <v>153</v>
      </c>
      <c r="F15" s="12" t="s">
        <v>155</v>
      </c>
      <c r="G15" s="12">
        <v>8</v>
      </c>
      <c r="H15" s="13">
        <v>15</v>
      </c>
      <c r="I15" s="34">
        <v>3000</v>
      </c>
      <c r="J15" s="5">
        <v>5410</v>
      </c>
      <c r="K15" s="15">
        <f>L15+4500+5408</f>
        <v>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0.38290751173688586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128</v>
      </c>
      <c r="D16" s="55" t="s">
        <v>131</v>
      </c>
      <c r="E16" s="56" t="s">
        <v>142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0.38290751173688586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161</v>
      </c>
      <c r="E17" s="56" t="s">
        <v>162</v>
      </c>
      <c r="F17" s="12">
        <v>8301</v>
      </c>
      <c r="G17" s="12">
        <v>1</v>
      </c>
      <c r="H17" s="13">
        <v>25</v>
      </c>
      <c r="I17" s="34">
        <v>15000</v>
      </c>
      <c r="J17" s="5">
        <v>2980</v>
      </c>
      <c r="K17" s="15">
        <f>L17+2929+2877+2911+3096+4193+2312</f>
        <v>21293</v>
      </c>
      <c r="L17" s="15">
        <f>2649+326</f>
        <v>2975</v>
      </c>
      <c r="M17" s="16">
        <f t="shared" si="0"/>
        <v>2975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/>
      <c r="T17" s="17"/>
      <c r="U17" s="17"/>
      <c r="V17" s="18"/>
      <c r="W17" s="19">
        <v>10</v>
      </c>
      <c r="X17" s="17"/>
      <c r="Y17" s="20"/>
      <c r="Z17" s="20"/>
      <c r="AA17" s="21"/>
      <c r="AB17" s="8">
        <f t="shared" si="4"/>
        <v>0.99832214765100669</v>
      </c>
      <c r="AC17" s="9">
        <f t="shared" si="5"/>
        <v>0.58333333333333337</v>
      </c>
      <c r="AD17" s="10">
        <f t="shared" si="6"/>
        <v>0.58235458612975388</v>
      </c>
      <c r="AE17" s="39">
        <f t="shared" si="7"/>
        <v>0.38290751173688586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135</v>
      </c>
      <c r="E18" s="57" t="s">
        <v>160</v>
      </c>
      <c r="F18" s="12" t="s">
        <v>130</v>
      </c>
      <c r="G18" s="12">
        <v>1</v>
      </c>
      <c r="H18" s="13">
        <v>25</v>
      </c>
      <c r="I18" s="34">
        <v>2000</v>
      </c>
      <c r="J18" s="5">
        <v>780</v>
      </c>
      <c r="K18" s="15">
        <f>L18+380+1034+773</f>
        <v>2187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0.38290751173688586</v>
      </c>
      <c r="AF18" s="94">
        <f t="shared" si="8"/>
        <v>13</v>
      </c>
    </row>
    <row r="19" spans="1:32" ht="27" customHeight="1">
      <c r="A19" s="110">
        <v>14</v>
      </c>
      <c r="B19" s="11" t="s">
        <v>164</v>
      </c>
      <c r="C19" s="37" t="s">
        <v>241</v>
      </c>
      <c r="D19" s="55" t="s">
        <v>58</v>
      </c>
      <c r="E19" s="57" t="s">
        <v>231</v>
      </c>
      <c r="F19" s="33" t="s">
        <v>130</v>
      </c>
      <c r="G19" s="36">
        <v>1</v>
      </c>
      <c r="H19" s="38">
        <v>25</v>
      </c>
      <c r="I19" s="34">
        <v>5000</v>
      </c>
      <c r="J19" s="5">
        <v>5160</v>
      </c>
      <c r="K19" s="15">
        <f>L19+4798</f>
        <v>9953</v>
      </c>
      <c r="L19" s="15">
        <f>2293+402+2460</f>
        <v>5155</v>
      </c>
      <c r="M19" s="16">
        <f t="shared" si="0"/>
        <v>5155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>
        <v>1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0.99903100775193798</v>
      </c>
      <c r="AC19" s="9">
        <f t="shared" si="5"/>
        <v>0.95833333333333337</v>
      </c>
      <c r="AD19" s="10">
        <f t="shared" si="6"/>
        <v>0.95740471576227393</v>
      </c>
      <c r="AE19" s="39">
        <f t="shared" si="7"/>
        <v>0.38290751173688586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47680</v>
      </c>
      <c r="K20" s="15">
        <f>L20+34744+47040+47012</f>
        <v>176468</v>
      </c>
      <c r="L20" s="15">
        <f>6238*4+5680*4</f>
        <v>47672</v>
      </c>
      <c r="M20" s="16">
        <f t="shared" si="0"/>
        <v>47672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0.99983221476510065</v>
      </c>
      <c r="AC20" s="9">
        <f t="shared" si="5"/>
        <v>1</v>
      </c>
      <c r="AD20" s="10">
        <f t="shared" si="6"/>
        <v>0.99983221476510065</v>
      </c>
      <c r="AE20" s="39">
        <f t="shared" si="7"/>
        <v>0.38290751173688586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373750</v>
      </c>
      <c r="J21" s="22">
        <f t="shared" si="9"/>
        <v>82951</v>
      </c>
      <c r="K21" s="23">
        <f t="shared" si="9"/>
        <v>317172</v>
      </c>
      <c r="L21" s="24">
        <f t="shared" si="9"/>
        <v>72015</v>
      </c>
      <c r="M21" s="23">
        <f t="shared" si="9"/>
        <v>72015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138</v>
      </c>
      <c r="Q21" s="46">
        <f t="shared" si="10"/>
        <v>222</v>
      </c>
      <c r="R21" s="26">
        <f t="shared" si="10"/>
        <v>25</v>
      </c>
      <c r="S21" s="27">
        <f t="shared" si="10"/>
        <v>22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151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0.53202193362077865</v>
      </c>
      <c r="AC21" s="4">
        <f>SUM(AC6:AC20)/15</f>
        <v>0.38333333333333336</v>
      </c>
      <c r="AD21" s="4">
        <f>SUM(AD6:AD20)/15</f>
        <v>0.38290751173688586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267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271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177" t="s">
        <v>47</v>
      </c>
      <c r="D50" s="177" t="s">
        <v>48</v>
      </c>
      <c r="E50" s="177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177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122</v>
      </c>
      <c r="B51" s="506"/>
      <c r="C51" s="176" t="s">
        <v>144</v>
      </c>
      <c r="D51" s="173" t="s">
        <v>146</v>
      </c>
      <c r="E51" s="176" t="s">
        <v>162</v>
      </c>
      <c r="F51" s="487" t="s">
        <v>268</v>
      </c>
      <c r="G51" s="487"/>
      <c r="H51" s="487"/>
      <c r="I51" s="487"/>
      <c r="J51" s="487"/>
      <c r="K51" s="487"/>
      <c r="L51" s="487"/>
      <c r="M51" s="498"/>
      <c r="N51" s="172" t="s">
        <v>255</v>
      </c>
      <c r="O51" s="74" t="s">
        <v>256</v>
      </c>
      <c r="P51" s="503"/>
      <c r="Q51" s="504"/>
      <c r="R51" s="497" t="s">
        <v>257</v>
      </c>
      <c r="S51" s="497"/>
      <c r="T51" s="497"/>
      <c r="U51" s="497"/>
      <c r="V51" s="487" t="s">
        <v>258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247</v>
      </c>
      <c r="B52" s="506"/>
      <c r="C52" s="176" t="s">
        <v>248</v>
      </c>
      <c r="D52" s="173" t="s">
        <v>58</v>
      </c>
      <c r="E52" s="176" t="s">
        <v>231</v>
      </c>
      <c r="F52" s="487" t="s">
        <v>269</v>
      </c>
      <c r="G52" s="487"/>
      <c r="H52" s="487"/>
      <c r="I52" s="487"/>
      <c r="J52" s="487"/>
      <c r="K52" s="487"/>
      <c r="L52" s="487"/>
      <c r="M52" s="498"/>
      <c r="N52" s="172"/>
      <c r="O52" s="74"/>
      <c r="P52" s="503"/>
      <c r="Q52" s="504"/>
      <c r="R52" s="497"/>
      <c r="S52" s="497"/>
      <c r="T52" s="497"/>
      <c r="U52" s="497"/>
      <c r="V52" s="487"/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176" t="s">
        <v>139</v>
      </c>
      <c r="D53" s="173" t="s">
        <v>135</v>
      </c>
      <c r="E53" s="176" t="s">
        <v>166</v>
      </c>
      <c r="F53" s="487" t="s">
        <v>270</v>
      </c>
      <c r="G53" s="487"/>
      <c r="H53" s="487"/>
      <c r="I53" s="487"/>
      <c r="J53" s="487"/>
      <c r="K53" s="487"/>
      <c r="L53" s="487"/>
      <c r="M53" s="498"/>
      <c r="N53" s="172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176"/>
      <c r="D54" s="173"/>
      <c r="E54" s="176"/>
      <c r="F54" s="487"/>
      <c r="G54" s="487"/>
      <c r="H54" s="487"/>
      <c r="I54" s="487"/>
      <c r="J54" s="487"/>
      <c r="K54" s="487"/>
      <c r="L54" s="487"/>
      <c r="M54" s="498"/>
      <c r="N54" s="172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/>
      <c r="B55" s="497"/>
      <c r="C55" s="173"/>
      <c r="D55" s="173"/>
      <c r="E55" s="173"/>
      <c r="F55" s="487"/>
      <c r="G55" s="487"/>
      <c r="H55" s="487"/>
      <c r="I55" s="487"/>
      <c r="J55" s="487"/>
      <c r="K55" s="487"/>
      <c r="L55" s="487"/>
      <c r="M55" s="498"/>
      <c r="N55" s="172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73"/>
      <c r="D56" s="173"/>
      <c r="E56" s="176"/>
      <c r="F56" s="487"/>
      <c r="G56" s="487"/>
      <c r="H56" s="487"/>
      <c r="I56" s="487"/>
      <c r="J56" s="487"/>
      <c r="K56" s="487"/>
      <c r="L56" s="487"/>
      <c r="M56" s="498"/>
      <c r="N56" s="172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73"/>
      <c r="D57" s="173"/>
      <c r="E57" s="176"/>
      <c r="F57" s="487"/>
      <c r="G57" s="487"/>
      <c r="H57" s="487"/>
      <c r="I57" s="487"/>
      <c r="J57" s="487"/>
      <c r="K57" s="487"/>
      <c r="L57" s="487"/>
      <c r="M57" s="498"/>
      <c r="N57" s="172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176"/>
      <c r="D58" s="173"/>
      <c r="E58" s="176"/>
      <c r="F58" s="487"/>
      <c r="G58" s="487"/>
      <c r="H58" s="487"/>
      <c r="I58" s="487"/>
      <c r="J58" s="487"/>
      <c r="K58" s="487"/>
      <c r="L58" s="487"/>
      <c r="M58" s="498"/>
      <c r="N58" s="172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73"/>
      <c r="D59" s="173"/>
      <c r="E59" s="173"/>
      <c r="F59" s="487"/>
      <c r="G59" s="487"/>
      <c r="H59" s="487"/>
      <c r="I59" s="487"/>
      <c r="J59" s="487"/>
      <c r="K59" s="487"/>
      <c r="L59" s="487"/>
      <c r="M59" s="498"/>
      <c r="N59" s="172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175"/>
      <c r="D60" s="175"/>
      <c r="E60" s="175"/>
      <c r="F60" s="501"/>
      <c r="G60" s="501"/>
      <c r="H60" s="501"/>
      <c r="I60" s="501"/>
      <c r="J60" s="501"/>
      <c r="K60" s="501"/>
      <c r="L60" s="501"/>
      <c r="M60" s="502"/>
      <c r="N60" s="174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272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71" t="s">
        <v>2</v>
      </c>
      <c r="D62" s="171" t="s">
        <v>38</v>
      </c>
      <c r="E62" s="171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71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70" t="s">
        <v>273</v>
      </c>
      <c r="D63" s="166"/>
      <c r="E63" s="168" t="s">
        <v>274</v>
      </c>
      <c r="F63" s="485" t="s">
        <v>275</v>
      </c>
      <c r="G63" s="475"/>
      <c r="H63" s="475"/>
      <c r="I63" s="475"/>
      <c r="J63" s="475"/>
      <c r="K63" s="488" t="s">
        <v>276</v>
      </c>
      <c r="L63" s="488"/>
      <c r="M63" s="54" t="s">
        <v>277</v>
      </c>
      <c r="N63" s="475">
        <v>7</v>
      </c>
      <c r="O63" s="475"/>
      <c r="P63" s="486"/>
      <c r="Q63" s="486"/>
      <c r="R63" s="487" t="s">
        <v>278</v>
      </c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70" t="s">
        <v>279</v>
      </c>
      <c r="D64" s="166"/>
      <c r="E64" s="168" t="s">
        <v>280</v>
      </c>
      <c r="F64" s="485" t="s">
        <v>281</v>
      </c>
      <c r="G64" s="475"/>
      <c r="H64" s="475"/>
      <c r="I64" s="475"/>
      <c r="J64" s="475"/>
      <c r="K64" s="475" t="s">
        <v>282</v>
      </c>
      <c r="L64" s="475"/>
      <c r="M64" s="54" t="s">
        <v>283</v>
      </c>
      <c r="N64" s="475">
        <v>13</v>
      </c>
      <c r="O64" s="475"/>
      <c r="P64" s="486" t="s">
        <v>284</v>
      </c>
      <c r="Q64" s="486"/>
      <c r="R64" s="487" t="s">
        <v>285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70"/>
      <c r="D65" s="166"/>
      <c r="E65" s="168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70"/>
      <c r="D66" s="166"/>
      <c r="E66" s="168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70"/>
      <c r="D67" s="166"/>
      <c r="E67" s="168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70"/>
      <c r="D68" s="166"/>
      <c r="E68" s="168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70"/>
      <c r="D69" s="166"/>
      <c r="E69" s="168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70"/>
      <c r="D70" s="166"/>
      <c r="E70" s="168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286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69" t="s">
        <v>2</v>
      </c>
      <c r="D72" s="169" t="s">
        <v>38</v>
      </c>
      <c r="E72" s="169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67" t="s">
        <v>62</v>
      </c>
      <c r="D73" s="167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66" t="s">
        <v>128</v>
      </c>
      <c r="D74" s="166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166" t="s">
        <v>62</v>
      </c>
      <c r="D75" s="166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166" t="s">
        <v>62</v>
      </c>
      <c r="D76" s="166"/>
      <c r="E76" s="35" t="s">
        <v>121</v>
      </c>
      <c r="F76" s="447" t="s">
        <v>287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166" t="s">
        <v>62</v>
      </c>
      <c r="D77" s="166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166"/>
      <c r="D78" s="166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166"/>
      <c r="D79" s="166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166"/>
      <c r="D80" s="166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166"/>
      <c r="D81" s="166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289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</v>
      </c>
      <c r="D84" s="448"/>
      <c r="E84" s="448" t="s">
        <v>150</v>
      </c>
      <c r="F84" s="448"/>
      <c r="G84" s="448"/>
      <c r="H84" s="448"/>
      <c r="I84" s="448"/>
      <c r="J84" s="448"/>
      <c r="K84" s="448" t="s">
        <v>290</v>
      </c>
      <c r="L84" s="448"/>
      <c r="M84" s="448"/>
      <c r="N84" s="448"/>
      <c r="O84" s="448"/>
      <c r="P84" s="448"/>
      <c r="Q84" s="448"/>
      <c r="R84" s="448"/>
      <c r="S84" s="448"/>
      <c r="T84" s="448" t="s">
        <v>149</v>
      </c>
      <c r="U84" s="448"/>
      <c r="V84" s="449"/>
      <c r="W84" s="449"/>
      <c r="X84" s="449"/>
      <c r="Y84" s="440" t="s">
        <v>151</v>
      </c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10" zoomScale="72" zoomScaleNormal="72" zoomScaleSheetLayoutView="70" workbookViewId="0">
      <selection activeCell="K78" sqref="K78:S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291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79" t="s">
        <v>17</v>
      </c>
      <c r="L5" s="179" t="s">
        <v>18</v>
      </c>
      <c r="M5" s="179" t="s">
        <v>19</v>
      </c>
      <c r="N5" s="17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0.1415230203006764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135</v>
      </c>
      <c r="E7" s="56" t="s">
        <v>156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0.1415230203006764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L8+2046+2448+2757+4612+4862+5249</f>
        <v>21974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0.1415230203006764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1320</v>
      </c>
      <c r="K9" s="15">
        <f>L9+746+1650+2301+3731+3690+4394+3188</f>
        <v>21014</v>
      </c>
      <c r="L9" s="15">
        <f>1314</f>
        <v>1314</v>
      </c>
      <c r="M9" s="16">
        <f t="shared" ref="M9" si="9">L9-N9</f>
        <v>1314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9</v>
      </c>
      <c r="Q9" s="43">
        <f t="shared" ref="Q9" si="12">SUM(R9:AA9)</f>
        <v>15</v>
      </c>
      <c r="R9" s="7"/>
      <c r="S9" s="6"/>
      <c r="T9" s="17">
        <v>15</v>
      </c>
      <c r="U9" s="17"/>
      <c r="V9" s="18"/>
      <c r="W9" s="19"/>
      <c r="X9" s="17"/>
      <c r="Y9" s="20"/>
      <c r="Z9" s="20"/>
      <c r="AA9" s="21"/>
      <c r="AB9" s="8">
        <f t="shared" ref="AB9" si="13">IF(J9=0,"0",(L9/J9))</f>
        <v>0.99545454545454548</v>
      </c>
      <c r="AC9" s="9">
        <f t="shared" ref="AC9" si="14">IF(P9=0,"0",(P9/24))</f>
        <v>0.375</v>
      </c>
      <c r="AD9" s="10">
        <f t="shared" ref="AD9" si="15">AC9*AB9*(1-O9)</f>
        <v>0.37329545454545454</v>
      </c>
      <c r="AE9" s="39">
        <f t="shared" si="7"/>
        <v>0.1415230203006764</v>
      </c>
      <c r="AF9" s="94">
        <f t="shared" ref="AF9" si="16">A9</f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19700</v>
      </c>
      <c r="L10" s="15">
        <f>712+2476</f>
        <v>3188</v>
      </c>
      <c r="M10" s="16">
        <f t="shared" si="0"/>
        <v>3188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>
        <v>10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0.99937304075235112</v>
      </c>
      <c r="AC10" s="9">
        <f t="shared" si="5"/>
        <v>0.58333333333333337</v>
      </c>
      <c r="AD10" s="10">
        <f t="shared" si="6"/>
        <v>0.58296760710553819</v>
      </c>
      <c r="AE10" s="39">
        <f t="shared" si="7"/>
        <v>0.1415230203006764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263</v>
      </c>
      <c r="D11" s="55" t="s">
        <v>264</v>
      </c>
      <c r="E11" s="57" t="s">
        <v>265</v>
      </c>
      <c r="F11" s="12" t="s">
        <v>212</v>
      </c>
      <c r="G11" s="12">
        <v>1</v>
      </c>
      <c r="H11" s="13">
        <v>25</v>
      </c>
      <c r="I11" s="34">
        <v>2000</v>
      </c>
      <c r="J11" s="14">
        <v>500</v>
      </c>
      <c r="K11" s="15">
        <f>L11+494</f>
        <v>494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20</v>
      </c>
      <c r="R11" s="7"/>
      <c r="S11" s="6">
        <v>20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0.1415230203006764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0.1415230203006764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21</v>
      </c>
      <c r="R13" s="7"/>
      <c r="S13" s="6"/>
      <c r="T13" s="17"/>
      <c r="U13" s="17"/>
      <c r="V13" s="18"/>
      <c r="W13" s="19">
        <v>21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0.1415230203006764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0.1415230203006764</v>
      </c>
      <c r="AF14" s="94">
        <f t="shared" si="8"/>
        <v>9</v>
      </c>
    </row>
    <row r="15" spans="1:32" ht="27" customHeight="1">
      <c r="A15" s="109">
        <v>10</v>
      </c>
      <c r="B15" s="11" t="s">
        <v>154</v>
      </c>
      <c r="C15" s="37" t="s">
        <v>152</v>
      </c>
      <c r="D15" s="55"/>
      <c r="E15" s="57" t="s">
        <v>153</v>
      </c>
      <c r="F15" s="12" t="s">
        <v>155</v>
      </c>
      <c r="G15" s="12">
        <v>8</v>
      </c>
      <c r="H15" s="13">
        <v>15</v>
      </c>
      <c r="I15" s="34">
        <v>3000</v>
      </c>
      <c r="J15" s="5">
        <v>5410</v>
      </c>
      <c r="K15" s="15">
        <f>L15+4500+5408</f>
        <v>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0.1415230203006764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128</v>
      </c>
      <c r="D16" s="55" t="s">
        <v>131</v>
      </c>
      <c r="E16" s="56" t="s">
        <v>142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0.1415230203006764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146</v>
      </c>
      <c r="E17" s="56" t="s">
        <v>162</v>
      </c>
      <c r="F17" s="12">
        <v>8301</v>
      </c>
      <c r="G17" s="12">
        <v>1</v>
      </c>
      <c r="H17" s="13">
        <v>25</v>
      </c>
      <c r="I17" s="34">
        <v>15000</v>
      </c>
      <c r="J17" s="5">
        <v>350</v>
      </c>
      <c r="K17" s="15">
        <f>L17+2929+2877+2911+3096+4193+2312+2975</f>
        <v>21643</v>
      </c>
      <c r="L17" s="15">
        <v>350</v>
      </c>
      <c r="M17" s="16">
        <f t="shared" si="0"/>
        <v>350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0.1415230203006764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135</v>
      </c>
      <c r="E18" s="57" t="s">
        <v>160</v>
      </c>
      <c r="F18" s="12" t="s">
        <v>130</v>
      </c>
      <c r="G18" s="12">
        <v>1</v>
      </c>
      <c r="H18" s="13">
        <v>25</v>
      </c>
      <c r="I18" s="34">
        <v>2000</v>
      </c>
      <c r="J18" s="5">
        <v>780</v>
      </c>
      <c r="K18" s="15">
        <f>L18+380+1034+773</f>
        <v>2187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0.1415230203006764</v>
      </c>
      <c r="AF18" s="94">
        <f t="shared" si="8"/>
        <v>13</v>
      </c>
    </row>
    <row r="19" spans="1:32" ht="27" customHeight="1">
      <c r="A19" s="110">
        <v>14</v>
      </c>
      <c r="B19" s="11" t="s">
        <v>164</v>
      </c>
      <c r="C19" s="37" t="s">
        <v>241</v>
      </c>
      <c r="D19" s="55" t="s">
        <v>58</v>
      </c>
      <c r="E19" s="57" t="s">
        <v>231</v>
      </c>
      <c r="F19" s="33" t="s">
        <v>130</v>
      </c>
      <c r="G19" s="36">
        <v>1</v>
      </c>
      <c r="H19" s="38">
        <v>25</v>
      </c>
      <c r="I19" s="34">
        <v>5000</v>
      </c>
      <c r="J19" s="5">
        <v>5160</v>
      </c>
      <c r="K19" s="15">
        <f>L19+4798+5155</f>
        <v>9953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0.1415230203006764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47380</v>
      </c>
      <c r="K20" s="15">
        <f>L20+34744+47040+47012+47672</f>
        <v>223844</v>
      </c>
      <c r="L20" s="15">
        <f>6131*4+5713*4</f>
        <v>47376</v>
      </c>
      <c r="M20" s="16">
        <f t="shared" si="0"/>
        <v>47376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0.99991557619248628</v>
      </c>
      <c r="AC20" s="9">
        <f t="shared" si="5"/>
        <v>1</v>
      </c>
      <c r="AD20" s="10">
        <f t="shared" si="6"/>
        <v>0.99991557619248628</v>
      </c>
      <c r="AE20" s="39">
        <f t="shared" si="7"/>
        <v>0.1415230203006764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7">SUM(I6:I20)</f>
        <v>409750</v>
      </c>
      <c r="J21" s="22">
        <f t="shared" si="17"/>
        <v>74411</v>
      </c>
      <c r="K21" s="23">
        <f t="shared" si="17"/>
        <v>364887</v>
      </c>
      <c r="L21" s="24">
        <f t="shared" si="17"/>
        <v>52228</v>
      </c>
      <c r="M21" s="23">
        <f t="shared" si="17"/>
        <v>52228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51</v>
      </c>
      <c r="Q21" s="46">
        <f t="shared" si="18"/>
        <v>278</v>
      </c>
      <c r="R21" s="26">
        <f t="shared" si="18"/>
        <v>34</v>
      </c>
      <c r="S21" s="27">
        <f t="shared" si="18"/>
        <v>20</v>
      </c>
      <c r="T21" s="27">
        <f t="shared" si="18"/>
        <v>15</v>
      </c>
      <c r="U21" s="27">
        <f t="shared" si="18"/>
        <v>0</v>
      </c>
      <c r="V21" s="28">
        <f t="shared" si="18"/>
        <v>0</v>
      </c>
      <c r="W21" s="29">
        <f t="shared" si="18"/>
        <v>185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24</v>
      </c>
      <c r="AB21" s="31">
        <f>SUM(AB6:AB20)/15</f>
        <v>0.26631621082662554</v>
      </c>
      <c r="AC21" s="4">
        <f>SUM(AC6:AC20)/15</f>
        <v>0.14166666666666666</v>
      </c>
      <c r="AD21" s="4">
        <f>SUM(AD6:AD20)/15</f>
        <v>0.1415230203006764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292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294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180" t="s">
        <v>47</v>
      </c>
      <c r="D50" s="180" t="s">
        <v>48</v>
      </c>
      <c r="E50" s="180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180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122</v>
      </c>
      <c r="B51" s="506"/>
      <c r="C51" s="181" t="s">
        <v>139</v>
      </c>
      <c r="D51" s="182" t="s">
        <v>135</v>
      </c>
      <c r="E51" s="181" t="s">
        <v>166</v>
      </c>
      <c r="F51" s="487" t="s">
        <v>293</v>
      </c>
      <c r="G51" s="487"/>
      <c r="H51" s="487"/>
      <c r="I51" s="487"/>
      <c r="J51" s="487"/>
      <c r="K51" s="487"/>
      <c r="L51" s="487"/>
      <c r="M51" s="498"/>
      <c r="N51" s="183" t="s">
        <v>255</v>
      </c>
      <c r="O51" s="74" t="s">
        <v>256</v>
      </c>
      <c r="P51" s="503"/>
      <c r="Q51" s="504"/>
      <c r="R51" s="497" t="s">
        <v>257</v>
      </c>
      <c r="S51" s="497"/>
      <c r="T51" s="497"/>
      <c r="U51" s="497"/>
      <c r="V51" s="487" t="s">
        <v>295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/>
      <c r="B52" s="506"/>
      <c r="C52" s="181"/>
      <c r="D52" s="182"/>
      <c r="E52" s="181"/>
      <c r="F52" s="487"/>
      <c r="G52" s="487"/>
      <c r="H52" s="487"/>
      <c r="I52" s="487"/>
      <c r="J52" s="487"/>
      <c r="K52" s="487"/>
      <c r="L52" s="487"/>
      <c r="M52" s="498"/>
      <c r="N52" s="183" t="s">
        <v>297</v>
      </c>
      <c r="O52" s="74" t="s">
        <v>143</v>
      </c>
      <c r="P52" s="503" t="s">
        <v>299</v>
      </c>
      <c r="Q52" s="504"/>
      <c r="R52" s="497" t="s">
        <v>296</v>
      </c>
      <c r="S52" s="497"/>
      <c r="T52" s="497"/>
      <c r="U52" s="497"/>
      <c r="V52" s="487" t="s">
        <v>300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/>
      <c r="B53" s="506"/>
      <c r="C53" s="181"/>
      <c r="D53" s="182"/>
      <c r="E53" s="181"/>
      <c r="F53" s="487"/>
      <c r="G53" s="487"/>
      <c r="H53" s="487"/>
      <c r="I53" s="487"/>
      <c r="J53" s="487"/>
      <c r="K53" s="487"/>
      <c r="L53" s="487"/>
      <c r="M53" s="498"/>
      <c r="N53" s="183" t="s">
        <v>302</v>
      </c>
      <c r="O53" s="74" t="s">
        <v>303</v>
      </c>
      <c r="P53" s="503" t="s">
        <v>304</v>
      </c>
      <c r="Q53" s="504"/>
      <c r="R53" s="497" t="s">
        <v>301</v>
      </c>
      <c r="S53" s="497"/>
      <c r="T53" s="497"/>
      <c r="U53" s="497"/>
      <c r="V53" s="487" t="s">
        <v>305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181"/>
      <c r="D54" s="182"/>
      <c r="E54" s="181"/>
      <c r="F54" s="487"/>
      <c r="G54" s="487"/>
      <c r="H54" s="487"/>
      <c r="I54" s="487"/>
      <c r="J54" s="487"/>
      <c r="K54" s="487"/>
      <c r="L54" s="487"/>
      <c r="M54" s="498"/>
      <c r="N54" s="183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/>
      <c r="B55" s="497"/>
      <c r="C55" s="182"/>
      <c r="D55" s="182"/>
      <c r="E55" s="182"/>
      <c r="F55" s="487"/>
      <c r="G55" s="487"/>
      <c r="H55" s="487"/>
      <c r="I55" s="487"/>
      <c r="J55" s="487"/>
      <c r="K55" s="487"/>
      <c r="L55" s="487"/>
      <c r="M55" s="498"/>
      <c r="N55" s="183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82"/>
      <c r="D56" s="182"/>
      <c r="E56" s="181"/>
      <c r="F56" s="487"/>
      <c r="G56" s="487"/>
      <c r="H56" s="487"/>
      <c r="I56" s="487"/>
      <c r="J56" s="487"/>
      <c r="K56" s="487"/>
      <c r="L56" s="487"/>
      <c r="M56" s="498"/>
      <c r="N56" s="183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82"/>
      <c r="D57" s="182"/>
      <c r="E57" s="181"/>
      <c r="F57" s="487"/>
      <c r="G57" s="487"/>
      <c r="H57" s="487"/>
      <c r="I57" s="487"/>
      <c r="J57" s="487"/>
      <c r="K57" s="487"/>
      <c r="L57" s="487"/>
      <c r="M57" s="498"/>
      <c r="N57" s="183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181"/>
      <c r="D58" s="182"/>
      <c r="E58" s="181"/>
      <c r="F58" s="487"/>
      <c r="G58" s="487"/>
      <c r="H58" s="487"/>
      <c r="I58" s="487"/>
      <c r="J58" s="487"/>
      <c r="K58" s="487"/>
      <c r="L58" s="487"/>
      <c r="M58" s="498"/>
      <c r="N58" s="183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82"/>
      <c r="D59" s="182"/>
      <c r="E59" s="182"/>
      <c r="F59" s="487"/>
      <c r="G59" s="487"/>
      <c r="H59" s="487"/>
      <c r="I59" s="487"/>
      <c r="J59" s="487"/>
      <c r="K59" s="487"/>
      <c r="L59" s="487"/>
      <c r="M59" s="498"/>
      <c r="N59" s="183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185"/>
      <c r="D60" s="185"/>
      <c r="E60" s="185"/>
      <c r="F60" s="501"/>
      <c r="G60" s="501"/>
      <c r="H60" s="501"/>
      <c r="I60" s="501"/>
      <c r="J60" s="501"/>
      <c r="K60" s="501"/>
      <c r="L60" s="501"/>
      <c r="M60" s="502"/>
      <c r="N60" s="184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306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86" t="s">
        <v>2</v>
      </c>
      <c r="D62" s="186" t="s">
        <v>38</v>
      </c>
      <c r="E62" s="186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86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88" t="s">
        <v>273</v>
      </c>
      <c r="D63" s="190"/>
      <c r="E63" s="187" t="s">
        <v>274</v>
      </c>
      <c r="F63" s="485" t="s">
        <v>275</v>
      </c>
      <c r="G63" s="475"/>
      <c r="H63" s="475"/>
      <c r="I63" s="475"/>
      <c r="J63" s="475"/>
      <c r="K63" s="488" t="s">
        <v>276</v>
      </c>
      <c r="L63" s="488"/>
      <c r="M63" s="54" t="s">
        <v>277</v>
      </c>
      <c r="N63" s="475">
        <v>7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88"/>
      <c r="D64" s="190"/>
      <c r="E64" s="187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88"/>
      <c r="D65" s="190"/>
      <c r="E65" s="187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88"/>
      <c r="D66" s="190"/>
      <c r="E66" s="187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88"/>
      <c r="D67" s="190"/>
      <c r="E67" s="187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88"/>
      <c r="D68" s="190"/>
      <c r="E68" s="187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88"/>
      <c r="D69" s="190"/>
      <c r="E69" s="187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88"/>
      <c r="D70" s="190"/>
      <c r="E70" s="187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307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89" t="s">
        <v>2</v>
      </c>
      <c r="D72" s="189" t="s">
        <v>38</v>
      </c>
      <c r="E72" s="189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91" t="s">
        <v>62</v>
      </c>
      <c r="D73" s="191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90" t="s">
        <v>128</v>
      </c>
      <c r="D74" s="190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9">A74+1</f>
        <v>3</v>
      </c>
      <c r="B75" s="447"/>
      <c r="C75" s="190" t="s">
        <v>62</v>
      </c>
      <c r="D75" s="190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9"/>
        <v>4</v>
      </c>
      <c r="B76" s="447"/>
      <c r="C76" s="190" t="s">
        <v>62</v>
      </c>
      <c r="D76" s="190"/>
      <c r="E76" s="35" t="s">
        <v>121</v>
      </c>
      <c r="F76" s="447" t="s">
        <v>287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9"/>
        <v>5</v>
      </c>
      <c r="B77" s="447"/>
      <c r="C77" s="190" t="s">
        <v>62</v>
      </c>
      <c r="D77" s="190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9"/>
        <v>6</v>
      </c>
      <c r="B78" s="447"/>
      <c r="C78" s="190"/>
      <c r="D78" s="190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9"/>
        <v>7</v>
      </c>
      <c r="B79" s="447"/>
      <c r="C79" s="190"/>
      <c r="D79" s="190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9"/>
        <v>8</v>
      </c>
      <c r="B80" s="447"/>
      <c r="C80" s="190"/>
      <c r="D80" s="190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9"/>
        <v>9</v>
      </c>
      <c r="B81" s="447"/>
      <c r="C81" s="190"/>
      <c r="D81" s="190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308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11" sqref="T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309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179" t="s">
        <v>17</v>
      </c>
      <c r="L5" s="179" t="s">
        <v>18</v>
      </c>
      <c r="M5" s="179" t="s">
        <v>19</v>
      </c>
      <c r="N5" s="17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0.34712252533786092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13890</v>
      </c>
      <c r="K7" s="15">
        <f>L7</f>
        <v>13888</v>
      </c>
      <c r="L7" s="15">
        <f>772*4+2700*4</f>
        <v>13888</v>
      </c>
      <c r="M7" s="16">
        <f t="shared" si="0"/>
        <v>13888</v>
      </c>
      <c r="N7" s="16">
        <v>0</v>
      </c>
      <c r="O7" s="62">
        <f t="shared" si="1"/>
        <v>0</v>
      </c>
      <c r="P7" s="42">
        <f t="shared" si="2"/>
        <v>18</v>
      </c>
      <c r="Q7" s="43">
        <f t="shared" si="3"/>
        <v>6</v>
      </c>
      <c r="R7" s="7"/>
      <c r="S7" s="6">
        <v>6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0.99985601151907844</v>
      </c>
      <c r="AC7" s="9">
        <f t="shared" si="5"/>
        <v>0.75</v>
      </c>
      <c r="AD7" s="10">
        <f t="shared" si="6"/>
        <v>0.74989200863930883</v>
      </c>
      <c r="AE7" s="39">
        <f t="shared" si="7"/>
        <v>0.34712252533786092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L8+2046+2448+2757+4612+4862+5249</f>
        <v>21974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0.34712252533786092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3905</v>
      </c>
      <c r="K9" s="15">
        <f>L9+746+1650+2301+3731+3690+4394+3188+1314</f>
        <v>24918</v>
      </c>
      <c r="L9" s="15">
        <f>1218+2686</f>
        <v>3904</v>
      </c>
      <c r="M9" s="16">
        <f t="shared" si="0"/>
        <v>3904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0.99974391805377716</v>
      </c>
      <c r="AC9" s="9">
        <f t="shared" si="5"/>
        <v>0.79166666666666663</v>
      </c>
      <c r="AD9" s="10">
        <f t="shared" si="6"/>
        <v>0.79146393512590685</v>
      </c>
      <c r="AE9" s="39">
        <f t="shared" si="7"/>
        <v>0.34712252533786092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0.34712252533786092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263</v>
      </c>
      <c r="D11" s="55" t="s">
        <v>264</v>
      </c>
      <c r="E11" s="57" t="s">
        <v>312</v>
      </c>
      <c r="F11" s="12" t="s">
        <v>212</v>
      </c>
      <c r="G11" s="12">
        <v>1</v>
      </c>
      <c r="H11" s="13">
        <v>25</v>
      </c>
      <c r="I11" s="34">
        <v>1000</v>
      </c>
      <c r="J11" s="14">
        <v>2500</v>
      </c>
      <c r="K11" s="15">
        <f>L11</f>
        <v>2500</v>
      </c>
      <c r="L11" s="15">
        <f>205*2+1045*2</f>
        <v>2500</v>
      </c>
      <c r="M11" s="16">
        <f t="shared" si="0"/>
        <v>2500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10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0.58333333333333337</v>
      </c>
      <c r="AD11" s="10">
        <f t="shared" si="6"/>
        <v>0.58333333333333337</v>
      </c>
      <c r="AE11" s="39">
        <f t="shared" si="7"/>
        <v>0.34712252533786092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0.34712252533786092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0.34712252533786092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0.34712252533786092</v>
      </c>
      <c r="AF14" s="94">
        <f t="shared" si="8"/>
        <v>9</v>
      </c>
    </row>
    <row r="15" spans="1:32" ht="27" customHeight="1">
      <c r="A15" s="109">
        <v>10</v>
      </c>
      <c r="B15" s="11" t="s">
        <v>313</v>
      </c>
      <c r="C15" s="37" t="s">
        <v>302</v>
      </c>
      <c r="D15" s="55" t="s">
        <v>314</v>
      </c>
      <c r="E15" s="57" t="s">
        <v>315</v>
      </c>
      <c r="F15" s="12" t="s">
        <v>316</v>
      </c>
      <c r="G15" s="12">
        <v>3</v>
      </c>
      <c r="H15" s="13">
        <v>15</v>
      </c>
      <c r="I15" s="34">
        <v>30000</v>
      </c>
      <c r="J15" s="5">
        <v>15400</v>
      </c>
      <c r="K15" s="15">
        <f>L15</f>
        <v>15393</v>
      </c>
      <c r="L15" s="15">
        <f>1971*3+3160*3</f>
        <v>15393</v>
      </c>
      <c r="M15" s="16">
        <f t="shared" si="0"/>
        <v>15393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>
        <v>3</v>
      </c>
      <c r="U15" s="17"/>
      <c r="V15" s="18"/>
      <c r="W15" s="19"/>
      <c r="X15" s="17"/>
      <c r="Y15" s="20"/>
      <c r="Z15" s="20"/>
      <c r="AA15" s="21"/>
      <c r="AB15" s="8">
        <f t="shared" si="4"/>
        <v>0.99954545454545451</v>
      </c>
      <c r="AC15" s="9">
        <f t="shared" si="5"/>
        <v>0.875</v>
      </c>
      <c r="AD15" s="10">
        <f t="shared" si="6"/>
        <v>0.87460227272727264</v>
      </c>
      <c r="AE15" s="39">
        <f t="shared" si="7"/>
        <v>0.34712252533786092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128</v>
      </c>
      <c r="D16" s="55" t="s">
        <v>131</v>
      </c>
      <c r="E16" s="56" t="s">
        <v>142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0.34712252533786092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146</v>
      </c>
      <c r="E17" s="56" t="s">
        <v>162</v>
      </c>
      <c r="F17" s="12">
        <v>8301</v>
      </c>
      <c r="G17" s="12">
        <v>1</v>
      </c>
      <c r="H17" s="13">
        <v>25</v>
      </c>
      <c r="I17" s="34">
        <v>15000</v>
      </c>
      <c r="J17" s="5">
        <v>350</v>
      </c>
      <c r="K17" s="15">
        <f>L17+2929+2877+2911+3096+4193+2312+2975+350</f>
        <v>21643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0.34712252533786092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299</v>
      </c>
      <c r="E18" s="57" t="s">
        <v>317</v>
      </c>
      <c r="F18" s="12" t="s">
        <v>318</v>
      </c>
      <c r="G18" s="12">
        <v>1</v>
      </c>
      <c r="H18" s="13">
        <v>25</v>
      </c>
      <c r="I18" s="34">
        <v>4500</v>
      </c>
      <c r="J18" s="5">
        <v>5210</v>
      </c>
      <c r="K18" s="15">
        <f>L18</f>
        <v>5209</v>
      </c>
      <c r="L18" s="15">
        <f>2209+3000</f>
        <v>5209</v>
      </c>
      <c r="M18" s="16">
        <f t="shared" si="0"/>
        <v>5209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0.99980806142034551</v>
      </c>
      <c r="AC18" s="9">
        <f t="shared" si="5"/>
        <v>0.95833333333333337</v>
      </c>
      <c r="AD18" s="10">
        <f t="shared" si="6"/>
        <v>0.9581493921944978</v>
      </c>
      <c r="AE18" s="39">
        <f t="shared" si="7"/>
        <v>0.34712252533786092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206</v>
      </c>
      <c r="D19" s="55" t="s">
        <v>58</v>
      </c>
      <c r="E19" s="57" t="s">
        <v>319</v>
      </c>
      <c r="F19" s="33" t="s">
        <v>320</v>
      </c>
      <c r="G19" s="36">
        <v>1</v>
      </c>
      <c r="H19" s="38">
        <v>25</v>
      </c>
      <c r="I19" s="34">
        <v>1000</v>
      </c>
      <c r="J19" s="5">
        <v>1150</v>
      </c>
      <c r="K19" s="15">
        <f>L19</f>
        <v>1148</v>
      </c>
      <c r="L19" s="15">
        <f>574*2</f>
        <v>1148</v>
      </c>
      <c r="M19" s="16">
        <f t="shared" si="0"/>
        <v>1148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/>
      <c r="T19" s="17"/>
      <c r="U19" s="17"/>
      <c r="V19" s="18"/>
      <c r="W19" s="19">
        <v>18</v>
      </c>
      <c r="X19" s="17"/>
      <c r="Y19" s="20"/>
      <c r="Z19" s="20"/>
      <c r="AA19" s="21"/>
      <c r="AB19" s="8">
        <f t="shared" si="4"/>
        <v>0.99826086956521742</v>
      </c>
      <c r="AC19" s="9">
        <f t="shared" si="5"/>
        <v>0.25</v>
      </c>
      <c r="AD19" s="10">
        <f t="shared" si="6"/>
        <v>0.24956521739130436</v>
      </c>
      <c r="AE19" s="39">
        <f t="shared" si="7"/>
        <v>0.34712252533786092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47540</v>
      </c>
      <c r="K20" s="15">
        <f>L20+34744+47040+47012+47672+47376</f>
        <v>271376</v>
      </c>
      <c r="L20" s="15">
        <f>5698*4+6185*4</f>
        <v>47532</v>
      </c>
      <c r="M20" s="16">
        <f t="shared" si="0"/>
        <v>47532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0.99983172065628945</v>
      </c>
      <c r="AC20" s="9">
        <f t="shared" si="5"/>
        <v>1</v>
      </c>
      <c r="AD20" s="10">
        <f t="shared" si="6"/>
        <v>0.99983172065628945</v>
      </c>
      <c r="AE20" s="39">
        <f t="shared" si="7"/>
        <v>0.34712252533786092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551250</v>
      </c>
      <c r="J21" s="22">
        <f t="shared" si="9"/>
        <v>101376</v>
      </c>
      <c r="K21" s="23">
        <f t="shared" si="9"/>
        <v>420462</v>
      </c>
      <c r="L21" s="24">
        <f t="shared" si="9"/>
        <v>89574</v>
      </c>
      <c r="M21" s="23">
        <f t="shared" si="9"/>
        <v>89574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125</v>
      </c>
      <c r="Q21" s="46">
        <f t="shared" si="10"/>
        <v>231</v>
      </c>
      <c r="R21" s="26">
        <f t="shared" si="10"/>
        <v>24</v>
      </c>
      <c r="S21" s="27">
        <f t="shared" si="10"/>
        <v>21</v>
      </c>
      <c r="T21" s="27">
        <f t="shared" si="10"/>
        <v>4</v>
      </c>
      <c r="U21" s="27">
        <f t="shared" si="10"/>
        <v>0</v>
      </c>
      <c r="V21" s="28">
        <f t="shared" si="10"/>
        <v>0</v>
      </c>
      <c r="W21" s="29">
        <f t="shared" si="10"/>
        <v>158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0.46646973571734413</v>
      </c>
      <c r="AC21" s="4">
        <f>SUM(AC6:AC20)/15</f>
        <v>0.34722222222222227</v>
      </c>
      <c r="AD21" s="4">
        <f>SUM(AD6:AD20)/15</f>
        <v>0.34712252533786092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321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332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180" t="s">
        <v>47</v>
      </c>
      <c r="D50" s="180" t="s">
        <v>48</v>
      </c>
      <c r="E50" s="180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180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322</v>
      </c>
      <c r="B51" s="506"/>
      <c r="C51" s="181" t="s">
        <v>303</v>
      </c>
      <c r="D51" s="182" t="s">
        <v>310</v>
      </c>
      <c r="E51" s="181" t="s">
        <v>311</v>
      </c>
      <c r="F51" s="487" t="s">
        <v>323</v>
      </c>
      <c r="G51" s="487"/>
      <c r="H51" s="487"/>
      <c r="I51" s="487"/>
      <c r="J51" s="487"/>
      <c r="K51" s="487"/>
      <c r="L51" s="487"/>
      <c r="M51" s="498"/>
      <c r="N51" s="183" t="s">
        <v>255</v>
      </c>
      <c r="O51" s="74" t="s">
        <v>256</v>
      </c>
      <c r="P51" s="503"/>
      <c r="Q51" s="504"/>
      <c r="R51" s="497" t="s">
        <v>257</v>
      </c>
      <c r="S51" s="497"/>
      <c r="T51" s="497"/>
      <c r="U51" s="497"/>
      <c r="V51" s="487" t="s">
        <v>295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324</v>
      </c>
      <c r="B52" s="506"/>
      <c r="C52" s="181" t="s">
        <v>325</v>
      </c>
      <c r="D52" s="182" t="s">
        <v>314</v>
      </c>
      <c r="E52" s="181" t="s">
        <v>315</v>
      </c>
      <c r="F52" s="487" t="s">
        <v>326</v>
      </c>
      <c r="G52" s="487"/>
      <c r="H52" s="487"/>
      <c r="I52" s="487"/>
      <c r="J52" s="487"/>
      <c r="K52" s="487"/>
      <c r="L52" s="487"/>
      <c r="M52" s="498"/>
      <c r="N52" s="183" t="s">
        <v>328</v>
      </c>
      <c r="O52" s="74" t="s">
        <v>298</v>
      </c>
      <c r="P52" s="503" t="s">
        <v>333</v>
      </c>
      <c r="Q52" s="504"/>
      <c r="R52" s="497" t="s">
        <v>334</v>
      </c>
      <c r="S52" s="497"/>
      <c r="T52" s="497"/>
      <c r="U52" s="497"/>
      <c r="V52" s="487" t="s">
        <v>300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297</v>
      </c>
      <c r="B53" s="506"/>
      <c r="C53" s="181" t="s">
        <v>327</v>
      </c>
      <c r="D53" s="182" t="s">
        <v>299</v>
      </c>
      <c r="E53" s="181" t="s">
        <v>317</v>
      </c>
      <c r="F53" s="487" t="s">
        <v>326</v>
      </c>
      <c r="G53" s="487"/>
      <c r="H53" s="487"/>
      <c r="I53" s="487"/>
      <c r="J53" s="487"/>
      <c r="K53" s="487"/>
      <c r="L53" s="487"/>
      <c r="M53" s="498"/>
      <c r="N53" s="183" t="s">
        <v>297</v>
      </c>
      <c r="O53" s="74" t="s">
        <v>336</v>
      </c>
      <c r="P53" s="503" t="s">
        <v>337</v>
      </c>
      <c r="Q53" s="504"/>
      <c r="R53" s="497" t="s">
        <v>335</v>
      </c>
      <c r="S53" s="497"/>
      <c r="T53" s="497"/>
      <c r="U53" s="497"/>
      <c r="V53" s="487" t="s">
        <v>300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328</v>
      </c>
      <c r="B54" s="506"/>
      <c r="C54" s="181" t="s">
        <v>329</v>
      </c>
      <c r="D54" s="182" t="s">
        <v>330</v>
      </c>
      <c r="E54" s="181" t="s">
        <v>312</v>
      </c>
      <c r="F54" s="487" t="s">
        <v>326</v>
      </c>
      <c r="G54" s="487"/>
      <c r="H54" s="487"/>
      <c r="I54" s="487"/>
      <c r="J54" s="487"/>
      <c r="K54" s="487"/>
      <c r="L54" s="487"/>
      <c r="M54" s="498"/>
      <c r="N54" s="183" t="s">
        <v>338</v>
      </c>
      <c r="O54" s="74" t="s">
        <v>339</v>
      </c>
      <c r="P54" s="503" t="s">
        <v>340</v>
      </c>
      <c r="Q54" s="504"/>
      <c r="R54" s="497" t="s">
        <v>341</v>
      </c>
      <c r="S54" s="497"/>
      <c r="T54" s="497"/>
      <c r="U54" s="497"/>
      <c r="V54" s="487" t="s">
        <v>300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 t="s">
        <v>206</v>
      </c>
      <c r="B55" s="497"/>
      <c r="C55" s="182" t="s">
        <v>298</v>
      </c>
      <c r="D55" s="182" t="s">
        <v>331</v>
      </c>
      <c r="E55" s="181" t="s">
        <v>319</v>
      </c>
      <c r="F55" s="487" t="s">
        <v>326</v>
      </c>
      <c r="G55" s="487"/>
      <c r="H55" s="487"/>
      <c r="I55" s="487"/>
      <c r="J55" s="487"/>
      <c r="K55" s="487"/>
      <c r="L55" s="487"/>
      <c r="M55" s="498"/>
      <c r="N55" s="183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82"/>
      <c r="D56" s="182"/>
      <c r="E56" s="181"/>
      <c r="F56" s="487"/>
      <c r="G56" s="487"/>
      <c r="H56" s="487"/>
      <c r="I56" s="487"/>
      <c r="J56" s="487"/>
      <c r="K56" s="487"/>
      <c r="L56" s="487"/>
      <c r="M56" s="498"/>
      <c r="N56" s="183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82"/>
      <c r="D57" s="182"/>
      <c r="E57" s="181"/>
      <c r="F57" s="487"/>
      <c r="G57" s="487"/>
      <c r="H57" s="487"/>
      <c r="I57" s="487"/>
      <c r="J57" s="487"/>
      <c r="K57" s="487"/>
      <c r="L57" s="487"/>
      <c r="M57" s="498"/>
      <c r="N57" s="183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181"/>
      <c r="D58" s="182"/>
      <c r="E58" s="181"/>
      <c r="F58" s="487"/>
      <c r="G58" s="487"/>
      <c r="H58" s="487"/>
      <c r="I58" s="487"/>
      <c r="J58" s="487"/>
      <c r="K58" s="487"/>
      <c r="L58" s="487"/>
      <c r="M58" s="498"/>
      <c r="N58" s="183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82"/>
      <c r="D59" s="182"/>
      <c r="E59" s="182"/>
      <c r="F59" s="487"/>
      <c r="G59" s="487"/>
      <c r="H59" s="487"/>
      <c r="I59" s="487"/>
      <c r="J59" s="487"/>
      <c r="K59" s="487"/>
      <c r="L59" s="487"/>
      <c r="M59" s="498"/>
      <c r="N59" s="183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185"/>
      <c r="D60" s="185"/>
      <c r="E60" s="185"/>
      <c r="F60" s="501"/>
      <c r="G60" s="501"/>
      <c r="H60" s="501"/>
      <c r="I60" s="501"/>
      <c r="J60" s="501"/>
      <c r="K60" s="501"/>
      <c r="L60" s="501"/>
      <c r="M60" s="502"/>
      <c r="N60" s="184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342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86" t="s">
        <v>2</v>
      </c>
      <c r="D62" s="186" t="s">
        <v>38</v>
      </c>
      <c r="E62" s="186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86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88" t="s">
        <v>338</v>
      </c>
      <c r="D63" s="190"/>
      <c r="E63" s="187" t="s">
        <v>343</v>
      </c>
      <c r="F63" s="485" t="s">
        <v>344</v>
      </c>
      <c r="G63" s="475"/>
      <c r="H63" s="475"/>
      <c r="I63" s="475"/>
      <c r="J63" s="475"/>
      <c r="K63" s="488">
        <v>7301</v>
      </c>
      <c r="L63" s="488"/>
      <c r="M63" s="54" t="s">
        <v>345</v>
      </c>
      <c r="N63" s="475">
        <v>7</v>
      </c>
      <c r="O63" s="475"/>
      <c r="P63" s="486" t="s">
        <v>346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88" t="s">
        <v>338</v>
      </c>
      <c r="D64" s="190"/>
      <c r="E64" s="187" t="s">
        <v>347</v>
      </c>
      <c r="F64" s="485" t="s">
        <v>348</v>
      </c>
      <c r="G64" s="475"/>
      <c r="H64" s="475"/>
      <c r="I64" s="475"/>
      <c r="J64" s="475"/>
      <c r="K64" s="475">
        <v>7301</v>
      </c>
      <c r="L64" s="475"/>
      <c r="M64" s="54" t="s">
        <v>345</v>
      </c>
      <c r="N64" s="475">
        <v>8</v>
      </c>
      <c r="O64" s="475"/>
      <c r="P64" s="486"/>
      <c r="Q64" s="486"/>
      <c r="R64" s="487" t="s">
        <v>349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88" t="s">
        <v>338</v>
      </c>
      <c r="D65" s="190"/>
      <c r="E65" s="187" t="s">
        <v>350</v>
      </c>
      <c r="F65" s="485" t="s">
        <v>351</v>
      </c>
      <c r="G65" s="475"/>
      <c r="H65" s="475"/>
      <c r="I65" s="475"/>
      <c r="J65" s="475"/>
      <c r="K65" s="488">
        <v>8301</v>
      </c>
      <c r="L65" s="488"/>
      <c r="M65" s="54" t="s">
        <v>345</v>
      </c>
      <c r="N65" s="475">
        <v>12</v>
      </c>
      <c r="O65" s="475"/>
      <c r="P65" s="486">
        <v>50</v>
      </c>
      <c r="Q65" s="486"/>
      <c r="R65" s="487" t="s">
        <v>352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88" t="s">
        <v>338</v>
      </c>
      <c r="D66" s="190"/>
      <c r="E66" s="187" t="s">
        <v>135</v>
      </c>
      <c r="F66" s="475" t="s">
        <v>353</v>
      </c>
      <c r="G66" s="475"/>
      <c r="H66" s="475"/>
      <c r="I66" s="475"/>
      <c r="J66" s="475"/>
      <c r="K66" s="475">
        <v>7301</v>
      </c>
      <c r="L66" s="475"/>
      <c r="M66" s="54" t="s">
        <v>345</v>
      </c>
      <c r="N66" s="475">
        <v>11</v>
      </c>
      <c r="O66" s="47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88"/>
      <c r="D67" s="190"/>
      <c r="E67" s="187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88"/>
      <c r="D68" s="190"/>
      <c r="E68" s="187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88"/>
      <c r="D69" s="190"/>
      <c r="E69" s="187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88"/>
      <c r="D70" s="190"/>
      <c r="E70" s="187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354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89" t="s">
        <v>2</v>
      </c>
      <c r="D72" s="189" t="s">
        <v>38</v>
      </c>
      <c r="E72" s="189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91" t="s">
        <v>62</v>
      </c>
      <c r="D73" s="191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90" t="s">
        <v>128</v>
      </c>
      <c r="D74" s="190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190" t="s">
        <v>62</v>
      </c>
      <c r="D75" s="190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190" t="s">
        <v>62</v>
      </c>
      <c r="D76" s="190"/>
      <c r="E76" s="35" t="s">
        <v>121</v>
      </c>
      <c r="F76" s="447" t="s">
        <v>287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190" t="s">
        <v>62</v>
      </c>
      <c r="D77" s="190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190"/>
      <c r="D78" s="190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190"/>
      <c r="D79" s="190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190"/>
      <c r="D80" s="190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190"/>
      <c r="D81" s="190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355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12" sqref="T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356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04" t="s">
        <v>17</v>
      </c>
      <c r="L5" s="204" t="s">
        <v>18</v>
      </c>
      <c r="M5" s="204" t="s">
        <v>19</v>
      </c>
      <c r="N5" s="20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0.34138526446958845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20090</v>
      </c>
      <c r="K7" s="15">
        <f>L7+13888</f>
        <v>33972</v>
      </c>
      <c r="L7" s="15">
        <f>2617*4+2404*4</f>
        <v>20084</v>
      </c>
      <c r="M7" s="16">
        <f t="shared" si="0"/>
        <v>20084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0.99970134395221499</v>
      </c>
      <c r="AC7" s="9">
        <f t="shared" si="5"/>
        <v>1</v>
      </c>
      <c r="AD7" s="10">
        <f t="shared" si="6"/>
        <v>0.99970134395221499</v>
      </c>
      <c r="AE7" s="39">
        <f t="shared" si="7"/>
        <v>0.34138526446958845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L8+2046+2448+2757+4612+4862+5249</f>
        <v>21974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0.34138526446958845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4030</v>
      </c>
      <c r="K9" s="15">
        <f>L9+746+1650+2301+3731+3690+4394+3188+1314+3904</f>
        <v>28941</v>
      </c>
      <c r="L9" s="15">
        <f>2561+1462</f>
        <v>4023</v>
      </c>
      <c r="M9" s="16">
        <f t="shared" si="0"/>
        <v>4023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0.99826302729528538</v>
      </c>
      <c r="AC9" s="9">
        <f t="shared" si="5"/>
        <v>0.79166666666666663</v>
      </c>
      <c r="AD9" s="10">
        <f t="shared" si="6"/>
        <v>0.79029156327543426</v>
      </c>
      <c r="AE9" s="39">
        <f t="shared" si="7"/>
        <v>0.34138526446958845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0.34138526446958845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263</v>
      </c>
      <c r="D11" s="55" t="s">
        <v>264</v>
      </c>
      <c r="E11" s="57" t="s">
        <v>312</v>
      </c>
      <c r="F11" s="12" t="s">
        <v>212</v>
      </c>
      <c r="G11" s="12">
        <v>1</v>
      </c>
      <c r="H11" s="13">
        <v>25</v>
      </c>
      <c r="I11" s="34">
        <v>1000</v>
      </c>
      <c r="J11" s="14">
        <v>2500</v>
      </c>
      <c r="K11" s="15">
        <f>L11+2500</f>
        <v>2500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0.34138526446958845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0.34138526446958845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0.34138526446958845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0.34138526446958845</v>
      </c>
      <c r="AF14" s="94">
        <f t="shared" si="8"/>
        <v>9</v>
      </c>
    </row>
    <row r="15" spans="1:32" ht="27" customHeight="1">
      <c r="A15" s="109">
        <v>10</v>
      </c>
      <c r="B15" s="11" t="s">
        <v>313</v>
      </c>
      <c r="C15" s="37" t="s">
        <v>302</v>
      </c>
      <c r="D15" s="55" t="s">
        <v>314</v>
      </c>
      <c r="E15" s="57" t="s">
        <v>315</v>
      </c>
      <c r="F15" s="12" t="s">
        <v>316</v>
      </c>
      <c r="G15" s="12">
        <v>3</v>
      </c>
      <c r="H15" s="13">
        <v>15</v>
      </c>
      <c r="I15" s="34">
        <v>30000</v>
      </c>
      <c r="J15" s="5">
        <v>17980</v>
      </c>
      <c r="K15" s="15">
        <f>L15+15393</f>
        <v>33369</v>
      </c>
      <c r="L15" s="15">
        <f>3131*3+2861*3</f>
        <v>17976</v>
      </c>
      <c r="M15" s="16">
        <f t="shared" si="0"/>
        <v>17976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>
        <v>3</v>
      </c>
      <c r="U15" s="17"/>
      <c r="V15" s="18"/>
      <c r="W15" s="19"/>
      <c r="X15" s="17"/>
      <c r="Y15" s="20"/>
      <c r="Z15" s="20"/>
      <c r="AA15" s="21"/>
      <c r="AB15" s="8">
        <f t="shared" si="4"/>
        <v>0.99977753058954388</v>
      </c>
      <c r="AC15" s="9">
        <f t="shared" si="5"/>
        <v>0.875</v>
      </c>
      <c r="AD15" s="10">
        <f t="shared" si="6"/>
        <v>0.87480533926585091</v>
      </c>
      <c r="AE15" s="39">
        <f t="shared" si="7"/>
        <v>0.34138526446958845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357</v>
      </c>
      <c r="E16" s="56" t="s">
        <v>358</v>
      </c>
      <c r="F16" s="12">
        <v>7301</v>
      </c>
      <c r="G16" s="36">
        <v>2</v>
      </c>
      <c r="H16" s="38">
        <v>25</v>
      </c>
      <c r="I16" s="7">
        <v>6000</v>
      </c>
      <c r="J16" s="14">
        <v>8490</v>
      </c>
      <c r="K16" s="15">
        <f>L16</f>
        <v>8490</v>
      </c>
      <c r="L16" s="15">
        <f>2396*2+1849*2</f>
        <v>8490</v>
      </c>
      <c r="M16" s="16">
        <f t="shared" si="0"/>
        <v>8490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9">
        <f t="shared" si="7"/>
        <v>0.34138526446958845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350</v>
      </c>
      <c r="K17" s="15">
        <f>L17</f>
        <v>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0.34138526446958845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299</v>
      </c>
      <c r="E18" s="57" t="s">
        <v>317</v>
      </c>
      <c r="F18" s="12" t="s">
        <v>318</v>
      </c>
      <c r="G18" s="12">
        <v>1</v>
      </c>
      <c r="H18" s="13">
        <v>25</v>
      </c>
      <c r="I18" s="34">
        <v>4500</v>
      </c>
      <c r="J18" s="5">
        <v>3320</v>
      </c>
      <c r="K18" s="15">
        <f>L18+5209</f>
        <v>8523</v>
      </c>
      <c r="L18" s="15">
        <f>640+2674</f>
        <v>3314</v>
      </c>
      <c r="M18" s="16">
        <f t="shared" si="0"/>
        <v>3314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/>
      <c r="T18" s="17"/>
      <c r="U18" s="17"/>
      <c r="V18" s="18"/>
      <c r="W18" s="19">
        <v>6</v>
      </c>
      <c r="X18" s="17"/>
      <c r="Y18" s="20"/>
      <c r="Z18" s="20"/>
      <c r="AA18" s="21"/>
      <c r="AB18" s="8">
        <f t="shared" si="4"/>
        <v>0.99819277108433735</v>
      </c>
      <c r="AC18" s="9">
        <f t="shared" si="5"/>
        <v>0.75</v>
      </c>
      <c r="AD18" s="10">
        <f t="shared" si="6"/>
        <v>0.74864457831325304</v>
      </c>
      <c r="AE18" s="39">
        <f t="shared" si="7"/>
        <v>0.34138526446958845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206</v>
      </c>
      <c r="D19" s="55" t="s">
        <v>357</v>
      </c>
      <c r="E19" s="57" t="s">
        <v>361</v>
      </c>
      <c r="F19" s="33" t="s">
        <v>362</v>
      </c>
      <c r="G19" s="36">
        <v>1</v>
      </c>
      <c r="H19" s="38">
        <v>25</v>
      </c>
      <c r="I19" s="34">
        <v>1000</v>
      </c>
      <c r="J19" s="5">
        <v>1580</v>
      </c>
      <c r="K19" s="15">
        <f>L19</f>
        <v>1574</v>
      </c>
      <c r="L19" s="15">
        <f>787*2</f>
        <v>1574</v>
      </c>
      <c r="M19" s="16">
        <f t="shared" si="0"/>
        <v>1574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/>
      <c r="T19" s="17"/>
      <c r="U19" s="17"/>
      <c r="V19" s="18"/>
      <c r="W19" s="19">
        <v>18</v>
      </c>
      <c r="X19" s="17"/>
      <c r="Y19" s="20"/>
      <c r="Z19" s="20"/>
      <c r="AA19" s="21"/>
      <c r="AB19" s="8">
        <f t="shared" si="4"/>
        <v>0.9962025316455696</v>
      </c>
      <c r="AC19" s="9">
        <f t="shared" si="5"/>
        <v>0.25</v>
      </c>
      <c r="AD19" s="10">
        <f t="shared" si="6"/>
        <v>0.2490506329113924</v>
      </c>
      <c r="AE19" s="39">
        <f t="shared" si="7"/>
        <v>0.34138526446958845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20910</v>
      </c>
      <c r="K20" s="15">
        <f>L20+34744+47040+47012+47672+47376+47532</f>
        <v>292284</v>
      </c>
      <c r="L20" s="15">
        <f>5227*4</f>
        <v>20908</v>
      </c>
      <c r="M20" s="16">
        <f t="shared" si="0"/>
        <v>20908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>
        <v>12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0.99990435198469629</v>
      </c>
      <c r="AC20" s="9">
        <f t="shared" si="5"/>
        <v>0.5</v>
      </c>
      <c r="AD20" s="10">
        <f t="shared" si="6"/>
        <v>0.49995217599234815</v>
      </c>
      <c r="AE20" s="39">
        <f t="shared" si="7"/>
        <v>0.34138526446958845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545250</v>
      </c>
      <c r="J21" s="22">
        <f t="shared" si="9"/>
        <v>90191</v>
      </c>
      <c r="K21" s="23">
        <f t="shared" si="9"/>
        <v>470287</v>
      </c>
      <c r="L21" s="24">
        <f t="shared" si="9"/>
        <v>76369</v>
      </c>
      <c r="M21" s="23">
        <f t="shared" si="9"/>
        <v>76369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123</v>
      </c>
      <c r="Q21" s="46">
        <f t="shared" si="10"/>
        <v>237</v>
      </c>
      <c r="R21" s="26">
        <f t="shared" si="10"/>
        <v>36</v>
      </c>
      <c r="S21" s="27">
        <f t="shared" si="10"/>
        <v>29</v>
      </c>
      <c r="T21" s="27">
        <f t="shared" si="10"/>
        <v>4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0.46613610377010983</v>
      </c>
      <c r="AC21" s="4">
        <f>SUM(AC6:AC20)/15</f>
        <v>0.34166666666666667</v>
      </c>
      <c r="AD21" s="4">
        <f>SUM(AD6:AD20)/15</f>
        <v>0.34138526446958845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363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372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03" t="s">
        <v>47</v>
      </c>
      <c r="D50" s="203" t="s">
        <v>48</v>
      </c>
      <c r="E50" s="203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03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122</v>
      </c>
      <c r="B51" s="506"/>
      <c r="C51" s="202" t="s">
        <v>364</v>
      </c>
      <c r="D51" s="199" t="s">
        <v>365</v>
      </c>
      <c r="E51" s="202" t="s">
        <v>366</v>
      </c>
      <c r="F51" s="487" t="s">
        <v>367</v>
      </c>
      <c r="G51" s="487"/>
      <c r="H51" s="487"/>
      <c r="I51" s="487"/>
      <c r="J51" s="487"/>
      <c r="K51" s="487"/>
      <c r="L51" s="487"/>
      <c r="M51" s="498"/>
      <c r="N51" s="198" t="s">
        <v>373</v>
      </c>
      <c r="O51" s="74" t="s">
        <v>377</v>
      </c>
      <c r="P51" s="503" t="s">
        <v>378</v>
      </c>
      <c r="Q51" s="504"/>
      <c r="R51" s="497" t="s">
        <v>379</v>
      </c>
      <c r="S51" s="497"/>
      <c r="T51" s="497"/>
      <c r="U51" s="497"/>
      <c r="V51" s="487" t="s">
        <v>380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368</v>
      </c>
      <c r="B52" s="506"/>
      <c r="C52" s="202" t="s">
        <v>369</v>
      </c>
      <c r="D52" s="199" t="s">
        <v>370</v>
      </c>
      <c r="E52" s="202" t="s">
        <v>361</v>
      </c>
      <c r="F52" s="487" t="s">
        <v>371</v>
      </c>
      <c r="G52" s="487"/>
      <c r="H52" s="487"/>
      <c r="I52" s="487"/>
      <c r="J52" s="487"/>
      <c r="K52" s="487"/>
      <c r="L52" s="487"/>
      <c r="M52" s="498"/>
      <c r="N52" s="198" t="s">
        <v>122</v>
      </c>
      <c r="O52" s="74" t="s">
        <v>381</v>
      </c>
      <c r="P52" s="503" t="s">
        <v>382</v>
      </c>
      <c r="Q52" s="504"/>
      <c r="R52" s="497" t="s">
        <v>383</v>
      </c>
      <c r="S52" s="497"/>
      <c r="T52" s="497"/>
      <c r="U52" s="497"/>
      <c r="V52" s="487" t="s">
        <v>300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202" t="s">
        <v>374</v>
      </c>
      <c r="D53" s="199" t="s">
        <v>375</v>
      </c>
      <c r="E53" s="202" t="s">
        <v>360</v>
      </c>
      <c r="F53" s="487" t="s">
        <v>376</v>
      </c>
      <c r="G53" s="487"/>
      <c r="H53" s="487"/>
      <c r="I53" s="487"/>
      <c r="J53" s="487"/>
      <c r="K53" s="487"/>
      <c r="L53" s="487"/>
      <c r="M53" s="498"/>
      <c r="N53" s="198" t="s">
        <v>297</v>
      </c>
      <c r="O53" s="74" t="s">
        <v>384</v>
      </c>
      <c r="P53" s="503" t="s">
        <v>382</v>
      </c>
      <c r="Q53" s="504"/>
      <c r="R53" s="497" t="s">
        <v>385</v>
      </c>
      <c r="S53" s="497"/>
      <c r="T53" s="497"/>
      <c r="U53" s="497"/>
      <c r="V53" s="487" t="s">
        <v>386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202"/>
      <c r="D54" s="199"/>
      <c r="E54" s="202"/>
      <c r="F54" s="487"/>
      <c r="G54" s="487"/>
      <c r="H54" s="487"/>
      <c r="I54" s="487"/>
      <c r="J54" s="487"/>
      <c r="K54" s="487"/>
      <c r="L54" s="487"/>
      <c r="M54" s="498"/>
      <c r="N54" s="198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/>
      <c r="B55" s="497"/>
      <c r="C55" s="199"/>
      <c r="D55" s="199"/>
      <c r="E55" s="202"/>
      <c r="F55" s="487"/>
      <c r="G55" s="487"/>
      <c r="H55" s="487"/>
      <c r="I55" s="487"/>
      <c r="J55" s="487"/>
      <c r="K55" s="487"/>
      <c r="L55" s="487"/>
      <c r="M55" s="498"/>
      <c r="N55" s="198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199"/>
      <c r="D56" s="199"/>
      <c r="E56" s="202"/>
      <c r="F56" s="487"/>
      <c r="G56" s="487"/>
      <c r="H56" s="487"/>
      <c r="I56" s="487"/>
      <c r="J56" s="487"/>
      <c r="K56" s="487"/>
      <c r="L56" s="487"/>
      <c r="M56" s="498"/>
      <c r="N56" s="198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199"/>
      <c r="D57" s="199"/>
      <c r="E57" s="202"/>
      <c r="F57" s="487"/>
      <c r="G57" s="487"/>
      <c r="H57" s="487"/>
      <c r="I57" s="487"/>
      <c r="J57" s="487"/>
      <c r="K57" s="487"/>
      <c r="L57" s="487"/>
      <c r="M57" s="498"/>
      <c r="N57" s="198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02"/>
      <c r="D58" s="199"/>
      <c r="E58" s="202"/>
      <c r="F58" s="487"/>
      <c r="G58" s="487"/>
      <c r="H58" s="487"/>
      <c r="I58" s="487"/>
      <c r="J58" s="487"/>
      <c r="K58" s="487"/>
      <c r="L58" s="487"/>
      <c r="M58" s="498"/>
      <c r="N58" s="198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199"/>
      <c r="D59" s="199"/>
      <c r="E59" s="199"/>
      <c r="F59" s="487"/>
      <c r="G59" s="487"/>
      <c r="H59" s="487"/>
      <c r="I59" s="487"/>
      <c r="J59" s="487"/>
      <c r="K59" s="487"/>
      <c r="L59" s="487"/>
      <c r="M59" s="498"/>
      <c r="N59" s="198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01"/>
      <c r="D60" s="201"/>
      <c r="E60" s="201"/>
      <c r="F60" s="501"/>
      <c r="G60" s="501"/>
      <c r="H60" s="501"/>
      <c r="I60" s="501"/>
      <c r="J60" s="501"/>
      <c r="K60" s="501"/>
      <c r="L60" s="501"/>
      <c r="M60" s="502"/>
      <c r="N60" s="200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387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197" t="s">
        <v>2</v>
      </c>
      <c r="D62" s="197" t="s">
        <v>38</v>
      </c>
      <c r="E62" s="197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197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196" t="s">
        <v>338</v>
      </c>
      <c r="D63" s="192"/>
      <c r="E63" s="194" t="s">
        <v>347</v>
      </c>
      <c r="F63" s="485" t="s">
        <v>348</v>
      </c>
      <c r="G63" s="475"/>
      <c r="H63" s="475"/>
      <c r="I63" s="475"/>
      <c r="J63" s="475"/>
      <c r="K63" s="475">
        <v>7301</v>
      </c>
      <c r="L63" s="475"/>
      <c r="M63" s="54" t="s">
        <v>345</v>
      </c>
      <c r="N63" s="475">
        <v>8</v>
      </c>
      <c r="O63" s="475"/>
      <c r="P63" s="486">
        <v>100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196"/>
      <c r="D64" s="192"/>
      <c r="E64" s="194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196"/>
      <c r="D65" s="192"/>
      <c r="E65" s="194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196"/>
      <c r="D66" s="192"/>
      <c r="E66" s="194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196"/>
      <c r="D67" s="192"/>
      <c r="E67" s="194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196"/>
      <c r="D68" s="192"/>
      <c r="E68" s="194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196"/>
      <c r="D69" s="192"/>
      <c r="E69" s="194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196"/>
      <c r="D70" s="192"/>
      <c r="E70" s="194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388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195" t="s">
        <v>2</v>
      </c>
      <c r="D72" s="195" t="s">
        <v>38</v>
      </c>
      <c r="E72" s="195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193" t="s">
        <v>62</v>
      </c>
      <c r="D73" s="193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192" t="s">
        <v>128</v>
      </c>
      <c r="D74" s="192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192" t="s">
        <v>62</v>
      </c>
      <c r="D75" s="192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192" t="s">
        <v>62</v>
      </c>
      <c r="D76" s="192"/>
      <c r="E76" s="35" t="s">
        <v>121</v>
      </c>
      <c r="F76" s="447" t="s">
        <v>287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192" t="s">
        <v>62</v>
      </c>
      <c r="D77" s="192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192"/>
      <c r="D78" s="192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192"/>
      <c r="D79" s="192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192"/>
      <c r="D80" s="192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192"/>
      <c r="D81" s="192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389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391</v>
      </c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393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05" t="s">
        <v>17</v>
      </c>
      <c r="L5" s="205" t="s">
        <v>18</v>
      </c>
      <c r="M5" s="205" t="s">
        <v>19</v>
      </c>
      <c r="N5" s="20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0.22202827600130431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20090</v>
      </c>
      <c r="K7" s="15">
        <f>L7+13888+20084</f>
        <v>33972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>
        <v>24</v>
      </c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0.22202827600130431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L8+2046+2448+2757+4612+4862+5249</f>
        <v>21974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0.22202827600130431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5052</v>
      </c>
      <c r="K9" s="15">
        <f>L9+746+1650+2301+3731+3690+4394+3188+1314+3904+4023</f>
        <v>33992</v>
      </c>
      <c r="L9" s="15">
        <f>2927+2124</f>
        <v>5051</v>
      </c>
      <c r="M9" s="16">
        <f t="shared" si="0"/>
        <v>5051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0.99980205859065718</v>
      </c>
      <c r="AC9" s="9">
        <f t="shared" si="5"/>
        <v>1</v>
      </c>
      <c r="AD9" s="10">
        <f t="shared" si="6"/>
        <v>0.99980205859065718</v>
      </c>
      <c r="AE9" s="39">
        <f t="shared" si="7"/>
        <v>0.22202827600130431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0.22202827600130431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264</v>
      </c>
      <c r="E11" s="57" t="s">
        <v>211</v>
      </c>
      <c r="F11" s="12" t="s">
        <v>212</v>
      </c>
      <c r="G11" s="12">
        <v>1</v>
      </c>
      <c r="H11" s="13">
        <v>25</v>
      </c>
      <c r="I11" s="34">
        <v>1000</v>
      </c>
      <c r="J11" s="14">
        <v>2500</v>
      </c>
      <c r="K11" s="15">
        <f>L11+2500</f>
        <v>2500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0.22202827600130431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0.22202827600130431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0.22202827600130431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0.22202827600130431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302</v>
      </c>
      <c r="D15" s="55" t="s">
        <v>314</v>
      </c>
      <c r="E15" s="57" t="s">
        <v>315</v>
      </c>
      <c r="F15" s="12" t="s">
        <v>316</v>
      </c>
      <c r="G15" s="12">
        <v>3</v>
      </c>
      <c r="H15" s="13">
        <v>15</v>
      </c>
      <c r="I15" s="34">
        <v>30000</v>
      </c>
      <c r="J15" s="5">
        <v>15830</v>
      </c>
      <c r="K15" s="15">
        <f>L15+15393+17976</f>
        <v>49191</v>
      </c>
      <c r="L15" s="15">
        <f>3465*3+1809*3</f>
        <v>15822</v>
      </c>
      <c r="M15" s="16">
        <f t="shared" si="0"/>
        <v>15822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0.9994946304485155</v>
      </c>
      <c r="AC15" s="9">
        <f t="shared" si="5"/>
        <v>1</v>
      </c>
      <c r="AD15" s="10">
        <f t="shared" si="6"/>
        <v>0.9994946304485155</v>
      </c>
      <c r="AE15" s="39">
        <f t="shared" si="7"/>
        <v>0.22202827600130431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394</v>
      </c>
      <c r="E16" s="56" t="s">
        <v>395</v>
      </c>
      <c r="F16" s="12">
        <v>7301</v>
      </c>
      <c r="G16" s="36">
        <v>1</v>
      </c>
      <c r="H16" s="38">
        <v>25</v>
      </c>
      <c r="I16" s="7">
        <v>3000</v>
      </c>
      <c r="J16" s="14">
        <v>3400</v>
      </c>
      <c r="K16" s="15">
        <f>L16</f>
        <v>3391</v>
      </c>
      <c r="L16" s="15">
        <f>1552+1839</f>
        <v>3391</v>
      </c>
      <c r="M16" s="16">
        <f t="shared" si="0"/>
        <v>3391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/>
      <c r="T16" s="17"/>
      <c r="U16" s="17"/>
      <c r="V16" s="18"/>
      <c r="W16" s="19">
        <v>4</v>
      </c>
      <c r="X16" s="17"/>
      <c r="Y16" s="20"/>
      <c r="Z16" s="20"/>
      <c r="AA16" s="21"/>
      <c r="AB16" s="8">
        <f t="shared" si="4"/>
        <v>0.99735294117647055</v>
      </c>
      <c r="AC16" s="9">
        <f t="shared" si="5"/>
        <v>0.83333333333333337</v>
      </c>
      <c r="AD16" s="10">
        <f t="shared" si="6"/>
        <v>0.8311274509803922</v>
      </c>
      <c r="AE16" s="39">
        <f t="shared" si="7"/>
        <v>0.22202827600130431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350</v>
      </c>
      <c r="K17" s="15">
        <f>L17</f>
        <v>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0.22202827600130431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394</v>
      </c>
      <c r="E18" s="57" t="s">
        <v>396</v>
      </c>
      <c r="F18" s="12" t="s">
        <v>397</v>
      </c>
      <c r="G18" s="12">
        <v>1</v>
      </c>
      <c r="H18" s="13">
        <v>25</v>
      </c>
      <c r="I18" s="34">
        <v>2000</v>
      </c>
      <c r="J18" s="5">
        <v>2096</v>
      </c>
      <c r="K18" s="15">
        <f>L18</f>
        <v>2096</v>
      </c>
      <c r="L18" s="15">
        <f>1120+976</f>
        <v>2096</v>
      </c>
      <c r="M18" s="16">
        <f t="shared" si="0"/>
        <v>2096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>
        <v>12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9">
        <f t="shared" si="7"/>
        <v>0.22202827600130431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337</v>
      </c>
      <c r="E19" s="57" t="s">
        <v>214</v>
      </c>
      <c r="F19" s="33" t="s">
        <v>362</v>
      </c>
      <c r="G19" s="36">
        <v>1</v>
      </c>
      <c r="H19" s="38">
        <v>25</v>
      </c>
      <c r="I19" s="34">
        <v>1000</v>
      </c>
      <c r="J19" s="5">
        <v>1580</v>
      </c>
      <c r="K19" s="15">
        <f>L19+1574</f>
        <v>1574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0.22202827600130431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20910</v>
      </c>
      <c r="K20" s="15">
        <f>L20+34744+47040+47012+47672+47376+47532+20908</f>
        <v>292284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>
        <v>24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0.22202827600130431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539750</v>
      </c>
      <c r="J21" s="22">
        <f t="shared" si="9"/>
        <v>82749</v>
      </c>
      <c r="K21" s="23">
        <f t="shared" si="9"/>
        <v>479634</v>
      </c>
      <c r="L21" s="24">
        <f t="shared" si="9"/>
        <v>26360</v>
      </c>
      <c r="M21" s="23">
        <f t="shared" si="9"/>
        <v>26360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80</v>
      </c>
      <c r="Q21" s="46">
        <f t="shared" si="10"/>
        <v>280</v>
      </c>
      <c r="R21" s="26">
        <f t="shared" si="10"/>
        <v>48</v>
      </c>
      <c r="S21" s="27">
        <f t="shared" si="10"/>
        <v>36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172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0.26644330868104288</v>
      </c>
      <c r="AC21" s="4">
        <f>SUM(AC6:AC20)/15</f>
        <v>0.22222222222222224</v>
      </c>
      <c r="AD21" s="4">
        <f>SUM(AD6:AD20)/15</f>
        <v>0.22202827600130431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398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403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06" t="s">
        <v>47</v>
      </c>
      <c r="D50" s="206" t="s">
        <v>48</v>
      </c>
      <c r="E50" s="206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06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122</v>
      </c>
      <c r="B51" s="506"/>
      <c r="C51" s="207" t="s">
        <v>399</v>
      </c>
      <c r="D51" s="208" t="s">
        <v>394</v>
      </c>
      <c r="E51" s="207" t="s">
        <v>395</v>
      </c>
      <c r="F51" s="487" t="s">
        <v>400</v>
      </c>
      <c r="G51" s="487"/>
      <c r="H51" s="487"/>
      <c r="I51" s="487"/>
      <c r="J51" s="487"/>
      <c r="K51" s="487"/>
      <c r="L51" s="487"/>
      <c r="M51" s="498"/>
      <c r="N51" s="209" t="s">
        <v>122</v>
      </c>
      <c r="O51" s="74" t="s">
        <v>377</v>
      </c>
      <c r="P51" s="503" t="s">
        <v>375</v>
      </c>
      <c r="Q51" s="504"/>
      <c r="R51" s="497" t="s">
        <v>341</v>
      </c>
      <c r="S51" s="497"/>
      <c r="T51" s="497"/>
      <c r="U51" s="497"/>
      <c r="V51" s="487" t="s">
        <v>226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122</v>
      </c>
      <c r="B52" s="506"/>
      <c r="C52" s="207" t="s">
        <v>401</v>
      </c>
      <c r="D52" s="208" t="s">
        <v>165</v>
      </c>
      <c r="E52" s="207" t="s">
        <v>396</v>
      </c>
      <c r="F52" s="487" t="s">
        <v>405</v>
      </c>
      <c r="G52" s="487"/>
      <c r="H52" s="487"/>
      <c r="I52" s="487"/>
      <c r="J52" s="487"/>
      <c r="K52" s="487"/>
      <c r="L52" s="487"/>
      <c r="M52" s="498"/>
      <c r="N52" s="209" t="s">
        <v>122</v>
      </c>
      <c r="O52" s="74" t="s">
        <v>384</v>
      </c>
      <c r="P52" s="503" t="s">
        <v>135</v>
      </c>
      <c r="Q52" s="504"/>
      <c r="R52" s="497" t="s">
        <v>385</v>
      </c>
      <c r="S52" s="497"/>
      <c r="T52" s="497"/>
      <c r="U52" s="497"/>
      <c r="V52" s="487" t="s">
        <v>404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207" t="s">
        <v>374</v>
      </c>
      <c r="D53" s="208" t="s">
        <v>375</v>
      </c>
      <c r="E53" s="207" t="s">
        <v>360</v>
      </c>
      <c r="F53" s="487" t="s">
        <v>402</v>
      </c>
      <c r="G53" s="487"/>
      <c r="H53" s="487"/>
      <c r="I53" s="487"/>
      <c r="J53" s="487"/>
      <c r="K53" s="487"/>
      <c r="L53" s="487"/>
      <c r="M53" s="498"/>
      <c r="N53" s="209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207"/>
      <c r="D54" s="208"/>
      <c r="E54" s="207"/>
      <c r="F54" s="487"/>
      <c r="G54" s="487"/>
      <c r="H54" s="487"/>
      <c r="I54" s="487"/>
      <c r="J54" s="487"/>
      <c r="K54" s="487"/>
      <c r="L54" s="487"/>
      <c r="M54" s="498"/>
      <c r="N54" s="209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/>
      <c r="B55" s="497"/>
      <c r="C55" s="208"/>
      <c r="D55" s="208"/>
      <c r="E55" s="207"/>
      <c r="F55" s="487"/>
      <c r="G55" s="487"/>
      <c r="H55" s="487"/>
      <c r="I55" s="487"/>
      <c r="J55" s="487"/>
      <c r="K55" s="487"/>
      <c r="L55" s="487"/>
      <c r="M55" s="498"/>
      <c r="N55" s="209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08"/>
      <c r="D56" s="208"/>
      <c r="E56" s="207"/>
      <c r="F56" s="487"/>
      <c r="G56" s="487"/>
      <c r="H56" s="487"/>
      <c r="I56" s="487"/>
      <c r="J56" s="487"/>
      <c r="K56" s="487"/>
      <c r="L56" s="487"/>
      <c r="M56" s="498"/>
      <c r="N56" s="209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08"/>
      <c r="D57" s="208"/>
      <c r="E57" s="207"/>
      <c r="F57" s="487"/>
      <c r="G57" s="487"/>
      <c r="H57" s="487"/>
      <c r="I57" s="487"/>
      <c r="J57" s="487"/>
      <c r="K57" s="487"/>
      <c r="L57" s="487"/>
      <c r="M57" s="498"/>
      <c r="N57" s="209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07"/>
      <c r="D58" s="208"/>
      <c r="E58" s="207"/>
      <c r="F58" s="487"/>
      <c r="G58" s="487"/>
      <c r="H58" s="487"/>
      <c r="I58" s="487"/>
      <c r="J58" s="487"/>
      <c r="K58" s="487"/>
      <c r="L58" s="487"/>
      <c r="M58" s="498"/>
      <c r="N58" s="209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08"/>
      <c r="D59" s="208"/>
      <c r="E59" s="208"/>
      <c r="F59" s="487"/>
      <c r="G59" s="487"/>
      <c r="H59" s="487"/>
      <c r="I59" s="487"/>
      <c r="J59" s="487"/>
      <c r="K59" s="487"/>
      <c r="L59" s="487"/>
      <c r="M59" s="498"/>
      <c r="N59" s="209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11"/>
      <c r="D60" s="211"/>
      <c r="E60" s="211"/>
      <c r="F60" s="501"/>
      <c r="G60" s="501"/>
      <c r="H60" s="501"/>
      <c r="I60" s="501"/>
      <c r="J60" s="501"/>
      <c r="K60" s="501"/>
      <c r="L60" s="501"/>
      <c r="M60" s="502"/>
      <c r="N60" s="210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406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12" t="s">
        <v>2</v>
      </c>
      <c r="D62" s="212" t="s">
        <v>38</v>
      </c>
      <c r="E62" s="212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12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14" t="s">
        <v>62</v>
      </c>
      <c r="D63" s="216"/>
      <c r="E63" s="213" t="s">
        <v>407</v>
      </c>
      <c r="F63" s="485" t="s">
        <v>408</v>
      </c>
      <c r="G63" s="475"/>
      <c r="H63" s="475"/>
      <c r="I63" s="475"/>
      <c r="J63" s="475"/>
      <c r="K63" s="475" t="s">
        <v>409</v>
      </c>
      <c r="L63" s="475"/>
      <c r="M63" s="54" t="s">
        <v>410</v>
      </c>
      <c r="N63" s="475">
        <v>6</v>
      </c>
      <c r="O63" s="475"/>
      <c r="P63" s="486">
        <v>200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14"/>
      <c r="D64" s="216"/>
      <c r="E64" s="213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14"/>
      <c r="D65" s="216"/>
      <c r="E65" s="213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14"/>
      <c r="D66" s="216"/>
      <c r="E66" s="213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14"/>
      <c r="D67" s="216"/>
      <c r="E67" s="213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14"/>
      <c r="D68" s="216"/>
      <c r="E68" s="213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14"/>
      <c r="D69" s="216"/>
      <c r="E69" s="213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14"/>
      <c r="D70" s="216"/>
      <c r="E70" s="213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411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15" t="s">
        <v>2</v>
      </c>
      <c r="D72" s="215" t="s">
        <v>38</v>
      </c>
      <c r="E72" s="215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17" t="s">
        <v>62</v>
      </c>
      <c r="D73" s="217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16" t="s">
        <v>128</v>
      </c>
      <c r="D74" s="216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16" t="s">
        <v>62</v>
      </c>
      <c r="D75" s="216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16" t="s">
        <v>62</v>
      </c>
      <c r="D76" s="216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16" t="s">
        <v>62</v>
      </c>
      <c r="D77" s="216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16"/>
      <c r="D78" s="216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16"/>
      <c r="D79" s="216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16"/>
      <c r="D80" s="216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16"/>
      <c r="D81" s="216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412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391</v>
      </c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5" sqref="K85:S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413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30" t="s">
        <v>17</v>
      </c>
      <c r="L5" s="230" t="s">
        <v>18</v>
      </c>
      <c r="M5" s="230" t="s">
        <v>19</v>
      </c>
      <c r="N5" s="23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0.18596809321953811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14450</v>
      </c>
      <c r="K7" s="15">
        <f>L7+13888+20084</f>
        <v>48420</v>
      </c>
      <c r="L7" s="15">
        <f>2884*4+728*4</f>
        <v>14448</v>
      </c>
      <c r="M7" s="16">
        <f t="shared" si="0"/>
        <v>14448</v>
      </c>
      <c r="N7" s="16">
        <v>0</v>
      </c>
      <c r="O7" s="62">
        <f t="shared" si="1"/>
        <v>0</v>
      </c>
      <c r="P7" s="42">
        <f t="shared" si="2"/>
        <v>20</v>
      </c>
      <c r="Q7" s="43">
        <f t="shared" si="3"/>
        <v>4</v>
      </c>
      <c r="R7" s="7"/>
      <c r="S7" s="6"/>
      <c r="T7" s="17"/>
      <c r="U7" s="17"/>
      <c r="V7" s="18">
        <v>4</v>
      </c>
      <c r="W7" s="19"/>
      <c r="X7" s="17"/>
      <c r="Y7" s="20"/>
      <c r="Z7" s="20"/>
      <c r="AA7" s="21"/>
      <c r="AB7" s="8">
        <f t="shared" si="4"/>
        <v>0.99986159169550171</v>
      </c>
      <c r="AC7" s="9">
        <f t="shared" si="5"/>
        <v>0.83333333333333337</v>
      </c>
      <c r="AD7" s="10">
        <f t="shared" si="6"/>
        <v>0.83321799307958477</v>
      </c>
      <c r="AE7" s="39">
        <f t="shared" si="7"/>
        <v>0.18596809321953811</v>
      </c>
      <c r="AF7" s="94">
        <f>A7</f>
        <v>2</v>
      </c>
    </row>
    <row r="8" spans="1:32" ht="27" customHeight="1">
      <c r="A8" s="109">
        <v>3</v>
      </c>
      <c r="B8" s="11" t="s">
        <v>164</v>
      </c>
      <c r="C8" s="11" t="s">
        <v>128</v>
      </c>
      <c r="D8" s="55" t="s">
        <v>131</v>
      </c>
      <c r="E8" s="57" t="s">
        <v>141</v>
      </c>
      <c r="F8" s="33" t="s">
        <v>133</v>
      </c>
      <c r="G8" s="36">
        <v>1</v>
      </c>
      <c r="H8" s="38">
        <v>25</v>
      </c>
      <c r="I8" s="7">
        <v>20000</v>
      </c>
      <c r="J8" s="14">
        <v>5250</v>
      </c>
      <c r="K8" s="15">
        <f>L8+2046+2448+2757+4612+4862+5249</f>
        <v>21974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0.18596809321953811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3670</v>
      </c>
      <c r="K9" s="15">
        <f>L9+746+1650+2301+3731+3690+4394+3188+1314+3904+4023+5051</f>
        <v>37658</v>
      </c>
      <c r="L9" s="15">
        <f>1718+1948</f>
        <v>3666</v>
      </c>
      <c r="M9" s="16">
        <f t="shared" si="0"/>
        <v>3666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0.99891008174386919</v>
      </c>
      <c r="AC9" s="9">
        <f t="shared" si="5"/>
        <v>0.79166666666666663</v>
      </c>
      <c r="AD9" s="10">
        <f t="shared" si="6"/>
        <v>0.79080381471389638</v>
      </c>
      <c r="AE9" s="39">
        <f t="shared" si="7"/>
        <v>0.18596809321953811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0.18596809321953811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264</v>
      </c>
      <c r="E11" s="57" t="s">
        <v>211</v>
      </c>
      <c r="F11" s="12" t="s">
        <v>212</v>
      </c>
      <c r="G11" s="12">
        <v>1</v>
      </c>
      <c r="H11" s="13">
        <v>25</v>
      </c>
      <c r="I11" s="34">
        <v>1000</v>
      </c>
      <c r="J11" s="14">
        <v>2500</v>
      </c>
      <c r="K11" s="15">
        <f>L11+2500</f>
        <v>2500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0.18596809321953811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0.18596809321953811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0.18596809321953811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0.18596809321953811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302</v>
      </c>
      <c r="D15" s="55" t="s">
        <v>314</v>
      </c>
      <c r="E15" s="57" t="s">
        <v>315</v>
      </c>
      <c r="F15" s="12" t="s">
        <v>316</v>
      </c>
      <c r="G15" s="12">
        <v>3</v>
      </c>
      <c r="H15" s="13">
        <v>15</v>
      </c>
      <c r="I15" s="34">
        <v>30000</v>
      </c>
      <c r="J15" s="5">
        <v>5700</v>
      </c>
      <c r="K15" s="15">
        <f>L15+15393+17976+15822</f>
        <v>54891</v>
      </c>
      <c r="L15" s="15">
        <f>1900*3</f>
        <v>5700</v>
      </c>
      <c r="M15" s="16">
        <f t="shared" si="0"/>
        <v>5700</v>
      </c>
      <c r="N15" s="16">
        <v>0</v>
      </c>
      <c r="O15" s="62">
        <f t="shared" si="1"/>
        <v>0</v>
      </c>
      <c r="P15" s="42">
        <f t="shared" si="2"/>
        <v>9</v>
      </c>
      <c r="Q15" s="43">
        <f t="shared" si="3"/>
        <v>15</v>
      </c>
      <c r="R15" s="7"/>
      <c r="S15" s="6"/>
      <c r="T15" s="17"/>
      <c r="U15" s="17"/>
      <c r="V15" s="18"/>
      <c r="W15" s="19">
        <v>15</v>
      </c>
      <c r="X15" s="17"/>
      <c r="Y15" s="20"/>
      <c r="Z15" s="20"/>
      <c r="AA15" s="21"/>
      <c r="AB15" s="8">
        <f t="shared" si="4"/>
        <v>1</v>
      </c>
      <c r="AC15" s="9">
        <f t="shared" si="5"/>
        <v>0.375</v>
      </c>
      <c r="AD15" s="10">
        <f t="shared" si="6"/>
        <v>0.375</v>
      </c>
      <c r="AE15" s="39">
        <f t="shared" si="7"/>
        <v>0.18596809321953811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394</v>
      </c>
      <c r="E16" s="56" t="s">
        <v>395</v>
      </c>
      <c r="F16" s="12">
        <v>7301</v>
      </c>
      <c r="G16" s="36">
        <v>1</v>
      </c>
      <c r="H16" s="38">
        <v>25</v>
      </c>
      <c r="I16" s="7">
        <v>3000</v>
      </c>
      <c r="J16" s="14">
        <v>3400</v>
      </c>
      <c r="K16" s="15">
        <f>L16+3391</f>
        <v>3391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4</v>
      </c>
      <c r="R16" s="7"/>
      <c r="S16" s="6"/>
      <c r="T16" s="17"/>
      <c r="U16" s="17"/>
      <c r="V16" s="18"/>
      <c r="W16" s="19">
        <v>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0.18596809321953811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4070</v>
      </c>
      <c r="K17" s="15">
        <f>L17</f>
        <v>4064</v>
      </c>
      <c r="L17" s="15">
        <f>3047+1017</f>
        <v>4064</v>
      </c>
      <c r="M17" s="16">
        <f t="shared" si="0"/>
        <v>4064</v>
      </c>
      <c r="N17" s="16">
        <v>0</v>
      </c>
      <c r="O17" s="62">
        <f t="shared" si="1"/>
        <v>0</v>
      </c>
      <c r="P17" s="42">
        <f t="shared" si="2"/>
        <v>19</v>
      </c>
      <c r="Q17" s="43">
        <f t="shared" si="3"/>
        <v>5</v>
      </c>
      <c r="R17" s="7"/>
      <c r="S17" s="6">
        <v>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0.99852579852579848</v>
      </c>
      <c r="AC17" s="9">
        <f t="shared" si="5"/>
        <v>0.79166666666666663</v>
      </c>
      <c r="AD17" s="10">
        <f t="shared" si="6"/>
        <v>0.7904995904995904</v>
      </c>
      <c r="AE17" s="39">
        <f t="shared" si="7"/>
        <v>0.18596809321953811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394</v>
      </c>
      <c r="E18" s="57" t="s">
        <v>396</v>
      </c>
      <c r="F18" s="12" t="s">
        <v>397</v>
      </c>
      <c r="G18" s="12">
        <v>1</v>
      </c>
      <c r="H18" s="13">
        <v>25</v>
      </c>
      <c r="I18" s="34">
        <v>2000</v>
      </c>
      <c r="J18" s="5">
        <v>2096</v>
      </c>
      <c r="K18" s="15">
        <f>L18+2096</f>
        <v>2096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0.18596809321953811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337</v>
      </c>
      <c r="E19" s="57" t="s">
        <v>214</v>
      </c>
      <c r="F19" s="33" t="s">
        <v>362</v>
      </c>
      <c r="G19" s="36">
        <v>1</v>
      </c>
      <c r="H19" s="38">
        <v>25</v>
      </c>
      <c r="I19" s="34">
        <v>1000</v>
      </c>
      <c r="J19" s="5">
        <v>1580</v>
      </c>
      <c r="K19" s="15">
        <f>L19+1574</f>
        <v>1574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0.18596809321953811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20910</v>
      </c>
      <c r="K20" s="15">
        <f>L20+34744+47040+47012+47672+47376+47532+20908</f>
        <v>292284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>
        <v>24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0.18596809321953811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539750</v>
      </c>
      <c r="J21" s="22">
        <f t="shared" si="9"/>
        <v>69317</v>
      </c>
      <c r="K21" s="23">
        <f t="shared" si="9"/>
        <v>507512</v>
      </c>
      <c r="L21" s="24">
        <f t="shared" si="9"/>
        <v>27878</v>
      </c>
      <c r="M21" s="23">
        <f t="shared" si="9"/>
        <v>27878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67</v>
      </c>
      <c r="Q21" s="46">
        <f t="shared" si="10"/>
        <v>273</v>
      </c>
      <c r="R21" s="26">
        <f t="shared" si="10"/>
        <v>48</v>
      </c>
      <c r="S21" s="27">
        <f t="shared" si="10"/>
        <v>34</v>
      </c>
      <c r="T21" s="27">
        <f t="shared" si="10"/>
        <v>0</v>
      </c>
      <c r="U21" s="27">
        <f t="shared" si="10"/>
        <v>0</v>
      </c>
      <c r="V21" s="28">
        <f t="shared" si="10"/>
        <v>4</v>
      </c>
      <c r="W21" s="29">
        <f t="shared" si="10"/>
        <v>187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0.26648649813101133</v>
      </c>
      <c r="AC21" s="4">
        <f>SUM(AC6:AC20)/15</f>
        <v>0.18611111111111109</v>
      </c>
      <c r="AD21" s="4">
        <f>SUM(AD6:AD20)/15</f>
        <v>0.18596809321953811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414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420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29" t="s">
        <v>47</v>
      </c>
      <c r="D50" s="229" t="s">
        <v>48</v>
      </c>
      <c r="E50" s="229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29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122</v>
      </c>
      <c r="B51" s="506"/>
      <c r="C51" s="228" t="s">
        <v>401</v>
      </c>
      <c r="D51" s="225" t="s">
        <v>165</v>
      </c>
      <c r="E51" s="228" t="s">
        <v>396</v>
      </c>
      <c r="F51" s="487" t="s">
        <v>405</v>
      </c>
      <c r="G51" s="487"/>
      <c r="H51" s="487"/>
      <c r="I51" s="487"/>
      <c r="J51" s="487"/>
      <c r="K51" s="487"/>
      <c r="L51" s="487"/>
      <c r="M51" s="498"/>
      <c r="N51" s="224" t="s">
        <v>421</v>
      </c>
      <c r="O51" s="74" t="s">
        <v>422</v>
      </c>
      <c r="P51" s="503" t="s">
        <v>423</v>
      </c>
      <c r="Q51" s="504"/>
      <c r="R51" s="497" t="s">
        <v>424</v>
      </c>
      <c r="S51" s="497"/>
      <c r="T51" s="497"/>
      <c r="U51" s="497"/>
      <c r="V51" s="487" t="s">
        <v>425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122</v>
      </c>
      <c r="B52" s="506"/>
      <c r="C52" s="228" t="s">
        <v>374</v>
      </c>
      <c r="D52" s="225" t="s">
        <v>375</v>
      </c>
      <c r="E52" s="228" t="s">
        <v>360</v>
      </c>
      <c r="F52" s="487" t="s">
        <v>415</v>
      </c>
      <c r="G52" s="487"/>
      <c r="H52" s="487"/>
      <c r="I52" s="487"/>
      <c r="J52" s="487"/>
      <c r="K52" s="487"/>
      <c r="L52" s="487"/>
      <c r="M52" s="498"/>
      <c r="N52" s="224" t="s">
        <v>421</v>
      </c>
      <c r="O52" s="74" t="s">
        <v>426</v>
      </c>
      <c r="P52" s="503" t="s">
        <v>427</v>
      </c>
      <c r="Q52" s="504"/>
      <c r="R52" s="497" t="s">
        <v>428</v>
      </c>
      <c r="S52" s="497"/>
      <c r="T52" s="497"/>
      <c r="U52" s="497"/>
      <c r="V52" s="487" t="s">
        <v>425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228" t="s">
        <v>416</v>
      </c>
      <c r="D53" s="225" t="s">
        <v>417</v>
      </c>
      <c r="E53" s="228" t="s">
        <v>418</v>
      </c>
      <c r="F53" s="487" t="s">
        <v>419</v>
      </c>
      <c r="G53" s="487"/>
      <c r="H53" s="487"/>
      <c r="I53" s="487"/>
      <c r="J53" s="487"/>
      <c r="K53" s="487"/>
      <c r="L53" s="487"/>
      <c r="M53" s="498"/>
      <c r="N53" s="224" t="s">
        <v>421</v>
      </c>
      <c r="O53" s="74" t="s">
        <v>429</v>
      </c>
      <c r="P53" s="503" t="s">
        <v>430</v>
      </c>
      <c r="Q53" s="504"/>
      <c r="R53" s="497" t="s">
        <v>431</v>
      </c>
      <c r="S53" s="497"/>
      <c r="T53" s="497"/>
      <c r="U53" s="497"/>
      <c r="V53" s="487" t="s">
        <v>425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228"/>
      <c r="D54" s="225"/>
      <c r="E54" s="228"/>
      <c r="F54" s="487"/>
      <c r="G54" s="487"/>
      <c r="H54" s="487"/>
      <c r="I54" s="487"/>
      <c r="J54" s="487"/>
      <c r="K54" s="487"/>
      <c r="L54" s="487"/>
      <c r="M54" s="498"/>
      <c r="N54" s="224" t="s">
        <v>421</v>
      </c>
      <c r="O54" s="74" t="s">
        <v>432</v>
      </c>
      <c r="P54" s="503" t="s">
        <v>433</v>
      </c>
      <c r="Q54" s="504"/>
      <c r="R54" s="497" t="s">
        <v>434</v>
      </c>
      <c r="S54" s="497"/>
      <c r="T54" s="497"/>
      <c r="U54" s="497"/>
      <c r="V54" s="487" t="s">
        <v>425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496"/>
      <c r="B55" s="497"/>
      <c r="C55" s="225"/>
      <c r="D55" s="225"/>
      <c r="E55" s="228"/>
      <c r="F55" s="487"/>
      <c r="G55" s="487"/>
      <c r="H55" s="487"/>
      <c r="I55" s="487"/>
      <c r="J55" s="487"/>
      <c r="K55" s="487"/>
      <c r="L55" s="487"/>
      <c r="M55" s="498"/>
      <c r="N55" s="224" t="s">
        <v>421</v>
      </c>
      <c r="O55" s="74" t="s">
        <v>437</v>
      </c>
      <c r="P55" s="503" t="s">
        <v>436</v>
      </c>
      <c r="Q55" s="504"/>
      <c r="R55" s="497" t="s">
        <v>435</v>
      </c>
      <c r="S55" s="497"/>
      <c r="T55" s="497"/>
      <c r="U55" s="497"/>
      <c r="V55" s="487" t="s">
        <v>425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25"/>
      <c r="D56" s="225"/>
      <c r="E56" s="228"/>
      <c r="F56" s="487"/>
      <c r="G56" s="487"/>
      <c r="H56" s="487"/>
      <c r="I56" s="487"/>
      <c r="J56" s="487"/>
      <c r="K56" s="487"/>
      <c r="L56" s="487"/>
      <c r="M56" s="498"/>
      <c r="N56" s="224" t="s">
        <v>438</v>
      </c>
      <c r="O56" s="74" t="s">
        <v>439</v>
      </c>
      <c r="P56" s="497" t="s">
        <v>440</v>
      </c>
      <c r="Q56" s="497"/>
      <c r="R56" s="497"/>
      <c r="S56" s="497"/>
      <c r="T56" s="497"/>
      <c r="U56" s="497"/>
      <c r="V56" s="487" t="s">
        <v>425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25"/>
      <c r="D57" s="225"/>
      <c r="E57" s="228"/>
      <c r="F57" s="487"/>
      <c r="G57" s="487"/>
      <c r="H57" s="487"/>
      <c r="I57" s="487"/>
      <c r="J57" s="487"/>
      <c r="K57" s="487"/>
      <c r="L57" s="487"/>
      <c r="M57" s="498"/>
      <c r="N57" s="224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28"/>
      <c r="D58" s="225"/>
      <c r="E58" s="228"/>
      <c r="F58" s="487"/>
      <c r="G58" s="487"/>
      <c r="H58" s="487"/>
      <c r="I58" s="487"/>
      <c r="J58" s="487"/>
      <c r="K58" s="487"/>
      <c r="L58" s="487"/>
      <c r="M58" s="498"/>
      <c r="N58" s="224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25"/>
      <c r="D59" s="225"/>
      <c r="E59" s="225"/>
      <c r="F59" s="487"/>
      <c r="G59" s="487"/>
      <c r="H59" s="487"/>
      <c r="I59" s="487"/>
      <c r="J59" s="487"/>
      <c r="K59" s="487"/>
      <c r="L59" s="487"/>
      <c r="M59" s="498"/>
      <c r="N59" s="224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27"/>
      <c r="D60" s="227"/>
      <c r="E60" s="227"/>
      <c r="F60" s="501"/>
      <c r="G60" s="501"/>
      <c r="H60" s="501"/>
      <c r="I60" s="501"/>
      <c r="J60" s="501"/>
      <c r="K60" s="501"/>
      <c r="L60" s="501"/>
      <c r="M60" s="502"/>
      <c r="N60" s="226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441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23" t="s">
        <v>2</v>
      </c>
      <c r="D62" s="223" t="s">
        <v>38</v>
      </c>
      <c r="E62" s="223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23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22"/>
      <c r="D63" s="218"/>
      <c r="E63" s="220"/>
      <c r="F63" s="485"/>
      <c r="G63" s="475"/>
      <c r="H63" s="475"/>
      <c r="I63" s="475"/>
      <c r="J63" s="475"/>
      <c r="K63" s="475"/>
      <c r="L63" s="475"/>
      <c r="M63" s="54"/>
      <c r="N63" s="475"/>
      <c r="O63" s="475"/>
      <c r="P63" s="486"/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22"/>
      <c r="D64" s="218"/>
      <c r="E64" s="220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22"/>
      <c r="D65" s="218"/>
      <c r="E65" s="220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22"/>
      <c r="D66" s="218"/>
      <c r="E66" s="220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22"/>
      <c r="D67" s="218"/>
      <c r="E67" s="220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22"/>
      <c r="D68" s="218"/>
      <c r="E68" s="220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22"/>
      <c r="D69" s="218"/>
      <c r="E69" s="220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22"/>
      <c r="D70" s="218"/>
      <c r="E70" s="220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442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21" t="s">
        <v>2</v>
      </c>
      <c r="D72" s="221" t="s">
        <v>38</v>
      </c>
      <c r="E72" s="221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19" t="s">
        <v>62</v>
      </c>
      <c r="D73" s="219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18" t="s">
        <v>128</v>
      </c>
      <c r="D74" s="218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18" t="s">
        <v>62</v>
      </c>
      <c r="D75" s="218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18" t="s">
        <v>62</v>
      </c>
      <c r="D76" s="218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18" t="s">
        <v>62</v>
      </c>
      <c r="D77" s="218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18"/>
      <c r="D78" s="218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18"/>
      <c r="D79" s="218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18"/>
      <c r="D80" s="218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18"/>
      <c r="D81" s="218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443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391</v>
      </c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5" sqref="K85:S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444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31" t="s">
        <v>17</v>
      </c>
      <c r="L5" s="231" t="s">
        <v>18</v>
      </c>
      <c r="M5" s="231" t="s">
        <v>19</v>
      </c>
      <c r="N5" s="23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0.4358831376617146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20160</v>
      </c>
      <c r="K7" s="15">
        <f>L7+13888+20084+14448</f>
        <v>68572</v>
      </c>
      <c r="L7" s="15">
        <f>2578*4+2460*4</f>
        <v>20152</v>
      </c>
      <c r="M7" s="16">
        <f t="shared" si="0"/>
        <v>20152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0.9996031746031746</v>
      </c>
      <c r="AC7" s="9">
        <f t="shared" si="5"/>
        <v>1</v>
      </c>
      <c r="AD7" s="10">
        <f t="shared" si="6"/>
        <v>0.9996031746031746</v>
      </c>
      <c r="AE7" s="39">
        <f t="shared" si="7"/>
        <v>0.4358831376617146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80000</v>
      </c>
      <c r="J8" s="14">
        <v>10210</v>
      </c>
      <c r="K8" s="15">
        <f>L8</f>
        <v>10208</v>
      </c>
      <c r="L8" s="15">
        <f>2196*2+2908*2</f>
        <v>10208</v>
      </c>
      <c r="M8" s="16">
        <f t="shared" si="0"/>
        <v>10208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0.99980411361410382</v>
      </c>
      <c r="AC8" s="9">
        <f t="shared" si="5"/>
        <v>1</v>
      </c>
      <c r="AD8" s="10">
        <f t="shared" si="6"/>
        <v>0.99980411361410382</v>
      </c>
      <c r="AE8" s="39">
        <f t="shared" si="7"/>
        <v>0.4358831376617146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5030</v>
      </c>
      <c r="K9" s="15">
        <f>L9+746+1650+2301+3731+3690+4394+3188+1314+3904+4023+5051+3666</f>
        <v>42684</v>
      </c>
      <c r="L9" s="15">
        <f>2581+2445</f>
        <v>5026</v>
      </c>
      <c r="M9" s="16">
        <f t="shared" si="0"/>
        <v>5026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0.99920477137176933</v>
      </c>
      <c r="AC9" s="9">
        <f t="shared" si="5"/>
        <v>1</v>
      </c>
      <c r="AD9" s="10">
        <f t="shared" si="6"/>
        <v>0.99920477137176933</v>
      </c>
      <c r="AE9" s="39">
        <f t="shared" si="7"/>
        <v>0.4358831376617146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0.4358831376617146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264</v>
      </c>
      <c r="E11" s="57" t="s">
        <v>449</v>
      </c>
      <c r="F11" s="12" t="s">
        <v>212</v>
      </c>
      <c r="G11" s="12">
        <v>1</v>
      </c>
      <c r="H11" s="13">
        <v>25</v>
      </c>
      <c r="I11" s="34">
        <v>120000</v>
      </c>
      <c r="J11" s="14">
        <v>7510</v>
      </c>
      <c r="K11" s="15">
        <f>L11</f>
        <v>7510</v>
      </c>
      <c r="L11" s="15">
        <f>1351*2+2404*2</f>
        <v>7510</v>
      </c>
      <c r="M11" s="16">
        <f t="shared" si="0"/>
        <v>7510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0.4358831376617146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0.4358831376617146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0.4358831376617146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0.4358831376617146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76000</v>
      </c>
      <c r="J15" s="5">
        <v>2070</v>
      </c>
      <c r="K15" s="15">
        <f>L15</f>
        <v>2068</v>
      </c>
      <c r="L15" s="15">
        <f>1034*2</f>
        <v>2068</v>
      </c>
      <c r="M15" s="16">
        <f t="shared" si="0"/>
        <v>2068</v>
      </c>
      <c r="N15" s="16">
        <v>0</v>
      </c>
      <c r="O15" s="62">
        <f t="shared" si="1"/>
        <v>0</v>
      </c>
      <c r="P15" s="42">
        <f t="shared" si="2"/>
        <v>9</v>
      </c>
      <c r="Q15" s="43">
        <f t="shared" si="3"/>
        <v>15</v>
      </c>
      <c r="R15" s="7"/>
      <c r="S15" s="6">
        <v>15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0.99903381642512079</v>
      </c>
      <c r="AC15" s="9">
        <f t="shared" si="5"/>
        <v>0.375</v>
      </c>
      <c r="AD15" s="10">
        <f t="shared" si="6"/>
        <v>0.37463768115942031</v>
      </c>
      <c r="AE15" s="39">
        <f t="shared" si="7"/>
        <v>0.4358831376617146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445</v>
      </c>
      <c r="D16" s="55" t="s">
        <v>453</v>
      </c>
      <c r="E16" s="57" t="s">
        <v>454</v>
      </c>
      <c r="F16" s="12" t="s">
        <v>455</v>
      </c>
      <c r="G16" s="36">
        <v>2</v>
      </c>
      <c r="H16" s="38">
        <v>25</v>
      </c>
      <c r="I16" s="7">
        <v>80000</v>
      </c>
      <c r="J16" s="14">
        <v>430</v>
      </c>
      <c r="K16" s="15">
        <f>L16</f>
        <v>428</v>
      </c>
      <c r="L16" s="15">
        <f>214*2</f>
        <v>428</v>
      </c>
      <c r="M16" s="16">
        <f t="shared" si="0"/>
        <v>428</v>
      </c>
      <c r="N16" s="16">
        <v>0</v>
      </c>
      <c r="O16" s="62">
        <f t="shared" si="1"/>
        <v>0</v>
      </c>
      <c r="P16" s="42">
        <f t="shared" si="2"/>
        <v>3</v>
      </c>
      <c r="Q16" s="43">
        <f t="shared" si="3"/>
        <v>21</v>
      </c>
      <c r="R16" s="7"/>
      <c r="S16" s="6">
        <v>21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0.99534883720930234</v>
      </c>
      <c r="AC16" s="9">
        <f t="shared" si="5"/>
        <v>0.125</v>
      </c>
      <c r="AD16" s="10">
        <f t="shared" si="6"/>
        <v>0.12441860465116279</v>
      </c>
      <c r="AE16" s="39">
        <f t="shared" si="7"/>
        <v>0.4358831376617146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4130</v>
      </c>
      <c r="K17" s="15">
        <f>L17+4064</f>
        <v>8194</v>
      </c>
      <c r="L17" s="15">
        <f>1603+2527</f>
        <v>4130</v>
      </c>
      <c r="M17" s="16">
        <f t="shared" si="0"/>
        <v>4130</v>
      </c>
      <c r="N17" s="16">
        <v>0</v>
      </c>
      <c r="O17" s="62">
        <f t="shared" si="1"/>
        <v>0</v>
      </c>
      <c r="P17" s="42">
        <f t="shared" si="2"/>
        <v>20</v>
      </c>
      <c r="Q17" s="43">
        <f t="shared" si="3"/>
        <v>4</v>
      </c>
      <c r="R17" s="7"/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9">
        <f t="shared" si="7"/>
        <v>0.4358831376617146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456</v>
      </c>
      <c r="D18" s="55" t="s">
        <v>457</v>
      </c>
      <c r="E18" s="57" t="s">
        <v>458</v>
      </c>
      <c r="F18" s="12">
        <v>7301</v>
      </c>
      <c r="G18" s="12">
        <v>1</v>
      </c>
      <c r="H18" s="13">
        <v>25</v>
      </c>
      <c r="I18" s="34">
        <v>1000</v>
      </c>
      <c r="J18" s="5">
        <v>1995</v>
      </c>
      <c r="K18" s="15">
        <f>L18</f>
        <v>1994</v>
      </c>
      <c r="L18" s="15">
        <v>1994</v>
      </c>
      <c r="M18" s="16">
        <f t="shared" si="0"/>
        <v>1994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/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0.99949874686716789</v>
      </c>
      <c r="AC18" s="9">
        <f t="shared" si="5"/>
        <v>0.5</v>
      </c>
      <c r="AD18" s="10">
        <f t="shared" si="6"/>
        <v>0.49974937343358394</v>
      </c>
      <c r="AE18" s="39">
        <f t="shared" si="7"/>
        <v>0.4358831376617146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120000</v>
      </c>
      <c r="J19" s="5">
        <v>6270</v>
      </c>
      <c r="K19" s="15">
        <f>L19</f>
        <v>6264</v>
      </c>
      <c r="L19" s="15">
        <f>1192*2+1940*2</f>
        <v>6264</v>
      </c>
      <c r="M19" s="16">
        <f t="shared" si="0"/>
        <v>6264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0.99904306220095696</v>
      </c>
      <c r="AC19" s="9">
        <f t="shared" si="5"/>
        <v>0.875</v>
      </c>
      <c r="AD19" s="10">
        <f t="shared" si="6"/>
        <v>0.87416267942583736</v>
      </c>
      <c r="AE19" s="39">
        <f t="shared" si="7"/>
        <v>0.4358831376617146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182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20910</v>
      </c>
      <c r="K20" s="15">
        <f>L20+34744+47040+47012+47672+47376+47532+20908</f>
        <v>292284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>
        <v>24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0.4358831376617146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959750</v>
      </c>
      <c r="J21" s="22">
        <f t="shared" si="9"/>
        <v>84406</v>
      </c>
      <c r="K21" s="23">
        <f t="shared" si="9"/>
        <v>478866</v>
      </c>
      <c r="L21" s="24">
        <f t="shared" si="9"/>
        <v>57780</v>
      </c>
      <c r="M21" s="23">
        <f t="shared" si="9"/>
        <v>57780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157</v>
      </c>
      <c r="Q21" s="46">
        <f t="shared" si="10"/>
        <v>203</v>
      </c>
      <c r="R21" s="26">
        <f t="shared" si="10"/>
        <v>48</v>
      </c>
      <c r="S21" s="27">
        <f t="shared" si="10"/>
        <v>47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108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0.59943576815277311</v>
      </c>
      <c r="AC21" s="4">
        <f>SUM(AC6:AC20)/15</f>
        <v>0.43611111111111112</v>
      </c>
      <c r="AD21" s="4">
        <f>SUM(AD6:AD20)/15</f>
        <v>0.4358831376617146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461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476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32" t="s">
        <v>47</v>
      </c>
      <c r="D50" s="232" t="s">
        <v>48</v>
      </c>
      <c r="E50" s="232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32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462</v>
      </c>
      <c r="B51" s="506"/>
      <c r="C51" s="233" t="s">
        <v>463</v>
      </c>
      <c r="D51" s="234" t="s">
        <v>446</v>
      </c>
      <c r="E51" s="233" t="s">
        <v>447</v>
      </c>
      <c r="F51" s="487" t="s">
        <v>464</v>
      </c>
      <c r="G51" s="487"/>
      <c r="H51" s="487"/>
      <c r="I51" s="487"/>
      <c r="J51" s="487"/>
      <c r="K51" s="487"/>
      <c r="L51" s="487"/>
      <c r="M51" s="498"/>
      <c r="N51" s="235" t="s">
        <v>421</v>
      </c>
      <c r="O51" s="74" t="s">
        <v>432</v>
      </c>
      <c r="P51" s="503" t="s">
        <v>433</v>
      </c>
      <c r="Q51" s="504"/>
      <c r="R51" s="497" t="s">
        <v>434</v>
      </c>
      <c r="S51" s="497"/>
      <c r="T51" s="497"/>
      <c r="U51" s="497"/>
      <c r="V51" s="487" t="s">
        <v>477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462</v>
      </c>
      <c r="B52" s="506"/>
      <c r="C52" s="233" t="s">
        <v>465</v>
      </c>
      <c r="D52" s="234" t="s">
        <v>466</v>
      </c>
      <c r="E52" s="233" t="s">
        <v>449</v>
      </c>
      <c r="F52" s="487" t="s">
        <v>467</v>
      </c>
      <c r="G52" s="487"/>
      <c r="H52" s="487"/>
      <c r="I52" s="487"/>
      <c r="J52" s="487"/>
      <c r="K52" s="487"/>
      <c r="L52" s="487"/>
      <c r="M52" s="498"/>
      <c r="N52" s="235" t="s">
        <v>421</v>
      </c>
      <c r="O52" s="74" t="s">
        <v>437</v>
      </c>
      <c r="P52" s="503" t="s">
        <v>436</v>
      </c>
      <c r="Q52" s="504"/>
      <c r="R52" s="497" t="s">
        <v>435</v>
      </c>
      <c r="S52" s="497"/>
      <c r="T52" s="497"/>
      <c r="U52" s="497"/>
      <c r="V52" s="487" t="s">
        <v>477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462</v>
      </c>
      <c r="B53" s="506"/>
      <c r="C53" s="233" t="s">
        <v>468</v>
      </c>
      <c r="D53" s="234" t="s">
        <v>469</v>
      </c>
      <c r="E53" s="233" t="s">
        <v>451</v>
      </c>
      <c r="F53" s="487" t="s">
        <v>470</v>
      </c>
      <c r="G53" s="487"/>
      <c r="H53" s="487"/>
      <c r="I53" s="487"/>
      <c r="J53" s="487"/>
      <c r="K53" s="487"/>
      <c r="L53" s="487"/>
      <c r="M53" s="498"/>
      <c r="N53" s="235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445</v>
      </c>
      <c r="B54" s="506"/>
      <c r="C54" s="233" t="s">
        <v>471</v>
      </c>
      <c r="D54" s="234" t="s">
        <v>472</v>
      </c>
      <c r="E54" s="233" t="s">
        <v>454</v>
      </c>
      <c r="F54" s="487" t="s">
        <v>473</v>
      </c>
      <c r="G54" s="487"/>
      <c r="H54" s="487"/>
      <c r="I54" s="487"/>
      <c r="J54" s="487"/>
      <c r="K54" s="487"/>
      <c r="L54" s="487"/>
      <c r="M54" s="498"/>
      <c r="N54" s="235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445</v>
      </c>
      <c r="B55" s="506"/>
      <c r="C55" s="233" t="s">
        <v>474</v>
      </c>
      <c r="D55" s="234" t="s">
        <v>459</v>
      </c>
      <c r="E55" s="233" t="s">
        <v>460</v>
      </c>
      <c r="F55" s="487" t="s">
        <v>475</v>
      </c>
      <c r="G55" s="487"/>
      <c r="H55" s="487"/>
      <c r="I55" s="487"/>
      <c r="J55" s="487"/>
      <c r="K55" s="487"/>
      <c r="L55" s="487"/>
      <c r="M55" s="498"/>
      <c r="N55" s="235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 t="s">
        <v>456</v>
      </c>
      <c r="B56" s="497"/>
      <c r="C56" s="234" t="s">
        <v>478</v>
      </c>
      <c r="D56" s="234" t="s">
        <v>457</v>
      </c>
      <c r="E56" s="233"/>
      <c r="F56" s="487" t="s">
        <v>464</v>
      </c>
      <c r="G56" s="487"/>
      <c r="H56" s="487"/>
      <c r="I56" s="487"/>
      <c r="J56" s="487"/>
      <c r="K56" s="487"/>
      <c r="L56" s="487"/>
      <c r="M56" s="498"/>
      <c r="N56" s="235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 t="s">
        <v>479</v>
      </c>
      <c r="B57" s="497"/>
      <c r="C57" s="234" t="s">
        <v>480</v>
      </c>
      <c r="D57" s="234" t="s">
        <v>481</v>
      </c>
      <c r="E57" s="233" t="s">
        <v>482</v>
      </c>
      <c r="F57" s="487" t="s">
        <v>483</v>
      </c>
      <c r="G57" s="487"/>
      <c r="H57" s="487"/>
      <c r="I57" s="487"/>
      <c r="J57" s="487"/>
      <c r="K57" s="487"/>
      <c r="L57" s="487"/>
      <c r="M57" s="498"/>
      <c r="N57" s="235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33"/>
      <c r="D58" s="234"/>
      <c r="E58" s="233"/>
      <c r="F58" s="487"/>
      <c r="G58" s="487"/>
      <c r="H58" s="487"/>
      <c r="I58" s="487"/>
      <c r="J58" s="487"/>
      <c r="K58" s="487"/>
      <c r="L58" s="487"/>
      <c r="M58" s="498"/>
      <c r="N58" s="235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34"/>
      <c r="D59" s="234"/>
      <c r="E59" s="234"/>
      <c r="F59" s="487"/>
      <c r="G59" s="487"/>
      <c r="H59" s="487"/>
      <c r="I59" s="487"/>
      <c r="J59" s="487"/>
      <c r="K59" s="487"/>
      <c r="L59" s="487"/>
      <c r="M59" s="498"/>
      <c r="N59" s="235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37"/>
      <c r="D60" s="237"/>
      <c r="E60" s="237"/>
      <c r="F60" s="501"/>
      <c r="G60" s="501"/>
      <c r="H60" s="501"/>
      <c r="I60" s="501"/>
      <c r="J60" s="501"/>
      <c r="K60" s="501"/>
      <c r="L60" s="501"/>
      <c r="M60" s="502"/>
      <c r="N60" s="236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484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38" t="s">
        <v>2</v>
      </c>
      <c r="D62" s="238" t="s">
        <v>38</v>
      </c>
      <c r="E62" s="238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38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40"/>
      <c r="D63" s="242"/>
      <c r="E63" s="239"/>
      <c r="F63" s="485"/>
      <c r="G63" s="475"/>
      <c r="H63" s="475"/>
      <c r="I63" s="475"/>
      <c r="J63" s="475"/>
      <c r="K63" s="475"/>
      <c r="L63" s="475"/>
      <c r="M63" s="54"/>
      <c r="N63" s="475"/>
      <c r="O63" s="475"/>
      <c r="P63" s="486"/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40"/>
      <c r="D64" s="242"/>
      <c r="E64" s="239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40"/>
      <c r="D65" s="242"/>
      <c r="E65" s="239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40"/>
      <c r="D66" s="242"/>
      <c r="E66" s="239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40"/>
      <c r="D67" s="242"/>
      <c r="E67" s="239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40"/>
      <c r="D68" s="242"/>
      <c r="E68" s="239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40"/>
      <c r="D69" s="242"/>
      <c r="E69" s="239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40"/>
      <c r="D70" s="242"/>
      <c r="E70" s="239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485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41" t="s">
        <v>2</v>
      </c>
      <c r="D72" s="241" t="s">
        <v>38</v>
      </c>
      <c r="E72" s="241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43" t="s">
        <v>62</v>
      </c>
      <c r="D73" s="243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42" t="s">
        <v>128</v>
      </c>
      <c r="D74" s="242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42" t="s">
        <v>62</v>
      </c>
      <c r="D75" s="242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42" t="s">
        <v>62</v>
      </c>
      <c r="D76" s="242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42" t="s">
        <v>62</v>
      </c>
      <c r="D77" s="242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42"/>
      <c r="D78" s="242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42"/>
      <c r="D79" s="242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42"/>
      <c r="D80" s="242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42"/>
      <c r="D81" s="242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486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391</v>
      </c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2" zoomScaleNormal="72" zoomScaleSheetLayoutView="70" workbookViewId="0">
      <selection activeCell="A68" sqref="A68:XFD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487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56" t="s">
        <v>17</v>
      </c>
      <c r="L5" s="256" t="s">
        <v>18</v>
      </c>
      <c r="M5" s="256" t="s">
        <v>19</v>
      </c>
      <c r="N5" s="25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123</v>
      </c>
      <c r="E6" s="56" t="s">
        <v>134</v>
      </c>
      <c r="F6" s="12" t="s">
        <v>130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0.42760881485597196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19960</v>
      </c>
      <c r="K7" s="15">
        <f>L7+13888+20084+14448+20152</f>
        <v>88524</v>
      </c>
      <c r="L7" s="15">
        <f>2570*4+2418*4</f>
        <v>19952</v>
      </c>
      <c r="M7" s="16">
        <f t="shared" si="0"/>
        <v>19952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0.99959919839679356</v>
      </c>
      <c r="AC7" s="9">
        <f t="shared" si="5"/>
        <v>1</v>
      </c>
      <c r="AD7" s="10">
        <f t="shared" si="6"/>
        <v>0.99959919839679356</v>
      </c>
      <c r="AE7" s="39">
        <f t="shared" si="7"/>
        <v>0.42760881485597196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80000</v>
      </c>
      <c r="J8" s="14">
        <v>11250</v>
      </c>
      <c r="K8" s="15">
        <f>L8+10208</f>
        <v>21456</v>
      </c>
      <c r="L8" s="15">
        <f>2881*2+2743*2</f>
        <v>11248</v>
      </c>
      <c r="M8" s="16">
        <f t="shared" si="0"/>
        <v>11248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0.99982222222222217</v>
      </c>
      <c r="AC8" s="9">
        <f t="shared" si="5"/>
        <v>1</v>
      </c>
      <c r="AD8" s="10">
        <f t="shared" si="6"/>
        <v>0.99982222222222217</v>
      </c>
      <c r="AE8" s="39">
        <f t="shared" si="7"/>
        <v>0.42760881485597196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4730</v>
      </c>
      <c r="K9" s="15">
        <f>L9+746+1650+2301+3731+3690+4394+3188+1314+3904+4023+5051+3666+5026</f>
        <v>47409</v>
      </c>
      <c r="L9" s="15">
        <f>2488+2237</f>
        <v>4725</v>
      </c>
      <c r="M9" s="16">
        <f t="shared" si="0"/>
        <v>4725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0.9989429175475687</v>
      </c>
      <c r="AC9" s="9">
        <f t="shared" si="5"/>
        <v>1</v>
      </c>
      <c r="AD9" s="10">
        <f t="shared" si="6"/>
        <v>0.9989429175475687</v>
      </c>
      <c r="AE9" s="39">
        <f t="shared" si="7"/>
        <v>0.42760881485597196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3190</v>
      </c>
      <c r="K10" s="15">
        <f>L10+746+1650+2301+3731+3690+4394</f>
        <v>16512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>
        <v>24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0.42760881485597196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264</v>
      </c>
      <c r="E11" s="57" t="s">
        <v>449</v>
      </c>
      <c r="F11" s="12" t="s">
        <v>212</v>
      </c>
      <c r="G11" s="12">
        <v>1</v>
      </c>
      <c r="H11" s="13">
        <v>25</v>
      </c>
      <c r="I11" s="34">
        <v>120000</v>
      </c>
      <c r="J11" s="14">
        <v>8800</v>
      </c>
      <c r="K11" s="15">
        <f>L11+7510</f>
        <v>16310</v>
      </c>
      <c r="L11" s="15">
        <f>3225*2+1175*2</f>
        <v>8800</v>
      </c>
      <c r="M11" s="16">
        <f t="shared" si="0"/>
        <v>8800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>
        <v>3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9">
        <f t="shared" si="7"/>
        <v>0.42760881485597196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0.42760881485597196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0.42760881485597196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0.42760881485597196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76000</v>
      </c>
      <c r="J15" s="5">
        <v>5040</v>
      </c>
      <c r="K15" s="15">
        <f>L15+2068</f>
        <v>7104</v>
      </c>
      <c r="L15" s="15">
        <f>2518*2</f>
        <v>5036</v>
      </c>
      <c r="M15" s="16">
        <f t="shared" si="0"/>
        <v>5036</v>
      </c>
      <c r="N15" s="16">
        <v>0</v>
      </c>
      <c r="O15" s="62">
        <f t="shared" si="1"/>
        <v>0</v>
      </c>
      <c r="P15" s="42">
        <f t="shared" si="2"/>
        <v>14</v>
      </c>
      <c r="Q15" s="43">
        <f t="shared" si="3"/>
        <v>10</v>
      </c>
      <c r="R15" s="7"/>
      <c r="S15" s="6">
        <v>10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0.99920634920634921</v>
      </c>
      <c r="AC15" s="9">
        <f t="shared" si="5"/>
        <v>0.58333333333333337</v>
      </c>
      <c r="AD15" s="10">
        <f t="shared" si="6"/>
        <v>0.58287037037037037</v>
      </c>
      <c r="AE15" s="39">
        <f t="shared" si="7"/>
        <v>0.42760881485597196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445</v>
      </c>
      <c r="D16" s="55" t="s">
        <v>453</v>
      </c>
      <c r="E16" s="57" t="s">
        <v>454</v>
      </c>
      <c r="F16" s="12" t="s">
        <v>455</v>
      </c>
      <c r="G16" s="36">
        <v>2</v>
      </c>
      <c r="H16" s="38">
        <v>25</v>
      </c>
      <c r="I16" s="7">
        <v>80000</v>
      </c>
      <c r="J16" s="14">
        <v>430</v>
      </c>
      <c r="K16" s="15">
        <f>L16+428</f>
        <v>428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0.42760881485597196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1850</v>
      </c>
      <c r="K17" s="15">
        <f>L17+4064+4130</f>
        <v>10042</v>
      </c>
      <c r="L17" s="15">
        <v>1848</v>
      </c>
      <c r="M17" s="16">
        <f t="shared" si="0"/>
        <v>1848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/>
      <c r="T17" s="17"/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0.99891891891891893</v>
      </c>
      <c r="AC17" s="9">
        <f t="shared" si="5"/>
        <v>0.375</v>
      </c>
      <c r="AD17" s="10">
        <f t="shared" si="6"/>
        <v>0.3745945945945946</v>
      </c>
      <c r="AE17" s="39">
        <f t="shared" si="7"/>
        <v>0.42760881485597196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456</v>
      </c>
      <c r="D18" s="55" t="s">
        <v>457</v>
      </c>
      <c r="E18" s="57" t="s">
        <v>458</v>
      </c>
      <c r="F18" s="12">
        <v>7301</v>
      </c>
      <c r="G18" s="12">
        <v>1</v>
      </c>
      <c r="H18" s="13">
        <v>25</v>
      </c>
      <c r="I18" s="34">
        <v>1000</v>
      </c>
      <c r="J18" s="5">
        <v>1995</v>
      </c>
      <c r="K18" s="15">
        <f>L18+1994</f>
        <v>1994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0.42760881485597196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120000</v>
      </c>
      <c r="J19" s="5">
        <v>10600</v>
      </c>
      <c r="K19" s="15">
        <f>L19+6264</f>
        <v>16864</v>
      </c>
      <c r="L19" s="15">
        <f>2660*2+2640*2</f>
        <v>10600</v>
      </c>
      <c r="M19" s="16">
        <f t="shared" si="0"/>
        <v>10600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0.42760881485597196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488</v>
      </c>
      <c r="E20" s="56"/>
      <c r="F20" s="12" t="s">
        <v>120</v>
      </c>
      <c r="G20" s="12">
        <v>3</v>
      </c>
      <c r="H20" s="38">
        <v>20</v>
      </c>
      <c r="I20" s="7">
        <v>35000</v>
      </c>
      <c r="J20" s="14">
        <v>19180</v>
      </c>
      <c r="K20" s="15">
        <f>L20</f>
        <v>19179</v>
      </c>
      <c r="L20" s="15">
        <f>6393*3</f>
        <v>19179</v>
      </c>
      <c r="M20" s="16">
        <f t="shared" si="0"/>
        <v>19179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/>
      <c r="T20" s="17">
        <v>10</v>
      </c>
      <c r="U20" s="17"/>
      <c r="V20" s="18"/>
      <c r="W20" s="19"/>
      <c r="X20" s="17"/>
      <c r="Y20" s="20"/>
      <c r="Z20" s="20"/>
      <c r="AA20" s="21"/>
      <c r="AB20" s="8">
        <f t="shared" si="4"/>
        <v>0.99994786235662148</v>
      </c>
      <c r="AC20" s="9">
        <f t="shared" si="5"/>
        <v>0.58333333333333337</v>
      </c>
      <c r="AD20" s="10">
        <f t="shared" si="6"/>
        <v>0.58330291970802928</v>
      </c>
      <c r="AE20" s="39">
        <f t="shared" si="7"/>
        <v>0.42760881485597196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794750</v>
      </c>
      <c r="J21" s="22">
        <f t="shared" si="9"/>
        <v>89526</v>
      </c>
      <c r="K21" s="23">
        <f t="shared" si="9"/>
        <v>267970</v>
      </c>
      <c r="L21" s="24">
        <f t="shared" si="9"/>
        <v>81388</v>
      </c>
      <c r="M21" s="23">
        <f t="shared" si="9"/>
        <v>81388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154</v>
      </c>
      <c r="Q21" s="46">
        <f t="shared" si="10"/>
        <v>206</v>
      </c>
      <c r="R21" s="26">
        <f t="shared" si="10"/>
        <v>24</v>
      </c>
      <c r="S21" s="27">
        <f t="shared" si="10"/>
        <v>37</v>
      </c>
      <c r="T21" s="27">
        <f t="shared" si="10"/>
        <v>10</v>
      </c>
      <c r="U21" s="27">
        <f t="shared" si="10"/>
        <v>0</v>
      </c>
      <c r="V21" s="28">
        <f t="shared" si="10"/>
        <v>0</v>
      </c>
      <c r="W21" s="29">
        <f t="shared" si="10"/>
        <v>135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0.53309583124323157</v>
      </c>
      <c r="AC21" s="4">
        <f>SUM(AC6:AC20)/15</f>
        <v>0.42777777777777776</v>
      </c>
      <c r="AD21" s="4">
        <f>SUM(AD6:AD20)/15</f>
        <v>0.42760881485597196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489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496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55" t="s">
        <v>47</v>
      </c>
      <c r="D50" s="255" t="s">
        <v>48</v>
      </c>
      <c r="E50" s="255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55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462</v>
      </c>
      <c r="B51" s="506"/>
      <c r="C51" s="254" t="s">
        <v>465</v>
      </c>
      <c r="D51" s="251" t="s">
        <v>466</v>
      </c>
      <c r="E51" s="254" t="s">
        <v>449</v>
      </c>
      <c r="F51" s="487" t="s">
        <v>490</v>
      </c>
      <c r="G51" s="487"/>
      <c r="H51" s="487"/>
      <c r="I51" s="487"/>
      <c r="J51" s="487"/>
      <c r="K51" s="487"/>
      <c r="L51" s="487"/>
      <c r="M51" s="498"/>
      <c r="N51" s="250" t="s">
        <v>421</v>
      </c>
      <c r="O51" s="74" t="s">
        <v>437</v>
      </c>
      <c r="P51" s="503" t="s">
        <v>436</v>
      </c>
      <c r="Q51" s="504"/>
      <c r="R51" s="497" t="s">
        <v>435</v>
      </c>
      <c r="S51" s="497"/>
      <c r="T51" s="497"/>
      <c r="U51" s="497"/>
      <c r="V51" s="487" t="s">
        <v>477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462</v>
      </c>
      <c r="B52" s="506"/>
      <c r="C52" s="254" t="s">
        <v>468</v>
      </c>
      <c r="D52" s="251" t="s">
        <v>469</v>
      </c>
      <c r="E52" s="254" t="s">
        <v>451</v>
      </c>
      <c r="F52" s="487" t="s">
        <v>491</v>
      </c>
      <c r="G52" s="487"/>
      <c r="H52" s="487"/>
      <c r="I52" s="487"/>
      <c r="J52" s="487"/>
      <c r="K52" s="487"/>
      <c r="L52" s="487"/>
      <c r="M52" s="498"/>
      <c r="N52" s="250" t="s">
        <v>497</v>
      </c>
      <c r="O52" s="74" t="s">
        <v>498</v>
      </c>
      <c r="P52" s="503" t="s">
        <v>499</v>
      </c>
      <c r="Q52" s="504"/>
      <c r="R52" s="497" t="s">
        <v>500</v>
      </c>
      <c r="S52" s="497"/>
      <c r="T52" s="497"/>
      <c r="U52" s="497"/>
      <c r="V52" s="487" t="s">
        <v>495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492</v>
      </c>
      <c r="B53" s="506"/>
      <c r="C53" s="254" t="s">
        <v>493</v>
      </c>
      <c r="D53" s="251" t="s">
        <v>494</v>
      </c>
      <c r="E53" s="254"/>
      <c r="F53" s="487" t="s">
        <v>495</v>
      </c>
      <c r="G53" s="487"/>
      <c r="H53" s="487"/>
      <c r="I53" s="487"/>
      <c r="J53" s="487"/>
      <c r="K53" s="487"/>
      <c r="L53" s="487"/>
      <c r="M53" s="498"/>
      <c r="N53" s="250" t="s">
        <v>502</v>
      </c>
      <c r="O53" s="74" t="s">
        <v>503</v>
      </c>
      <c r="P53" s="503" t="s">
        <v>504</v>
      </c>
      <c r="Q53" s="504"/>
      <c r="R53" s="497" t="s">
        <v>501</v>
      </c>
      <c r="S53" s="497"/>
      <c r="T53" s="497"/>
      <c r="U53" s="497"/>
      <c r="V53" s="487" t="s">
        <v>464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/>
      <c r="B54" s="506"/>
      <c r="C54" s="254"/>
      <c r="D54" s="251"/>
      <c r="E54" s="254"/>
      <c r="F54" s="487"/>
      <c r="G54" s="487"/>
      <c r="H54" s="487"/>
      <c r="I54" s="487"/>
      <c r="J54" s="487"/>
      <c r="K54" s="487"/>
      <c r="L54" s="487"/>
      <c r="M54" s="498"/>
      <c r="N54" s="250" t="s">
        <v>479</v>
      </c>
      <c r="O54" s="74" t="s">
        <v>506</v>
      </c>
      <c r="P54" s="503" t="s">
        <v>507</v>
      </c>
      <c r="Q54" s="504"/>
      <c r="R54" s="497" t="s">
        <v>505</v>
      </c>
      <c r="S54" s="497"/>
      <c r="T54" s="497"/>
      <c r="U54" s="497"/>
      <c r="V54" s="487" t="s">
        <v>477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/>
      <c r="B55" s="506"/>
      <c r="C55" s="254"/>
      <c r="D55" s="251"/>
      <c r="E55" s="254"/>
      <c r="F55" s="487"/>
      <c r="G55" s="487"/>
      <c r="H55" s="487"/>
      <c r="I55" s="487"/>
      <c r="J55" s="487"/>
      <c r="K55" s="487"/>
      <c r="L55" s="487"/>
      <c r="M55" s="498"/>
      <c r="N55" s="250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51"/>
      <c r="D56" s="251"/>
      <c r="E56" s="254"/>
      <c r="F56" s="487"/>
      <c r="G56" s="487"/>
      <c r="H56" s="487"/>
      <c r="I56" s="487"/>
      <c r="J56" s="487"/>
      <c r="K56" s="487"/>
      <c r="L56" s="487"/>
      <c r="M56" s="498"/>
      <c r="N56" s="250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51"/>
      <c r="D57" s="251"/>
      <c r="E57" s="254"/>
      <c r="F57" s="487"/>
      <c r="G57" s="487"/>
      <c r="H57" s="487"/>
      <c r="I57" s="487"/>
      <c r="J57" s="487"/>
      <c r="K57" s="487"/>
      <c r="L57" s="487"/>
      <c r="M57" s="498"/>
      <c r="N57" s="250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54"/>
      <c r="D58" s="251"/>
      <c r="E58" s="254"/>
      <c r="F58" s="487"/>
      <c r="G58" s="487"/>
      <c r="H58" s="487"/>
      <c r="I58" s="487"/>
      <c r="J58" s="487"/>
      <c r="K58" s="487"/>
      <c r="L58" s="487"/>
      <c r="M58" s="498"/>
      <c r="N58" s="250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51"/>
      <c r="D59" s="251"/>
      <c r="E59" s="251"/>
      <c r="F59" s="487"/>
      <c r="G59" s="487"/>
      <c r="H59" s="487"/>
      <c r="I59" s="487"/>
      <c r="J59" s="487"/>
      <c r="K59" s="487"/>
      <c r="L59" s="487"/>
      <c r="M59" s="498"/>
      <c r="N59" s="250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53"/>
      <c r="D60" s="253"/>
      <c r="E60" s="253"/>
      <c r="F60" s="501"/>
      <c r="G60" s="501"/>
      <c r="H60" s="501"/>
      <c r="I60" s="501"/>
      <c r="J60" s="501"/>
      <c r="K60" s="501"/>
      <c r="L60" s="501"/>
      <c r="M60" s="502"/>
      <c r="N60" s="252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508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49" t="s">
        <v>2</v>
      </c>
      <c r="D62" s="249" t="s">
        <v>38</v>
      </c>
      <c r="E62" s="249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49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48" t="s">
        <v>509</v>
      </c>
      <c r="D63" s="244"/>
      <c r="E63" s="246" t="s">
        <v>510</v>
      </c>
      <c r="F63" s="485" t="s">
        <v>511</v>
      </c>
      <c r="G63" s="475"/>
      <c r="H63" s="475"/>
      <c r="I63" s="475"/>
      <c r="J63" s="475"/>
      <c r="K63" s="475" t="s">
        <v>512</v>
      </c>
      <c r="L63" s="475"/>
      <c r="M63" s="54" t="s">
        <v>513</v>
      </c>
      <c r="N63" s="475">
        <v>7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48" t="s">
        <v>502</v>
      </c>
      <c r="D64" s="244"/>
      <c r="E64" s="246" t="s">
        <v>514</v>
      </c>
      <c r="F64" s="485" t="s">
        <v>515</v>
      </c>
      <c r="G64" s="475"/>
      <c r="H64" s="475"/>
      <c r="I64" s="475"/>
      <c r="J64" s="475"/>
      <c r="K64" s="475" t="s">
        <v>516</v>
      </c>
      <c r="L64" s="475"/>
      <c r="M64" s="54" t="s">
        <v>517</v>
      </c>
      <c r="N64" s="475">
        <v>7</v>
      </c>
      <c r="O64" s="47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48" t="s">
        <v>479</v>
      </c>
      <c r="D65" s="244"/>
      <c r="E65" s="246" t="s">
        <v>518</v>
      </c>
      <c r="F65" s="485" t="s">
        <v>519</v>
      </c>
      <c r="G65" s="475"/>
      <c r="H65" s="475"/>
      <c r="I65" s="475"/>
      <c r="J65" s="475"/>
      <c r="K65" s="488" t="s">
        <v>520</v>
      </c>
      <c r="L65" s="488"/>
      <c r="M65" s="54" t="s">
        <v>521</v>
      </c>
      <c r="N65" s="475">
        <v>8</v>
      </c>
      <c r="O65" s="47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48" t="s">
        <v>479</v>
      </c>
      <c r="D66" s="244"/>
      <c r="E66" s="246" t="s">
        <v>504</v>
      </c>
      <c r="F66" s="475" t="s">
        <v>522</v>
      </c>
      <c r="G66" s="475"/>
      <c r="H66" s="475"/>
      <c r="I66" s="475"/>
      <c r="J66" s="475"/>
      <c r="K66" s="475" t="s">
        <v>523</v>
      </c>
      <c r="L66" s="475"/>
      <c r="M66" s="54" t="s">
        <v>517</v>
      </c>
      <c r="N66" s="475">
        <v>7</v>
      </c>
      <c r="O66" s="47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48" t="s">
        <v>524</v>
      </c>
      <c r="D67" s="244"/>
      <c r="E67" s="246"/>
      <c r="F67" s="475" t="s">
        <v>525</v>
      </c>
      <c r="G67" s="475"/>
      <c r="H67" s="475"/>
      <c r="I67" s="475"/>
      <c r="J67" s="475"/>
      <c r="K67" s="475" t="s">
        <v>526</v>
      </c>
      <c r="L67" s="475"/>
      <c r="M67" s="54" t="s">
        <v>527</v>
      </c>
      <c r="N67" s="475">
        <v>5</v>
      </c>
      <c r="O67" s="475"/>
      <c r="P67" s="486"/>
      <c r="Q67" s="486"/>
      <c r="R67" s="487" t="s">
        <v>528</v>
      </c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48" t="s">
        <v>462</v>
      </c>
      <c r="D68" s="244"/>
      <c r="E68" s="246"/>
      <c r="F68" s="485" t="s">
        <v>529</v>
      </c>
      <c r="G68" s="475"/>
      <c r="H68" s="475"/>
      <c r="I68" s="475"/>
      <c r="J68" s="475"/>
      <c r="K68" s="475" t="s">
        <v>530</v>
      </c>
      <c r="L68" s="475"/>
      <c r="M68" s="54" t="s">
        <v>521</v>
      </c>
      <c r="N68" s="475">
        <v>8</v>
      </c>
      <c r="O68" s="475"/>
      <c r="P68" s="486"/>
      <c r="Q68" s="486"/>
      <c r="R68" s="487" t="s">
        <v>531</v>
      </c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48"/>
      <c r="D69" s="244"/>
      <c r="E69" s="246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48"/>
      <c r="D70" s="244"/>
      <c r="E70" s="246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532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47" t="s">
        <v>2</v>
      </c>
      <c r="D72" s="247" t="s">
        <v>38</v>
      </c>
      <c r="E72" s="247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45" t="s">
        <v>62</v>
      </c>
      <c r="D73" s="245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44" t="s">
        <v>128</v>
      </c>
      <c r="D74" s="244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44" t="s">
        <v>62</v>
      </c>
      <c r="D75" s="244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44" t="s">
        <v>62</v>
      </c>
      <c r="D76" s="244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44" t="s">
        <v>62</v>
      </c>
      <c r="D77" s="244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44"/>
      <c r="D78" s="244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44"/>
      <c r="D79" s="244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44"/>
      <c r="D80" s="244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44"/>
      <c r="D81" s="244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533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391</v>
      </c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37" zoomScale="72" zoomScaleNormal="72" zoomScaleSheetLayoutView="70" workbookViewId="0">
      <selection activeCell="V85" sqref="V85:X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534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56" t="s">
        <v>17</v>
      </c>
      <c r="L5" s="256" t="s">
        <v>18</v>
      </c>
      <c r="M5" s="256" t="s">
        <v>19</v>
      </c>
      <c r="N5" s="25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500</v>
      </c>
      <c r="F6" s="12" t="s">
        <v>535</v>
      </c>
      <c r="G6" s="36">
        <v>1</v>
      </c>
      <c r="H6" s="38">
        <v>25</v>
      </c>
      <c r="I6" s="7">
        <v>10000</v>
      </c>
      <c r="J6" s="14">
        <v>2670</v>
      </c>
      <c r="K6" s="15">
        <f>L6</f>
        <v>2669</v>
      </c>
      <c r="L6" s="15">
        <f>2669</f>
        <v>2669</v>
      </c>
      <c r="M6" s="16">
        <f t="shared" ref="M6:M20" si="0">L6-N6</f>
        <v>2669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14</v>
      </c>
      <c r="Q6" s="43">
        <f t="shared" ref="Q6:Q20" si="3">SUM(R6:AA6)</f>
        <v>10</v>
      </c>
      <c r="R6" s="7"/>
      <c r="S6" s="6"/>
      <c r="T6" s="17">
        <v>10</v>
      </c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0.99962546816479403</v>
      </c>
      <c r="AC6" s="9">
        <f t="shared" ref="AC6:AC20" si="5">IF(P6=0,"0",(P6/24))</f>
        <v>0.58333333333333337</v>
      </c>
      <c r="AD6" s="10">
        <f t="shared" ref="AD6:AD20" si="6">AC6*AB6*(1-O6)</f>
        <v>0.58311485642946326</v>
      </c>
      <c r="AE6" s="39">
        <f t="shared" ref="AE6:AE20" si="7">$AD$21</f>
        <v>0.60238683406050231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311</v>
      </c>
      <c r="F7" s="12">
        <v>7301</v>
      </c>
      <c r="G7" s="36">
        <v>1</v>
      </c>
      <c r="H7" s="38">
        <v>25</v>
      </c>
      <c r="I7" s="7">
        <v>120000</v>
      </c>
      <c r="J7" s="14">
        <v>19970</v>
      </c>
      <c r="K7" s="15">
        <f>L7+13888+20084+14448+20152+19952</f>
        <v>108488</v>
      </c>
      <c r="L7" s="15">
        <f>2534*4+2457*4</f>
        <v>19964</v>
      </c>
      <c r="M7" s="16">
        <f t="shared" si="0"/>
        <v>19964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0.99969954932398597</v>
      </c>
      <c r="AC7" s="9">
        <f t="shared" si="5"/>
        <v>1</v>
      </c>
      <c r="AD7" s="10">
        <f t="shared" si="6"/>
        <v>0.99969954932398597</v>
      </c>
      <c r="AE7" s="39">
        <f t="shared" si="7"/>
        <v>0.60238683406050231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80000</v>
      </c>
      <c r="J8" s="14">
        <v>11220</v>
      </c>
      <c r="K8" s="15">
        <f>L8+10208+11248</f>
        <v>32672</v>
      </c>
      <c r="L8" s="15">
        <f>2890*2+2718*2</f>
        <v>11216</v>
      </c>
      <c r="M8" s="16">
        <f t="shared" si="0"/>
        <v>11216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0.99964349376114081</v>
      </c>
      <c r="AC8" s="9">
        <f t="shared" si="5"/>
        <v>1</v>
      </c>
      <c r="AD8" s="10">
        <f t="shared" si="6"/>
        <v>0.99964349376114081</v>
      </c>
      <c r="AE8" s="39">
        <f t="shared" si="7"/>
        <v>0.60238683406050231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5170</v>
      </c>
      <c r="K9" s="15">
        <f>L9+746+1650+2301+3731+3690+4394+3188+1314+3904+4023+5051+3666+5026+4725</f>
        <v>52573</v>
      </c>
      <c r="L9" s="15">
        <f>2455+367+2342</f>
        <v>5164</v>
      </c>
      <c r="M9" s="16">
        <f t="shared" si="0"/>
        <v>5164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0.99883945841392652</v>
      </c>
      <c r="AC9" s="9">
        <f t="shared" si="5"/>
        <v>1</v>
      </c>
      <c r="AD9" s="10">
        <f t="shared" si="6"/>
        <v>0.99883945841392652</v>
      </c>
      <c r="AE9" s="39">
        <f t="shared" si="7"/>
        <v>0.60238683406050231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449</v>
      </c>
      <c r="F10" s="12" t="s">
        <v>212</v>
      </c>
      <c r="G10" s="12">
        <v>1</v>
      </c>
      <c r="H10" s="13">
        <v>25</v>
      </c>
      <c r="I10" s="34">
        <v>120000</v>
      </c>
      <c r="J10" s="14">
        <v>7450</v>
      </c>
      <c r="K10" s="15">
        <f>L10+7510+8800</f>
        <v>23758</v>
      </c>
      <c r="L10" s="15">
        <f>1456*2+2268*2</f>
        <v>7448</v>
      </c>
      <c r="M10" s="16">
        <f t="shared" ref="M10" si="9">L10-N10</f>
        <v>7448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21</v>
      </c>
      <c r="Q10" s="43">
        <f t="shared" ref="Q10" si="12">SUM(R10:AA10)</f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0.99973154362416106</v>
      </c>
      <c r="AC10" s="9">
        <f t="shared" ref="AC10" si="14">IF(P10=0,"0",(P10/24))</f>
        <v>0.875</v>
      </c>
      <c r="AD10" s="10">
        <f t="shared" ref="AD10" si="15">AC10*AB10*(1-O10)</f>
        <v>0.87476510067114088</v>
      </c>
      <c r="AE10" s="39">
        <f t="shared" si="7"/>
        <v>0.60238683406050231</v>
      </c>
      <c r="AF10" s="94">
        <f t="shared" ref="AF10" si="16">A10</f>
        <v>5</v>
      </c>
    </row>
    <row r="11" spans="1:32" ht="27" customHeight="1">
      <c r="A11" s="110">
        <v>6</v>
      </c>
      <c r="B11" s="11" t="s">
        <v>59</v>
      </c>
      <c r="C11" s="11" t="s">
        <v>479</v>
      </c>
      <c r="D11" s="55" t="s">
        <v>536</v>
      </c>
      <c r="E11" s="57" t="s">
        <v>537</v>
      </c>
      <c r="F11" s="12" t="s">
        <v>538</v>
      </c>
      <c r="G11" s="12">
        <v>1</v>
      </c>
      <c r="H11" s="13">
        <v>25</v>
      </c>
      <c r="I11" s="34">
        <v>6500</v>
      </c>
      <c r="J11" s="14">
        <v>2490</v>
      </c>
      <c r="K11" s="15">
        <f>L11</f>
        <v>2481</v>
      </c>
      <c r="L11" s="15">
        <f>2481</f>
        <v>2481</v>
      </c>
      <c r="M11" s="16">
        <f t="shared" si="0"/>
        <v>2481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>
        <v>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0.9963855421686747</v>
      </c>
      <c r="AC11" s="9">
        <f t="shared" si="5"/>
        <v>0.66666666666666663</v>
      </c>
      <c r="AD11" s="10">
        <f t="shared" si="6"/>
        <v>0.6642570281124498</v>
      </c>
      <c r="AE11" s="39">
        <f t="shared" si="7"/>
        <v>0.60238683406050231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0.60238683406050231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0.60238683406050231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168</v>
      </c>
      <c r="F14" s="33" t="s">
        <v>169</v>
      </c>
      <c r="G14" s="36">
        <v>1</v>
      </c>
      <c r="H14" s="38">
        <v>25</v>
      </c>
      <c r="I14" s="7">
        <v>200</v>
      </c>
      <c r="J14" s="5">
        <v>191</v>
      </c>
      <c r="K14" s="15">
        <f>L14+191</f>
        <v>191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0.60238683406050231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76000</v>
      </c>
      <c r="J15" s="5">
        <v>10630</v>
      </c>
      <c r="K15" s="15">
        <f>L15+2068+5036</f>
        <v>17728</v>
      </c>
      <c r="L15" s="15">
        <f>2733*2+2579*2</f>
        <v>10624</v>
      </c>
      <c r="M15" s="16">
        <f t="shared" si="0"/>
        <v>10624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0.99943555973659459</v>
      </c>
      <c r="AC15" s="9">
        <f t="shared" si="5"/>
        <v>1</v>
      </c>
      <c r="AD15" s="10">
        <f t="shared" si="6"/>
        <v>0.99943555973659459</v>
      </c>
      <c r="AE15" s="39">
        <f t="shared" si="7"/>
        <v>0.60238683406050231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445</v>
      </c>
      <c r="D16" s="55" t="s">
        <v>453</v>
      </c>
      <c r="E16" s="57" t="s">
        <v>454</v>
      </c>
      <c r="F16" s="12" t="s">
        <v>455</v>
      </c>
      <c r="G16" s="36">
        <v>2</v>
      </c>
      <c r="H16" s="38">
        <v>25</v>
      </c>
      <c r="I16" s="7">
        <v>80000</v>
      </c>
      <c r="J16" s="14">
        <v>5930</v>
      </c>
      <c r="K16" s="15">
        <f>L16+428</f>
        <v>6356</v>
      </c>
      <c r="L16" s="15">
        <f>2089*2+875*2</f>
        <v>5928</v>
      </c>
      <c r="M16" s="16">
        <f t="shared" si="0"/>
        <v>5928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0.99966273187183807</v>
      </c>
      <c r="AC16" s="9">
        <f t="shared" si="5"/>
        <v>0.75</v>
      </c>
      <c r="AD16" s="10">
        <f t="shared" si="6"/>
        <v>0.74974704890387855</v>
      </c>
      <c r="AE16" s="39">
        <f t="shared" si="7"/>
        <v>0.60238683406050231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359</v>
      </c>
      <c r="E17" s="56" t="s">
        <v>360</v>
      </c>
      <c r="F17" s="12">
        <v>8301</v>
      </c>
      <c r="G17" s="12">
        <v>1</v>
      </c>
      <c r="H17" s="13">
        <v>25</v>
      </c>
      <c r="I17" s="34">
        <v>6000</v>
      </c>
      <c r="J17" s="5">
        <v>1850</v>
      </c>
      <c r="K17" s="15">
        <f>L17+4064+4130+1848</f>
        <v>10042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0.60238683406050231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479</v>
      </c>
      <c r="D18" s="55" t="s">
        <v>507</v>
      </c>
      <c r="E18" s="57" t="s">
        <v>539</v>
      </c>
      <c r="F18" s="12" t="s">
        <v>520</v>
      </c>
      <c r="G18" s="12">
        <v>1</v>
      </c>
      <c r="H18" s="13">
        <v>25</v>
      </c>
      <c r="I18" s="34">
        <v>1000</v>
      </c>
      <c r="J18" s="5">
        <v>2360</v>
      </c>
      <c r="K18" s="15">
        <f>L18</f>
        <v>2359</v>
      </c>
      <c r="L18" s="15">
        <f>2359</f>
        <v>2359</v>
      </c>
      <c r="M18" s="16">
        <f t="shared" si="0"/>
        <v>2359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/>
      <c r="U18" s="17"/>
      <c r="V18" s="18"/>
      <c r="W18" s="19">
        <v>10</v>
      </c>
      <c r="X18" s="17"/>
      <c r="Y18" s="20"/>
      <c r="Z18" s="20"/>
      <c r="AA18" s="21"/>
      <c r="AB18" s="8">
        <f t="shared" si="4"/>
        <v>0.99957627118644066</v>
      </c>
      <c r="AC18" s="9">
        <f t="shared" si="5"/>
        <v>0.58333333333333337</v>
      </c>
      <c r="AD18" s="10">
        <f t="shared" si="6"/>
        <v>0.58308615819209042</v>
      </c>
      <c r="AE18" s="39">
        <f t="shared" si="7"/>
        <v>0.60238683406050231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120000</v>
      </c>
      <c r="J19" s="5">
        <v>6250</v>
      </c>
      <c r="K19" s="15">
        <f>L19+6264+10600</f>
        <v>23114</v>
      </c>
      <c r="L19" s="15">
        <f>2864*2+261*2</f>
        <v>6250</v>
      </c>
      <c r="M19" s="16">
        <f t="shared" si="0"/>
        <v>6250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0.60238683406050231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488</v>
      </c>
      <c r="E20" s="56"/>
      <c r="F20" s="12" t="s">
        <v>120</v>
      </c>
      <c r="G20" s="12">
        <v>3</v>
      </c>
      <c r="H20" s="38">
        <v>20</v>
      </c>
      <c r="I20" s="7">
        <v>35000</v>
      </c>
      <c r="J20" s="14">
        <v>41990</v>
      </c>
      <c r="K20" s="15">
        <f>L20+19179</f>
        <v>61164</v>
      </c>
      <c r="L20" s="15">
        <f>7753*3+6242*3</f>
        <v>41985</v>
      </c>
      <c r="M20" s="16">
        <f t="shared" si="0"/>
        <v>41985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0.99988092402953088</v>
      </c>
      <c r="AC20" s="9">
        <f t="shared" si="5"/>
        <v>1</v>
      </c>
      <c r="AD20" s="10">
        <f t="shared" si="6"/>
        <v>0.99988092402953088</v>
      </c>
      <c r="AE20" s="39">
        <f t="shared" si="7"/>
        <v>0.60238683406050231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7">SUM(I6:I20)</f>
        <v>708250</v>
      </c>
      <c r="J21" s="22">
        <f t="shared" si="17"/>
        <v>118881</v>
      </c>
      <c r="K21" s="23">
        <f t="shared" si="17"/>
        <v>344304</v>
      </c>
      <c r="L21" s="24">
        <f t="shared" si="17"/>
        <v>116088</v>
      </c>
      <c r="M21" s="23">
        <f t="shared" si="17"/>
        <v>116088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217</v>
      </c>
      <c r="Q21" s="46">
        <f t="shared" si="18"/>
        <v>143</v>
      </c>
      <c r="R21" s="26">
        <f t="shared" si="18"/>
        <v>0</v>
      </c>
      <c r="S21" s="27">
        <f t="shared" si="18"/>
        <v>27</v>
      </c>
      <c r="T21" s="27">
        <f t="shared" si="18"/>
        <v>10</v>
      </c>
      <c r="U21" s="27">
        <f t="shared" si="18"/>
        <v>0</v>
      </c>
      <c r="V21" s="28">
        <f t="shared" si="18"/>
        <v>0</v>
      </c>
      <c r="W21" s="29">
        <f t="shared" si="18"/>
        <v>106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0</v>
      </c>
      <c r="AB21" s="31">
        <f>SUM(AB6:AB20)/15</f>
        <v>0.73283203615207249</v>
      </c>
      <c r="AC21" s="4">
        <f>SUM(AC6:AC20)/15</f>
        <v>0.60277777777777786</v>
      </c>
      <c r="AD21" s="4">
        <f>SUM(AD6:AD20)/15</f>
        <v>0.60238683406050231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540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546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55" t="s">
        <v>47</v>
      </c>
      <c r="D50" s="255" t="s">
        <v>48</v>
      </c>
      <c r="E50" s="255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55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462</v>
      </c>
      <c r="B51" s="506"/>
      <c r="C51" s="254" t="s">
        <v>503</v>
      </c>
      <c r="D51" s="251" t="s">
        <v>466</v>
      </c>
      <c r="E51" s="254" t="s">
        <v>449</v>
      </c>
      <c r="F51" s="487" t="s">
        <v>490</v>
      </c>
      <c r="G51" s="487"/>
      <c r="H51" s="487"/>
      <c r="I51" s="487"/>
      <c r="J51" s="487"/>
      <c r="K51" s="487"/>
      <c r="L51" s="487"/>
      <c r="M51" s="498"/>
      <c r="N51" s="250" t="s">
        <v>547</v>
      </c>
      <c r="O51" s="74" t="s">
        <v>548</v>
      </c>
      <c r="P51" s="503" t="s">
        <v>549</v>
      </c>
      <c r="Q51" s="504"/>
      <c r="R51" s="497"/>
      <c r="S51" s="497"/>
      <c r="T51" s="497"/>
      <c r="U51" s="497"/>
      <c r="V51" s="487" t="s">
        <v>550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502</v>
      </c>
      <c r="B52" s="506"/>
      <c r="C52" s="254" t="s">
        <v>465</v>
      </c>
      <c r="D52" s="251" t="s">
        <v>504</v>
      </c>
      <c r="E52" s="254" t="s">
        <v>537</v>
      </c>
      <c r="F52" s="487" t="s">
        <v>495</v>
      </c>
      <c r="G52" s="487"/>
      <c r="H52" s="487"/>
      <c r="I52" s="487"/>
      <c r="J52" s="487"/>
      <c r="K52" s="487"/>
      <c r="L52" s="487"/>
      <c r="M52" s="498"/>
      <c r="N52" s="250" t="s">
        <v>479</v>
      </c>
      <c r="O52" s="74" t="s">
        <v>551</v>
      </c>
      <c r="P52" s="503" t="s">
        <v>552</v>
      </c>
      <c r="Q52" s="504"/>
      <c r="R52" s="497" t="s">
        <v>553</v>
      </c>
      <c r="S52" s="497"/>
      <c r="T52" s="497"/>
      <c r="U52" s="497"/>
      <c r="V52" s="487" t="s">
        <v>554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497</v>
      </c>
      <c r="B53" s="506"/>
      <c r="C53" s="254" t="s">
        <v>498</v>
      </c>
      <c r="D53" s="251" t="s">
        <v>499</v>
      </c>
      <c r="E53" s="254" t="s">
        <v>500</v>
      </c>
      <c r="F53" s="487" t="s">
        <v>464</v>
      </c>
      <c r="G53" s="487"/>
      <c r="H53" s="487"/>
      <c r="I53" s="487"/>
      <c r="J53" s="487"/>
      <c r="K53" s="487"/>
      <c r="L53" s="487"/>
      <c r="M53" s="498"/>
      <c r="N53" s="250" t="s">
        <v>492</v>
      </c>
      <c r="O53" s="74" t="s">
        <v>493</v>
      </c>
      <c r="P53" s="503" t="s">
        <v>555</v>
      </c>
      <c r="Q53" s="504"/>
      <c r="R53" s="497"/>
      <c r="S53" s="497"/>
      <c r="T53" s="497"/>
      <c r="U53" s="497"/>
      <c r="V53" s="487" t="s">
        <v>464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462</v>
      </c>
      <c r="B54" s="506"/>
      <c r="C54" s="254" t="s">
        <v>471</v>
      </c>
      <c r="D54" s="251" t="s">
        <v>541</v>
      </c>
      <c r="E54" s="254" t="s">
        <v>542</v>
      </c>
      <c r="F54" s="487" t="s">
        <v>543</v>
      </c>
      <c r="G54" s="487"/>
      <c r="H54" s="487"/>
      <c r="I54" s="487"/>
      <c r="J54" s="487"/>
      <c r="K54" s="487"/>
      <c r="L54" s="487"/>
      <c r="M54" s="498"/>
      <c r="N54" s="250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462</v>
      </c>
      <c r="B55" s="506"/>
      <c r="C55" s="254" t="s">
        <v>474</v>
      </c>
      <c r="D55" s="251" t="s">
        <v>510</v>
      </c>
      <c r="E55" s="254" t="s">
        <v>544</v>
      </c>
      <c r="F55" s="487" t="s">
        <v>545</v>
      </c>
      <c r="G55" s="487"/>
      <c r="H55" s="487"/>
      <c r="I55" s="487"/>
      <c r="J55" s="487"/>
      <c r="K55" s="487"/>
      <c r="L55" s="487"/>
      <c r="M55" s="498"/>
      <c r="N55" s="250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 t="s">
        <v>479</v>
      </c>
      <c r="B56" s="497"/>
      <c r="C56" s="251" t="s">
        <v>506</v>
      </c>
      <c r="D56" s="251" t="s">
        <v>514</v>
      </c>
      <c r="E56" s="254" t="s">
        <v>539</v>
      </c>
      <c r="F56" s="487" t="s">
        <v>477</v>
      </c>
      <c r="G56" s="487"/>
      <c r="H56" s="487"/>
      <c r="I56" s="487"/>
      <c r="J56" s="487"/>
      <c r="K56" s="487"/>
      <c r="L56" s="487"/>
      <c r="M56" s="498"/>
      <c r="N56" s="250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51"/>
      <c r="D57" s="251"/>
      <c r="E57" s="254"/>
      <c r="F57" s="487"/>
      <c r="G57" s="487"/>
      <c r="H57" s="487"/>
      <c r="I57" s="487"/>
      <c r="J57" s="487"/>
      <c r="K57" s="487"/>
      <c r="L57" s="487"/>
      <c r="M57" s="498"/>
      <c r="N57" s="250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54"/>
      <c r="D58" s="251"/>
      <c r="E58" s="254"/>
      <c r="F58" s="487"/>
      <c r="G58" s="487"/>
      <c r="H58" s="487"/>
      <c r="I58" s="487"/>
      <c r="J58" s="487"/>
      <c r="K58" s="487"/>
      <c r="L58" s="487"/>
      <c r="M58" s="498"/>
      <c r="N58" s="250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51"/>
      <c r="D59" s="251"/>
      <c r="E59" s="251"/>
      <c r="F59" s="487"/>
      <c r="G59" s="487"/>
      <c r="H59" s="487"/>
      <c r="I59" s="487"/>
      <c r="J59" s="487"/>
      <c r="K59" s="487"/>
      <c r="L59" s="487"/>
      <c r="M59" s="498"/>
      <c r="N59" s="250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53"/>
      <c r="D60" s="253"/>
      <c r="E60" s="253"/>
      <c r="F60" s="501"/>
      <c r="G60" s="501"/>
      <c r="H60" s="501"/>
      <c r="I60" s="501"/>
      <c r="J60" s="501"/>
      <c r="K60" s="501"/>
      <c r="L60" s="501"/>
      <c r="M60" s="502"/>
      <c r="N60" s="252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556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49" t="s">
        <v>2</v>
      </c>
      <c r="D62" s="249" t="s">
        <v>38</v>
      </c>
      <c r="E62" s="249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49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48" t="s">
        <v>524</v>
      </c>
      <c r="D63" s="244"/>
      <c r="E63" s="246"/>
      <c r="F63" s="475" t="s">
        <v>525</v>
      </c>
      <c r="G63" s="475"/>
      <c r="H63" s="475"/>
      <c r="I63" s="475"/>
      <c r="J63" s="475"/>
      <c r="K63" s="475" t="s">
        <v>526</v>
      </c>
      <c r="L63" s="475"/>
      <c r="M63" s="54" t="s">
        <v>527</v>
      </c>
      <c r="N63" s="475">
        <v>12</v>
      </c>
      <c r="O63" s="475"/>
      <c r="P63" s="486">
        <v>3000</v>
      </c>
      <c r="Q63" s="486"/>
      <c r="R63" s="487" t="s">
        <v>557</v>
      </c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48" t="s">
        <v>462</v>
      </c>
      <c r="D64" s="244"/>
      <c r="E64" s="246" t="s">
        <v>558</v>
      </c>
      <c r="F64" s="485" t="s">
        <v>559</v>
      </c>
      <c r="G64" s="475"/>
      <c r="H64" s="475"/>
      <c r="I64" s="475"/>
      <c r="J64" s="475"/>
      <c r="K64" s="475" t="s">
        <v>560</v>
      </c>
      <c r="L64" s="475"/>
      <c r="M64" s="54" t="s">
        <v>513</v>
      </c>
      <c r="N64" s="475">
        <v>5</v>
      </c>
      <c r="O64" s="475"/>
      <c r="P64" s="486">
        <v>200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48" t="s">
        <v>502</v>
      </c>
      <c r="D65" s="244"/>
      <c r="E65" s="246" t="s">
        <v>561</v>
      </c>
      <c r="F65" s="485" t="s">
        <v>562</v>
      </c>
      <c r="G65" s="475"/>
      <c r="H65" s="475"/>
      <c r="I65" s="475"/>
      <c r="J65" s="475"/>
      <c r="K65" s="488">
        <v>7301</v>
      </c>
      <c r="L65" s="488"/>
      <c r="M65" s="54" t="s">
        <v>513</v>
      </c>
      <c r="N65" s="475">
        <v>7</v>
      </c>
      <c r="O65" s="475"/>
      <c r="P65" s="486" t="s">
        <v>563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48"/>
      <c r="D66" s="244"/>
      <c r="E66" s="246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48"/>
      <c r="D67" s="244"/>
      <c r="E67" s="246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48"/>
      <c r="D68" s="244"/>
      <c r="E68" s="246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48"/>
      <c r="D69" s="244"/>
      <c r="E69" s="246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48"/>
      <c r="D70" s="244"/>
      <c r="E70" s="246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564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47" t="s">
        <v>2</v>
      </c>
      <c r="D72" s="247" t="s">
        <v>38</v>
      </c>
      <c r="E72" s="247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45" t="s">
        <v>62</v>
      </c>
      <c r="D73" s="245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44" t="s">
        <v>128</v>
      </c>
      <c r="D74" s="244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9">A74+1</f>
        <v>3</v>
      </c>
      <c r="B75" s="447"/>
      <c r="C75" s="244" t="s">
        <v>62</v>
      </c>
      <c r="D75" s="244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9"/>
        <v>4</v>
      </c>
      <c r="B76" s="447"/>
      <c r="C76" s="244" t="s">
        <v>62</v>
      </c>
      <c r="D76" s="244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9"/>
        <v>5</v>
      </c>
      <c r="B77" s="447"/>
      <c r="C77" s="244" t="s">
        <v>62</v>
      </c>
      <c r="D77" s="244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9"/>
        <v>6</v>
      </c>
      <c r="B78" s="447"/>
      <c r="C78" s="244"/>
      <c r="D78" s="244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9"/>
        <v>7</v>
      </c>
      <c r="B79" s="447"/>
      <c r="C79" s="244"/>
      <c r="D79" s="244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9"/>
        <v>8</v>
      </c>
      <c r="B80" s="447"/>
      <c r="C80" s="244"/>
      <c r="D80" s="244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9"/>
        <v>9</v>
      </c>
      <c r="B81" s="447"/>
      <c r="C81" s="244"/>
      <c r="D81" s="244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565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15</v>
      </c>
      <c r="D84" s="448"/>
      <c r="E84" s="448" t="s">
        <v>390</v>
      </c>
      <c r="F84" s="448"/>
      <c r="G84" s="448"/>
      <c r="H84" s="448"/>
      <c r="I84" s="448"/>
      <c r="J84" s="448"/>
      <c r="K84" s="448" t="s">
        <v>392</v>
      </c>
      <c r="L84" s="448"/>
      <c r="M84" s="448"/>
      <c r="N84" s="448"/>
      <c r="O84" s="448"/>
      <c r="P84" s="448"/>
      <c r="Q84" s="448"/>
      <c r="R84" s="448"/>
      <c r="S84" s="448"/>
      <c r="T84" s="448" t="s">
        <v>566</v>
      </c>
      <c r="U84" s="448"/>
      <c r="V84" s="449">
        <v>750000</v>
      </c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3" zoomScale="72" zoomScaleNormal="72" zoomScaleSheetLayoutView="70" workbookViewId="0">
      <selection activeCell="A17" sqref="A17:XFD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567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500</v>
      </c>
      <c r="F6" s="12" t="s">
        <v>535</v>
      </c>
      <c r="G6" s="36">
        <v>1</v>
      </c>
      <c r="H6" s="38">
        <v>25</v>
      </c>
      <c r="I6" s="7">
        <v>10000</v>
      </c>
      <c r="J6" s="14">
        <v>5050</v>
      </c>
      <c r="K6" s="15">
        <f>L6+2669</f>
        <v>7713</v>
      </c>
      <c r="L6" s="15">
        <f>2585+2459</f>
        <v>5044</v>
      </c>
      <c r="M6" s="16">
        <f t="shared" ref="M6:M20" si="0">L6-N6</f>
        <v>5044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0.99881188118811881</v>
      </c>
      <c r="AC6" s="9">
        <f t="shared" ref="AC6:AC20" si="5">IF(P6=0,"0",(P6/24))</f>
        <v>1</v>
      </c>
      <c r="AD6" s="10">
        <f t="shared" ref="AD6:AD20" si="6">AC6*AB6*(1-O6)</f>
        <v>0.99881188118811881</v>
      </c>
      <c r="AE6" s="39">
        <f t="shared" ref="AE6:AE20" si="7">$AD$21</f>
        <v>0.62445579086198788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588</v>
      </c>
      <c r="F7" s="12">
        <v>7301</v>
      </c>
      <c r="G7" s="36">
        <v>1</v>
      </c>
      <c r="H7" s="38">
        <v>25</v>
      </c>
      <c r="I7" s="7">
        <v>120000</v>
      </c>
      <c r="J7" s="14">
        <v>9820</v>
      </c>
      <c r="K7" s="15">
        <f>L7+13888+20084+14448+20152+19952+19964</f>
        <v>118308</v>
      </c>
      <c r="L7" s="15">
        <f>2455*4</f>
        <v>9820</v>
      </c>
      <c r="M7" s="16">
        <f t="shared" si="0"/>
        <v>9820</v>
      </c>
      <c r="N7" s="16">
        <v>0</v>
      </c>
      <c r="O7" s="62">
        <f t="shared" si="1"/>
        <v>0</v>
      </c>
      <c r="P7" s="42">
        <f t="shared" si="2"/>
        <v>12</v>
      </c>
      <c r="Q7" s="43">
        <f t="shared" si="3"/>
        <v>12</v>
      </c>
      <c r="R7" s="7">
        <v>12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0.5</v>
      </c>
      <c r="AD7" s="10">
        <f t="shared" si="6"/>
        <v>0.5</v>
      </c>
      <c r="AE7" s="39">
        <f t="shared" si="7"/>
        <v>0.62445579086198788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80000</v>
      </c>
      <c r="J8" s="14">
        <v>11240</v>
      </c>
      <c r="K8" s="15">
        <f>L8+10208+11248+11216</f>
        <v>43912</v>
      </c>
      <c r="L8" s="15">
        <f>2890*2+2730*2</f>
        <v>11240</v>
      </c>
      <c r="M8" s="16">
        <f t="shared" si="0"/>
        <v>11240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0.62445579086198788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3410</v>
      </c>
      <c r="K9" s="15">
        <f>L9+746+1650+2301+3731+3690+4394+3188+1314+3904+4023+5051+3666+5026+4725+5164</f>
        <v>55976</v>
      </c>
      <c r="L9" s="15">
        <f>2538+865</f>
        <v>3403</v>
      </c>
      <c r="M9" s="16">
        <f t="shared" si="0"/>
        <v>3403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0.99794721407624631</v>
      </c>
      <c r="AC9" s="9">
        <f t="shared" si="5"/>
        <v>0.79166666666666663</v>
      </c>
      <c r="AD9" s="10">
        <f t="shared" si="6"/>
        <v>0.79004154447702835</v>
      </c>
      <c r="AE9" s="39">
        <f t="shared" si="7"/>
        <v>0.62445579086198788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449</v>
      </c>
      <c r="F10" s="12" t="s">
        <v>212</v>
      </c>
      <c r="G10" s="12">
        <v>1</v>
      </c>
      <c r="H10" s="13">
        <v>25</v>
      </c>
      <c r="I10" s="34">
        <v>120000</v>
      </c>
      <c r="J10" s="14">
        <v>10500</v>
      </c>
      <c r="K10" s="15">
        <f>L10+7510+8800+7448</f>
        <v>34256</v>
      </c>
      <c r="L10" s="15">
        <f>2704*2+2545*2</f>
        <v>10498</v>
      </c>
      <c r="M10" s="16">
        <f t="shared" si="0"/>
        <v>10498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0.99980952380952381</v>
      </c>
      <c r="AC10" s="9">
        <f t="shared" si="5"/>
        <v>1</v>
      </c>
      <c r="AD10" s="10">
        <f t="shared" si="6"/>
        <v>0.99980952380952381</v>
      </c>
      <c r="AE10" s="39">
        <f t="shared" si="7"/>
        <v>0.62445579086198788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536</v>
      </c>
      <c r="E11" s="57" t="s">
        <v>537</v>
      </c>
      <c r="F11" s="12" t="s">
        <v>538</v>
      </c>
      <c r="G11" s="12">
        <v>1</v>
      </c>
      <c r="H11" s="13">
        <v>25</v>
      </c>
      <c r="I11" s="34">
        <v>6500</v>
      </c>
      <c r="J11" s="14">
        <v>4840</v>
      </c>
      <c r="K11" s="15">
        <f>L11+2481</f>
        <v>7315</v>
      </c>
      <c r="L11" s="15">
        <f>2270+2564</f>
        <v>4834</v>
      </c>
      <c r="M11" s="16">
        <f t="shared" si="0"/>
        <v>4834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0.99876033057851243</v>
      </c>
      <c r="AC11" s="9">
        <f t="shared" si="5"/>
        <v>1</v>
      </c>
      <c r="AD11" s="10">
        <f t="shared" si="6"/>
        <v>0.99876033057851243</v>
      </c>
      <c r="AE11" s="39">
        <f t="shared" si="7"/>
        <v>0.62445579086198788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138</v>
      </c>
      <c r="E12" s="57" t="s">
        <v>184</v>
      </c>
      <c r="F12" s="12" t="s">
        <v>127</v>
      </c>
      <c r="G12" s="12">
        <v>1</v>
      </c>
      <c r="H12" s="13">
        <v>25</v>
      </c>
      <c r="I12" s="34">
        <v>250</v>
      </c>
      <c r="J12" s="5">
        <v>350</v>
      </c>
      <c r="K12" s="15">
        <f>L12+350</f>
        <v>350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0.62445579086198788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0.62445579086198788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568</v>
      </c>
      <c r="D14" s="55"/>
      <c r="E14" s="57" t="s">
        <v>569</v>
      </c>
      <c r="F14" s="33" t="s">
        <v>570</v>
      </c>
      <c r="G14" s="36">
        <v>2</v>
      </c>
      <c r="H14" s="38">
        <v>40</v>
      </c>
      <c r="I14" s="7">
        <v>2000</v>
      </c>
      <c r="J14" s="5">
        <v>2420</v>
      </c>
      <c r="K14" s="15">
        <f>L14</f>
        <v>2414</v>
      </c>
      <c r="L14" s="15">
        <f>572*2+635*2</f>
        <v>2414</v>
      </c>
      <c r="M14" s="16">
        <f t="shared" si="0"/>
        <v>2414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/>
      <c r="U14" s="17"/>
      <c r="V14" s="18"/>
      <c r="W14" s="19">
        <v>10</v>
      </c>
      <c r="X14" s="17"/>
      <c r="Y14" s="20"/>
      <c r="Z14" s="20"/>
      <c r="AA14" s="21"/>
      <c r="AB14" s="8">
        <f t="shared" si="4"/>
        <v>0.99752066115702476</v>
      </c>
      <c r="AC14" s="9">
        <f t="shared" si="5"/>
        <v>0.58333333333333337</v>
      </c>
      <c r="AD14" s="10">
        <f t="shared" si="6"/>
        <v>0.58188705234159777</v>
      </c>
      <c r="AE14" s="39">
        <f t="shared" si="7"/>
        <v>0.62445579086198788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76000</v>
      </c>
      <c r="J15" s="5">
        <v>10630</v>
      </c>
      <c r="K15" s="15">
        <f>L15+2068+5036+10624</f>
        <v>28344</v>
      </c>
      <c r="L15" s="15">
        <f>2720*2+2588*2</f>
        <v>10616</v>
      </c>
      <c r="M15" s="16">
        <f t="shared" si="0"/>
        <v>10616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0.99868297271872064</v>
      </c>
      <c r="AC15" s="9">
        <f t="shared" si="5"/>
        <v>1</v>
      </c>
      <c r="AD15" s="10">
        <f t="shared" si="6"/>
        <v>0.99868297271872064</v>
      </c>
      <c r="AE15" s="39">
        <f t="shared" si="7"/>
        <v>0.62445579086198788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445</v>
      </c>
      <c r="D16" s="55" t="s">
        <v>453</v>
      </c>
      <c r="E16" s="57" t="s">
        <v>454</v>
      </c>
      <c r="F16" s="12" t="s">
        <v>455</v>
      </c>
      <c r="G16" s="36">
        <v>2</v>
      </c>
      <c r="H16" s="38">
        <v>25</v>
      </c>
      <c r="I16" s="7">
        <v>80000</v>
      </c>
      <c r="J16" s="14">
        <v>9740</v>
      </c>
      <c r="K16" s="15">
        <f>L16+428+5928</f>
        <v>16088</v>
      </c>
      <c r="L16" s="15">
        <f>2483*2+2383*2</f>
        <v>9732</v>
      </c>
      <c r="M16" s="16">
        <f t="shared" si="0"/>
        <v>9732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0.99917864476386042</v>
      </c>
      <c r="AC16" s="9">
        <f t="shared" si="5"/>
        <v>1</v>
      </c>
      <c r="AD16" s="10">
        <f t="shared" si="6"/>
        <v>0.99917864476386042</v>
      </c>
      <c r="AE16" s="39">
        <f t="shared" si="7"/>
        <v>0.62445579086198788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571</v>
      </c>
      <c r="E17" s="56" t="s">
        <v>572</v>
      </c>
      <c r="F17" s="12">
        <v>8301</v>
      </c>
      <c r="G17" s="12">
        <v>1</v>
      </c>
      <c r="H17" s="13">
        <v>25</v>
      </c>
      <c r="I17" s="34">
        <v>18000</v>
      </c>
      <c r="J17" s="5">
        <v>870</v>
      </c>
      <c r="K17" s="15">
        <f>L17</f>
        <v>869</v>
      </c>
      <c r="L17" s="15">
        <f>759+110</f>
        <v>869</v>
      </c>
      <c r="M17" s="16">
        <f t="shared" si="0"/>
        <v>869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>
        <v>18</v>
      </c>
      <c r="W17" s="19"/>
      <c r="X17" s="17"/>
      <c r="Y17" s="20"/>
      <c r="Z17" s="20"/>
      <c r="AA17" s="21"/>
      <c r="AB17" s="8">
        <f t="shared" si="4"/>
        <v>0.99885057471264371</v>
      </c>
      <c r="AC17" s="9">
        <f t="shared" si="5"/>
        <v>0.25</v>
      </c>
      <c r="AD17" s="10">
        <f t="shared" si="6"/>
        <v>0.24971264367816093</v>
      </c>
      <c r="AE17" s="39">
        <f t="shared" si="7"/>
        <v>0.62445579086198788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507</v>
      </c>
      <c r="E18" s="57" t="s">
        <v>539</v>
      </c>
      <c r="F18" s="12" t="s">
        <v>520</v>
      </c>
      <c r="G18" s="12">
        <v>1</v>
      </c>
      <c r="H18" s="13">
        <v>25</v>
      </c>
      <c r="I18" s="34">
        <v>1000</v>
      </c>
      <c r="J18" s="5">
        <v>2360</v>
      </c>
      <c r="K18" s="15">
        <f>L18+2359</f>
        <v>2359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0.62445579086198788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120000</v>
      </c>
      <c r="J19" s="5">
        <v>2340</v>
      </c>
      <c r="K19" s="15">
        <f>L19+6264+10600+6250</f>
        <v>25454</v>
      </c>
      <c r="L19" s="15">
        <f>1170*2</f>
        <v>2340</v>
      </c>
      <c r="M19" s="16">
        <f t="shared" si="0"/>
        <v>2340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9">
        <f t="shared" si="7"/>
        <v>0.62445579086198788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573</v>
      </c>
      <c r="F20" s="12" t="s">
        <v>120</v>
      </c>
      <c r="G20" s="12">
        <v>4</v>
      </c>
      <c r="H20" s="38">
        <v>20</v>
      </c>
      <c r="I20" s="7">
        <v>200000</v>
      </c>
      <c r="J20" s="14">
        <v>38410</v>
      </c>
      <c r="K20" s="15">
        <f>L20</f>
        <v>38408</v>
      </c>
      <c r="L20" s="15">
        <f>5842*4+3760*4</f>
        <v>38408</v>
      </c>
      <c r="M20" s="16">
        <f t="shared" si="0"/>
        <v>38408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/>
      <c r="T20" s="17">
        <v>2</v>
      </c>
      <c r="U20" s="17"/>
      <c r="V20" s="18"/>
      <c r="W20" s="19"/>
      <c r="X20" s="17"/>
      <c r="Y20" s="20"/>
      <c r="Z20" s="20"/>
      <c r="AA20" s="21"/>
      <c r="AB20" s="8">
        <f t="shared" si="4"/>
        <v>0.99994793022650352</v>
      </c>
      <c r="AC20" s="9">
        <f t="shared" si="5"/>
        <v>0.91666666666666663</v>
      </c>
      <c r="AD20" s="10">
        <f t="shared" si="6"/>
        <v>0.91661893604096156</v>
      </c>
      <c r="AE20" s="39">
        <f t="shared" si="7"/>
        <v>0.62445579086198788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887050</v>
      </c>
      <c r="J21" s="22">
        <f t="shared" si="9"/>
        <v>112340</v>
      </c>
      <c r="K21" s="23">
        <f t="shared" si="9"/>
        <v>382125</v>
      </c>
      <c r="L21" s="24">
        <f t="shared" si="9"/>
        <v>109218</v>
      </c>
      <c r="M21" s="23">
        <f t="shared" si="9"/>
        <v>109218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225</v>
      </c>
      <c r="Q21" s="46">
        <f t="shared" si="10"/>
        <v>135</v>
      </c>
      <c r="R21" s="26">
        <f t="shared" si="10"/>
        <v>12</v>
      </c>
      <c r="S21" s="27">
        <f t="shared" si="10"/>
        <v>21</v>
      </c>
      <c r="T21" s="27">
        <f t="shared" si="10"/>
        <v>2</v>
      </c>
      <c r="U21" s="27">
        <f t="shared" si="10"/>
        <v>0</v>
      </c>
      <c r="V21" s="28">
        <f t="shared" si="10"/>
        <v>18</v>
      </c>
      <c r="W21" s="29">
        <f t="shared" si="10"/>
        <v>82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0.79930064888207708</v>
      </c>
      <c r="AC21" s="4">
        <f>SUM(AC6:AC20)/15</f>
        <v>0.625</v>
      </c>
      <c r="AD21" s="4">
        <f>SUM(AD6:AD20)/15</f>
        <v>0.62445579086198788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574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582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58" t="s">
        <v>47</v>
      </c>
      <c r="D50" s="258" t="s">
        <v>48</v>
      </c>
      <c r="E50" s="258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58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462</v>
      </c>
      <c r="B51" s="506"/>
      <c r="C51" s="259" t="s">
        <v>369</v>
      </c>
      <c r="D51" s="260" t="s">
        <v>331</v>
      </c>
      <c r="E51" s="259" t="s">
        <v>544</v>
      </c>
      <c r="F51" s="487" t="s">
        <v>575</v>
      </c>
      <c r="G51" s="487"/>
      <c r="H51" s="487"/>
      <c r="I51" s="487"/>
      <c r="J51" s="487"/>
      <c r="K51" s="487"/>
      <c r="L51" s="487"/>
      <c r="M51" s="498"/>
      <c r="N51" s="261" t="s">
        <v>590</v>
      </c>
      <c r="O51" s="74" t="s">
        <v>586</v>
      </c>
      <c r="P51" s="503" t="s">
        <v>591</v>
      </c>
      <c r="Q51" s="504"/>
      <c r="R51" s="497" t="s">
        <v>592</v>
      </c>
      <c r="S51" s="497"/>
      <c r="T51" s="497"/>
      <c r="U51" s="497"/>
      <c r="V51" s="487" t="s">
        <v>593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568</v>
      </c>
      <c r="B52" s="506"/>
      <c r="C52" s="259" t="s">
        <v>576</v>
      </c>
      <c r="D52" s="260"/>
      <c r="E52" s="259" t="s">
        <v>577</v>
      </c>
      <c r="F52" s="487" t="s">
        <v>578</v>
      </c>
      <c r="G52" s="487"/>
      <c r="H52" s="487"/>
      <c r="I52" s="487"/>
      <c r="J52" s="487"/>
      <c r="K52" s="487"/>
      <c r="L52" s="487"/>
      <c r="M52" s="498"/>
      <c r="N52" s="261" t="s">
        <v>595</v>
      </c>
      <c r="O52" s="74" t="s">
        <v>596</v>
      </c>
      <c r="P52" s="503" t="s">
        <v>597</v>
      </c>
      <c r="Q52" s="504"/>
      <c r="R52" s="497" t="s">
        <v>594</v>
      </c>
      <c r="S52" s="497"/>
      <c r="T52" s="497"/>
      <c r="U52" s="497"/>
      <c r="V52" s="487" t="s">
        <v>578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579</v>
      </c>
      <c r="B53" s="506"/>
      <c r="C53" s="259" t="s">
        <v>140</v>
      </c>
      <c r="D53" s="260" t="s">
        <v>331</v>
      </c>
      <c r="E53" s="259" t="s">
        <v>580</v>
      </c>
      <c r="F53" s="487" t="s">
        <v>581</v>
      </c>
      <c r="G53" s="487"/>
      <c r="H53" s="487"/>
      <c r="I53" s="487"/>
      <c r="J53" s="487"/>
      <c r="K53" s="487"/>
      <c r="L53" s="487"/>
      <c r="M53" s="498"/>
      <c r="N53" s="261" t="s">
        <v>579</v>
      </c>
      <c r="O53" s="74" t="s">
        <v>599</v>
      </c>
      <c r="P53" s="503" t="s">
        <v>600</v>
      </c>
      <c r="Q53" s="504"/>
      <c r="R53" s="497" t="s">
        <v>598</v>
      </c>
      <c r="S53" s="497"/>
      <c r="T53" s="497"/>
      <c r="U53" s="497"/>
      <c r="V53" s="487" t="s">
        <v>195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583</v>
      </c>
      <c r="B54" s="506"/>
      <c r="C54" s="259" t="s">
        <v>584</v>
      </c>
      <c r="D54" s="260" t="s">
        <v>573</v>
      </c>
      <c r="E54" s="259"/>
      <c r="F54" s="487" t="s">
        <v>195</v>
      </c>
      <c r="G54" s="487"/>
      <c r="H54" s="487"/>
      <c r="I54" s="487"/>
      <c r="J54" s="487"/>
      <c r="K54" s="487"/>
      <c r="L54" s="487"/>
      <c r="M54" s="498"/>
      <c r="N54" s="261" t="s">
        <v>602</v>
      </c>
      <c r="O54" s="74" t="s">
        <v>603</v>
      </c>
      <c r="P54" s="503" t="s">
        <v>604</v>
      </c>
      <c r="Q54" s="504"/>
      <c r="R54" s="497" t="s">
        <v>601</v>
      </c>
      <c r="S54" s="497"/>
      <c r="T54" s="497"/>
      <c r="U54" s="497"/>
      <c r="V54" s="487" t="s">
        <v>581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585</v>
      </c>
      <c r="B55" s="506"/>
      <c r="C55" s="259" t="s">
        <v>586</v>
      </c>
      <c r="D55" s="260" t="s">
        <v>587</v>
      </c>
      <c r="E55" s="259" t="s">
        <v>301</v>
      </c>
      <c r="F55" s="487" t="s">
        <v>589</v>
      </c>
      <c r="G55" s="487"/>
      <c r="H55" s="487"/>
      <c r="I55" s="487"/>
      <c r="J55" s="487"/>
      <c r="K55" s="487"/>
      <c r="L55" s="487"/>
      <c r="M55" s="498"/>
      <c r="N55" s="261" t="s">
        <v>328</v>
      </c>
      <c r="O55" s="74" t="s">
        <v>605</v>
      </c>
      <c r="P55" s="503" t="s">
        <v>331</v>
      </c>
      <c r="Q55" s="504"/>
      <c r="R55" s="497" t="s">
        <v>544</v>
      </c>
      <c r="S55" s="497"/>
      <c r="T55" s="497"/>
      <c r="U55" s="497"/>
      <c r="V55" s="487" t="s">
        <v>606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60"/>
      <c r="D56" s="260"/>
      <c r="E56" s="259"/>
      <c r="F56" s="487"/>
      <c r="G56" s="487"/>
      <c r="H56" s="487"/>
      <c r="I56" s="487"/>
      <c r="J56" s="487"/>
      <c r="K56" s="487"/>
      <c r="L56" s="487"/>
      <c r="M56" s="498"/>
      <c r="N56" s="261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60"/>
      <c r="D57" s="260"/>
      <c r="E57" s="259"/>
      <c r="F57" s="487"/>
      <c r="G57" s="487"/>
      <c r="H57" s="487"/>
      <c r="I57" s="487"/>
      <c r="J57" s="487"/>
      <c r="K57" s="487"/>
      <c r="L57" s="487"/>
      <c r="M57" s="498"/>
      <c r="N57" s="261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59"/>
      <c r="D58" s="260"/>
      <c r="E58" s="259"/>
      <c r="F58" s="487"/>
      <c r="G58" s="487"/>
      <c r="H58" s="487"/>
      <c r="I58" s="487"/>
      <c r="J58" s="487"/>
      <c r="K58" s="487"/>
      <c r="L58" s="487"/>
      <c r="M58" s="498"/>
      <c r="N58" s="261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60"/>
      <c r="D59" s="260"/>
      <c r="E59" s="260"/>
      <c r="F59" s="487"/>
      <c r="G59" s="487"/>
      <c r="H59" s="487"/>
      <c r="I59" s="487"/>
      <c r="J59" s="487"/>
      <c r="K59" s="487"/>
      <c r="L59" s="487"/>
      <c r="M59" s="498"/>
      <c r="N59" s="261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63"/>
      <c r="D60" s="263"/>
      <c r="E60" s="263"/>
      <c r="F60" s="501"/>
      <c r="G60" s="501"/>
      <c r="H60" s="501"/>
      <c r="I60" s="501"/>
      <c r="J60" s="501"/>
      <c r="K60" s="501"/>
      <c r="L60" s="501"/>
      <c r="M60" s="502"/>
      <c r="N60" s="262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607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64" t="s">
        <v>2</v>
      </c>
      <c r="D62" s="264" t="s">
        <v>38</v>
      </c>
      <c r="E62" s="264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64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66" t="s">
        <v>595</v>
      </c>
      <c r="D63" s="268"/>
      <c r="E63" s="265" t="s">
        <v>608</v>
      </c>
      <c r="F63" s="475" t="s">
        <v>609</v>
      </c>
      <c r="G63" s="475"/>
      <c r="H63" s="475"/>
      <c r="I63" s="475"/>
      <c r="J63" s="475"/>
      <c r="K63" s="475" t="s">
        <v>610</v>
      </c>
      <c r="L63" s="475"/>
      <c r="M63" s="54" t="s">
        <v>611</v>
      </c>
      <c r="N63" s="475">
        <v>7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</row>
    <row r="64" spans="1:32" ht="25.5" customHeight="1">
      <c r="A64" s="483">
        <v>2</v>
      </c>
      <c r="B64" s="484"/>
      <c r="C64" s="266" t="s">
        <v>579</v>
      </c>
      <c r="D64" s="268"/>
      <c r="E64" s="265" t="s">
        <v>600</v>
      </c>
      <c r="F64" s="485" t="s">
        <v>614</v>
      </c>
      <c r="G64" s="475"/>
      <c r="H64" s="475"/>
      <c r="I64" s="475"/>
      <c r="J64" s="475"/>
      <c r="K64" s="475" t="s">
        <v>615</v>
      </c>
      <c r="L64" s="475"/>
      <c r="M64" s="54" t="s">
        <v>611</v>
      </c>
      <c r="N64" s="475">
        <v>13</v>
      </c>
      <c r="O64" s="47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66" t="s">
        <v>122</v>
      </c>
      <c r="D65" s="268"/>
      <c r="E65" s="265" t="s">
        <v>612</v>
      </c>
      <c r="F65" s="485" t="s">
        <v>616</v>
      </c>
      <c r="G65" s="475"/>
      <c r="H65" s="475"/>
      <c r="I65" s="475"/>
      <c r="J65" s="475"/>
      <c r="K65" s="488" t="s">
        <v>617</v>
      </c>
      <c r="L65" s="488"/>
      <c r="M65" s="54" t="s">
        <v>611</v>
      </c>
      <c r="N65" s="475">
        <v>7</v>
      </c>
      <c r="O65" s="47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66" t="s">
        <v>122</v>
      </c>
      <c r="D66" s="268"/>
      <c r="E66" s="265" t="s">
        <v>613</v>
      </c>
      <c r="F66" s="475" t="s">
        <v>618</v>
      </c>
      <c r="G66" s="475"/>
      <c r="H66" s="475"/>
      <c r="I66" s="475"/>
      <c r="J66" s="475"/>
      <c r="K66" s="475" t="s">
        <v>619</v>
      </c>
      <c r="L66" s="475"/>
      <c r="M66" s="54" t="s">
        <v>611</v>
      </c>
      <c r="N66" s="475">
        <v>7</v>
      </c>
      <c r="O66" s="47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66"/>
      <c r="D67" s="268"/>
      <c r="E67" s="26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66"/>
      <c r="D68" s="268"/>
      <c r="E68" s="265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66"/>
      <c r="D69" s="268"/>
      <c r="E69" s="26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66"/>
      <c r="D70" s="268"/>
      <c r="E70" s="26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620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67" t="s">
        <v>2</v>
      </c>
      <c r="D72" s="267" t="s">
        <v>38</v>
      </c>
      <c r="E72" s="267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69" t="s">
        <v>62</v>
      </c>
      <c r="D73" s="269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68" t="s">
        <v>128</v>
      </c>
      <c r="D74" s="268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68" t="s">
        <v>62</v>
      </c>
      <c r="D75" s="268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68" t="s">
        <v>62</v>
      </c>
      <c r="D76" s="268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68" t="s">
        <v>62</v>
      </c>
      <c r="D77" s="268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68"/>
      <c r="D78" s="268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68"/>
      <c r="D79" s="268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68"/>
      <c r="D80" s="268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68"/>
      <c r="D81" s="268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621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I8" sqref="I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622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500</v>
      </c>
      <c r="F6" s="12" t="s">
        <v>535</v>
      </c>
      <c r="G6" s="36">
        <v>1</v>
      </c>
      <c r="H6" s="38">
        <v>25</v>
      </c>
      <c r="I6" s="7">
        <v>10000</v>
      </c>
      <c r="J6" s="14">
        <v>5080</v>
      </c>
      <c r="K6" s="15">
        <f>L6+2669+5044</f>
        <v>12789</v>
      </c>
      <c r="L6" s="15">
        <f>2460+2616</f>
        <v>5076</v>
      </c>
      <c r="M6" s="16">
        <f t="shared" ref="M6:M20" si="0">L6-N6</f>
        <v>5076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0.99921259842519683</v>
      </c>
      <c r="AC6" s="9">
        <f t="shared" ref="AC6:AC20" si="5">IF(P6=0,"0",(P6/24))</f>
        <v>1</v>
      </c>
      <c r="AD6" s="10">
        <f t="shared" ref="AD6:AD20" si="6">AC6*AB6*(1-O6)</f>
        <v>0.99921259842519683</v>
      </c>
      <c r="AE6" s="39">
        <f t="shared" ref="AE6:AE20" si="7">$AD$21</f>
        <v>0.53821785289988122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588</v>
      </c>
      <c r="F7" s="12">
        <v>7301</v>
      </c>
      <c r="G7" s="36">
        <v>1</v>
      </c>
      <c r="H7" s="38">
        <v>25</v>
      </c>
      <c r="I7" s="7">
        <v>120000</v>
      </c>
      <c r="J7" s="14">
        <v>9820</v>
      </c>
      <c r="K7" s="15">
        <f>L7+13888+20084+14448+20152+19952+19964+9820</f>
        <v>118308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0.53821785289988122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50000</v>
      </c>
      <c r="J8" s="14">
        <v>11150</v>
      </c>
      <c r="K8" s="15">
        <f>L8+10208+11248+11216+11240</f>
        <v>55054</v>
      </c>
      <c r="L8" s="15">
        <f>2688*2+2883*2</f>
        <v>11142</v>
      </c>
      <c r="M8" s="16">
        <f t="shared" si="0"/>
        <v>11142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0.99928251121076228</v>
      </c>
      <c r="AC8" s="9">
        <f t="shared" si="5"/>
        <v>1</v>
      </c>
      <c r="AD8" s="10">
        <f t="shared" si="6"/>
        <v>0.99928251121076228</v>
      </c>
      <c r="AE8" s="39">
        <f t="shared" si="7"/>
        <v>0.53821785289988122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4680</v>
      </c>
      <c r="K9" s="15">
        <f>L9+746+1650+2301+3731+3690+4394+3188+1314+3904+4023+5051+3666+5026+4725+5164+3403</f>
        <v>60653</v>
      </c>
      <c r="L9" s="15">
        <f>2377+2300</f>
        <v>4677</v>
      </c>
      <c r="M9" s="16">
        <f t="shared" si="0"/>
        <v>4677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0.99935897435897436</v>
      </c>
      <c r="AC9" s="9">
        <f t="shared" si="5"/>
        <v>1</v>
      </c>
      <c r="AD9" s="10">
        <f t="shared" si="6"/>
        <v>0.99935897435897436</v>
      </c>
      <c r="AE9" s="39">
        <f t="shared" si="7"/>
        <v>0.53821785289988122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449</v>
      </c>
      <c r="F10" s="12" t="s">
        <v>212</v>
      </c>
      <c r="G10" s="12">
        <v>1</v>
      </c>
      <c r="H10" s="13">
        <v>25</v>
      </c>
      <c r="I10" s="34">
        <v>100000</v>
      </c>
      <c r="J10" s="14">
        <v>7300</v>
      </c>
      <c r="K10" s="15">
        <f>L10+7510+8800+7448+10498</f>
        <v>41556</v>
      </c>
      <c r="L10" s="15">
        <f>934*2+2716*2</f>
        <v>7300</v>
      </c>
      <c r="M10" s="16">
        <f t="shared" si="0"/>
        <v>7300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9">
        <f t="shared" si="7"/>
        <v>0.53821785289988122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536</v>
      </c>
      <c r="E11" s="57" t="s">
        <v>537</v>
      </c>
      <c r="F11" s="12" t="s">
        <v>538</v>
      </c>
      <c r="G11" s="12">
        <v>1</v>
      </c>
      <c r="H11" s="13">
        <v>25</v>
      </c>
      <c r="I11" s="34">
        <v>6500</v>
      </c>
      <c r="J11" s="14">
        <v>1960</v>
      </c>
      <c r="K11" s="15">
        <f>L11+2481+4834</f>
        <v>9267</v>
      </c>
      <c r="L11" s="15">
        <f>397+1555</f>
        <v>1952</v>
      </c>
      <c r="M11" s="16">
        <f t="shared" si="0"/>
        <v>1952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14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0.99591836734693873</v>
      </c>
      <c r="AC11" s="9">
        <f t="shared" si="5"/>
        <v>0.41666666666666669</v>
      </c>
      <c r="AD11" s="10">
        <f t="shared" si="6"/>
        <v>0.41496598639455784</v>
      </c>
      <c r="AE11" s="39">
        <f t="shared" si="7"/>
        <v>0.53821785289988122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497</v>
      </c>
      <c r="D12" s="55" t="s">
        <v>604</v>
      </c>
      <c r="E12" s="57" t="s">
        <v>623</v>
      </c>
      <c r="F12" s="12" t="s">
        <v>127</v>
      </c>
      <c r="G12" s="12">
        <v>1</v>
      </c>
      <c r="H12" s="13">
        <v>25</v>
      </c>
      <c r="I12" s="34">
        <v>17000</v>
      </c>
      <c r="J12" s="5">
        <v>350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0.53821785289988122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145</v>
      </c>
      <c r="D13" s="55"/>
      <c r="E13" s="57" t="s">
        <v>266</v>
      </c>
      <c r="F13" s="12" t="s">
        <v>130</v>
      </c>
      <c r="G13" s="12" t="s">
        <v>171</v>
      </c>
      <c r="H13" s="13">
        <v>25</v>
      </c>
      <c r="I13" s="7">
        <v>300</v>
      </c>
      <c r="J13" s="14">
        <v>360</v>
      </c>
      <c r="K13" s="15">
        <f>L13+359</f>
        <v>359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0.53821785289988122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600</v>
      </c>
      <c r="E14" s="57" t="s">
        <v>624</v>
      </c>
      <c r="F14" s="33" t="s">
        <v>625</v>
      </c>
      <c r="G14" s="36">
        <v>1</v>
      </c>
      <c r="H14" s="38">
        <v>50</v>
      </c>
      <c r="I14" s="7">
        <v>200</v>
      </c>
      <c r="J14" s="5">
        <v>245</v>
      </c>
      <c r="K14" s="15">
        <f>L14</f>
        <v>245</v>
      </c>
      <c r="L14" s="15">
        <v>245</v>
      </c>
      <c r="M14" s="16">
        <f t="shared" si="0"/>
        <v>245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0.53821785289988122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50000</v>
      </c>
      <c r="J15" s="5">
        <v>8310</v>
      </c>
      <c r="K15" s="15">
        <f>L15+2068+5036+10624+10616</f>
        <v>36648</v>
      </c>
      <c r="L15" s="15">
        <f>2818*2+1334*2</f>
        <v>8304</v>
      </c>
      <c r="M15" s="16">
        <f t="shared" si="0"/>
        <v>8304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>
        <v>3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0.99927797833935017</v>
      </c>
      <c r="AC15" s="9">
        <f t="shared" si="5"/>
        <v>0.875</v>
      </c>
      <c r="AD15" s="10">
        <f t="shared" si="6"/>
        <v>0.8743682310469314</v>
      </c>
      <c r="AE15" s="39">
        <f t="shared" si="7"/>
        <v>0.53821785289988122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445</v>
      </c>
      <c r="D16" s="55" t="s">
        <v>453</v>
      </c>
      <c r="E16" s="57" t="s">
        <v>454</v>
      </c>
      <c r="F16" s="12" t="s">
        <v>455</v>
      </c>
      <c r="G16" s="36">
        <v>2</v>
      </c>
      <c r="H16" s="38">
        <v>25</v>
      </c>
      <c r="I16" s="7">
        <v>50000</v>
      </c>
      <c r="J16" s="14">
        <v>7000</v>
      </c>
      <c r="K16" s="15">
        <f>L16+428+5928+9732</f>
        <v>23054</v>
      </c>
      <c r="L16" s="15">
        <f>891*2+2592*2</f>
        <v>6966</v>
      </c>
      <c r="M16" s="16">
        <f t="shared" si="0"/>
        <v>6966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0.99514285714285711</v>
      </c>
      <c r="AC16" s="9">
        <f t="shared" si="5"/>
        <v>0.79166666666666663</v>
      </c>
      <c r="AD16" s="10">
        <f t="shared" si="6"/>
        <v>0.78782142857142856</v>
      </c>
      <c r="AE16" s="39">
        <f t="shared" si="7"/>
        <v>0.53821785289988122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571</v>
      </c>
      <c r="E17" s="56" t="s">
        <v>626</v>
      </c>
      <c r="F17" s="12">
        <v>8301</v>
      </c>
      <c r="G17" s="12">
        <v>1</v>
      </c>
      <c r="H17" s="13">
        <v>25</v>
      </c>
      <c r="I17" s="34">
        <v>500</v>
      </c>
      <c r="J17" s="5">
        <v>1520</v>
      </c>
      <c r="K17" s="15">
        <f>L17</f>
        <v>1514</v>
      </c>
      <c r="L17" s="15">
        <f>1514</f>
        <v>1514</v>
      </c>
      <c r="M17" s="16">
        <f t="shared" si="0"/>
        <v>1514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/>
      <c r="T17" s="17"/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0.99605263157894741</v>
      </c>
      <c r="AC17" s="9">
        <f t="shared" si="5"/>
        <v>0.375</v>
      </c>
      <c r="AD17" s="10">
        <f t="shared" si="6"/>
        <v>0.37351973684210527</v>
      </c>
      <c r="AE17" s="39">
        <f t="shared" si="7"/>
        <v>0.53821785289988122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507</v>
      </c>
      <c r="E18" s="57" t="s">
        <v>539</v>
      </c>
      <c r="F18" s="12" t="s">
        <v>520</v>
      </c>
      <c r="G18" s="12">
        <v>1</v>
      </c>
      <c r="H18" s="13">
        <v>25</v>
      </c>
      <c r="I18" s="34">
        <v>1000</v>
      </c>
      <c r="J18" s="5">
        <v>2360</v>
      </c>
      <c r="K18" s="15">
        <f>L18+2359</f>
        <v>2359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0.53821785289988122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100000</v>
      </c>
      <c r="J19" s="5">
        <v>4020</v>
      </c>
      <c r="K19" s="15">
        <f>L19+6264+10600+6250+2340</f>
        <v>29473</v>
      </c>
      <c r="L19" s="15">
        <f>1800*2+419</f>
        <v>4019</v>
      </c>
      <c r="M19" s="16">
        <f t="shared" si="0"/>
        <v>4019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>
        <v>11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0.99975124378109448</v>
      </c>
      <c r="AC19" s="9">
        <f t="shared" si="5"/>
        <v>0.54166666666666663</v>
      </c>
      <c r="AD19" s="10">
        <f t="shared" si="6"/>
        <v>0.54153192371475944</v>
      </c>
      <c r="AE19" s="39">
        <f t="shared" si="7"/>
        <v>0.53821785289988122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573</v>
      </c>
      <c r="F20" s="12" t="s">
        <v>120</v>
      </c>
      <c r="G20" s="12">
        <v>4</v>
      </c>
      <c r="H20" s="38">
        <v>20</v>
      </c>
      <c r="I20" s="7">
        <v>200000</v>
      </c>
      <c r="J20" s="14">
        <v>47270</v>
      </c>
      <c r="K20" s="15">
        <f>L20+38408</f>
        <v>85672</v>
      </c>
      <c r="L20" s="15">
        <f>5610*4+6206*4</f>
        <v>47264</v>
      </c>
      <c r="M20" s="16">
        <f t="shared" si="0"/>
        <v>47264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0.9998730696001692</v>
      </c>
      <c r="AC20" s="9">
        <f t="shared" si="5"/>
        <v>1</v>
      </c>
      <c r="AD20" s="10">
        <f t="shared" si="6"/>
        <v>0.9998730696001692</v>
      </c>
      <c r="AE20" s="39">
        <f t="shared" si="7"/>
        <v>0.53821785289988122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9">SUM(I6:I20)</f>
        <v>758500</v>
      </c>
      <c r="J21" s="22">
        <f t="shared" si="9"/>
        <v>111425</v>
      </c>
      <c r="K21" s="23">
        <f t="shared" si="9"/>
        <v>476951</v>
      </c>
      <c r="L21" s="24">
        <f t="shared" si="9"/>
        <v>98459</v>
      </c>
      <c r="M21" s="23">
        <f t="shared" si="9"/>
        <v>98459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194</v>
      </c>
      <c r="Q21" s="46">
        <f t="shared" si="10"/>
        <v>166</v>
      </c>
      <c r="R21" s="26">
        <f t="shared" si="10"/>
        <v>24</v>
      </c>
      <c r="S21" s="27">
        <f t="shared" si="10"/>
        <v>61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81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0.73225801545228608</v>
      </c>
      <c r="AC21" s="4">
        <f>SUM(AC6:AC20)/15</f>
        <v>0.53888888888888897</v>
      </c>
      <c r="AD21" s="4">
        <f>SUM(AD6:AD20)/15</f>
        <v>0.53821785289988122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627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639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58" t="s">
        <v>47</v>
      </c>
      <c r="D50" s="258" t="s">
        <v>48</v>
      </c>
      <c r="E50" s="258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58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462</v>
      </c>
      <c r="B51" s="506"/>
      <c r="C51" s="259" t="s">
        <v>369</v>
      </c>
      <c r="D51" s="260" t="s">
        <v>331</v>
      </c>
      <c r="E51" s="259" t="s">
        <v>544</v>
      </c>
      <c r="F51" s="487" t="s">
        <v>628</v>
      </c>
      <c r="G51" s="487"/>
      <c r="H51" s="487"/>
      <c r="I51" s="487"/>
      <c r="J51" s="487"/>
      <c r="K51" s="487"/>
      <c r="L51" s="487"/>
      <c r="M51" s="498"/>
      <c r="N51" s="261" t="s">
        <v>590</v>
      </c>
      <c r="O51" s="74" t="s">
        <v>586</v>
      </c>
      <c r="P51" s="503" t="s">
        <v>591</v>
      </c>
      <c r="Q51" s="504"/>
      <c r="R51" s="497" t="s">
        <v>592</v>
      </c>
      <c r="S51" s="497"/>
      <c r="T51" s="497"/>
      <c r="U51" s="497"/>
      <c r="V51" s="487" t="s">
        <v>593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629</v>
      </c>
      <c r="B52" s="506"/>
      <c r="C52" s="259" t="s">
        <v>576</v>
      </c>
      <c r="D52" s="260" t="s">
        <v>331</v>
      </c>
      <c r="E52" s="259" t="s">
        <v>630</v>
      </c>
      <c r="F52" s="487" t="s">
        <v>578</v>
      </c>
      <c r="G52" s="487"/>
      <c r="H52" s="487"/>
      <c r="I52" s="487"/>
      <c r="J52" s="487"/>
      <c r="K52" s="487"/>
      <c r="L52" s="487"/>
      <c r="M52" s="498"/>
      <c r="N52" s="261" t="s">
        <v>595</v>
      </c>
      <c r="O52" s="74" t="s">
        <v>596</v>
      </c>
      <c r="P52" s="503" t="s">
        <v>597</v>
      </c>
      <c r="Q52" s="504"/>
      <c r="R52" s="497" t="s">
        <v>594</v>
      </c>
      <c r="S52" s="497"/>
      <c r="T52" s="497"/>
      <c r="U52" s="497"/>
      <c r="V52" s="487" t="s">
        <v>640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595</v>
      </c>
      <c r="B53" s="506"/>
      <c r="C53" s="259" t="s">
        <v>596</v>
      </c>
      <c r="D53" s="260" t="s">
        <v>597</v>
      </c>
      <c r="E53" s="259" t="s">
        <v>623</v>
      </c>
      <c r="F53" s="487" t="s">
        <v>631</v>
      </c>
      <c r="G53" s="487"/>
      <c r="H53" s="487"/>
      <c r="I53" s="487"/>
      <c r="J53" s="487"/>
      <c r="K53" s="487"/>
      <c r="L53" s="487"/>
      <c r="M53" s="498"/>
      <c r="N53" s="261" t="s">
        <v>602</v>
      </c>
      <c r="O53" s="74" t="s">
        <v>605</v>
      </c>
      <c r="P53" s="503" t="s">
        <v>600</v>
      </c>
      <c r="Q53" s="504"/>
      <c r="R53" s="497" t="s">
        <v>633</v>
      </c>
      <c r="S53" s="497"/>
      <c r="T53" s="497"/>
      <c r="U53" s="497"/>
      <c r="V53" s="487" t="s">
        <v>477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328</v>
      </c>
      <c r="B54" s="506"/>
      <c r="C54" s="259" t="s">
        <v>632</v>
      </c>
      <c r="D54" s="260" t="s">
        <v>604</v>
      </c>
      <c r="E54" s="259" t="s">
        <v>634</v>
      </c>
      <c r="F54" s="487" t="s">
        <v>581</v>
      </c>
      <c r="G54" s="487"/>
      <c r="H54" s="487"/>
      <c r="I54" s="487"/>
      <c r="J54" s="487"/>
      <c r="K54" s="487"/>
      <c r="L54" s="487"/>
      <c r="M54" s="498"/>
      <c r="N54" s="261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328</v>
      </c>
      <c r="B55" s="506"/>
      <c r="C55" s="259" t="s">
        <v>635</v>
      </c>
      <c r="D55" s="260" t="s">
        <v>636</v>
      </c>
      <c r="E55" s="259" t="s">
        <v>637</v>
      </c>
      <c r="F55" s="487" t="s">
        <v>638</v>
      </c>
      <c r="G55" s="487"/>
      <c r="H55" s="487"/>
      <c r="I55" s="487"/>
      <c r="J55" s="487"/>
      <c r="K55" s="487"/>
      <c r="L55" s="487"/>
      <c r="M55" s="498"/>
      <c r="N55" s="261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60"/>
      <c r="D56" s="260"/>
      <c r="E56" s="259"/>
      <c r="F56" s="487"/>
      <c r="G56" s="487"/>
      <c r="H56" s="487"/>
      <c r="I56" s="487"/>
      <c r="J56" s="487"/>
      <c r="K56" s="487"/>
      <c r="L56" s="487"/>
      <c r="M56" s="498"/>
      <c r="N56" s="261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60"/>
      <c r="D57" s="260"/>
      <c r="E57" s="259"/>
      <c r="F57" s="487"/>
      <c r="G57" s="487"/>
      <c r="H57" s="487"/>
      <c r="I57" s="487"/>
      <c r="J57" s="487"/>
      <c r="K57" s="487"/>
      <c r="L57" s="487"/>
      <c r="M57" s="498"/>
      <c r="N57" s="261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59"/>
      <c r="D58" s="260"/>
      <c r="E58" s="259"/>
      <c r="F58" s="487"/>
      <c r="G58" s="487"/>
      <c r="H58" s="487"/>
      <c r="I58" s="487"/>
      <c r="J58" s="487"/>
      <c r="K58" s="487"/>
      <c r="L58" s="487"/>
      <c r="M58" s="498"/>
      <c r="N58" s="261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60"/>
      <c r="D59" s="260"/>
      <c r="E59" s="260"/>
      <c r="F59" s="487"/>
      <c r="G59" s="487"/>
      <c r="H59" s="487"/>
      <c r="I59" s="487"/>
      <c r="J59" s="487"/>
      <c r="K59" s="487"/>
      <c r="L59" s="487"/>
      <c r="M59" s="498"/>
      <c r="N59" s="261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263"/>
      <c r="D60" s="263"/>
      <c r="E60" s="263"/>
      <c r="F60" s="501"/>
      <c r="G60" s="501"/>
      <c r="H60" s="501"/>
      <c r="I60" s="501"/>
      <c r="J60" s="501"/>
      <c r="K60" s="501"/>
      <c r="L60" s="501"/>
      <c r="M60" s="502"/>
      <c r="N60" s="262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641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264" t="s">
        <v>2</v>
      </c>
      <c r="D62" s="264" t="s">
        <v>38</v>
      </c>
      <c r="E62" s="264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264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266" t="s">
        <v>462</v>
      </c>
      <c r="D63" s="268"/>
      <c r="E63" s="265"/>
      <c r="F63" s="485" t="s">
        <v>529</v>
      </c>
      <c r="G63" s="475"/>
      <c r="H63" s="475"/>
      <c r="I63" s="475"/>
      <c r="J63" s="475"/>
      <c r="K63" s="475" t="s">
        <v>530</v>
      </c>
      <c r="L63" s="475"/>
      <c r="M63" s="54" t="s">
        <v>521</v>
      </c>
      <c r="N63" s="475">
        <v>8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266"/>
      <c r="D64" s="268"/>
      <c r="E64" s="265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266"/>
      <c r="D65" s="268"/>
      <c r="E65" s="265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266"/>
      <c r="D66" s="268"/>
      <c r="E66" s="265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266"/>
      <c r="D67" s="268"/>
      <c r="E67" s="26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266"/>
      <c r="D68" s="268"/>
      <c r="E68" s="265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266"/>
      <c r="D69" s="268"/>
      <c r="E69" s="26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266"/>
      <c r="D70" s="268"/>
      <c r="E70" s="26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642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267" t="s">
        <v>2</v>
      </c>
      <c r="D72" s="267" t="s">
        <v>38</v>
      </c>
      <c r="E72" s="267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269" t="s">
        <v>62</v>
      </c>
      <c r="D73" s="269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268" t="s">
        <v>128</v>
      </c>
      <c r="D74" s="268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1">A74+1</f>
        <v>3</v>
      </c>
      <c r="B75" s="447"/>
      <c r="C75" s="268" t="s">
        <v>62</v>
      </c>
      <c r="D75" s="268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1"/>
        <v>4</v>
      </c>
      <c r="B76" s="447"/>
      <c r="C76" s="268" t="s">
        <v>62</v>
      </c>
      <c r="D76" s="268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1"/>
        <v>5</v>
      </c>
      <c r="B77" s="447"/>
      <c r="C77" s="268" t="s">
        <v>62</v>
      </c>
      <c r="D77" s="268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1"/>
        <v>6</v>
      </c>
      <c r="B78" s="447"/>
      <c r="C78" s="268"/>
      <c r="D78" s="268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1"/>
        <v>7</v>
      </c>
      <c r="B79" s="447"/>
      <c r="C79" s="268"/>
      <c r="D79" s="268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1"/>
        <v>8</v>
      </c>
      <c r="B80" s="447"/>
      <c r="C80" s="268"/>
      <c r="D80" s="268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1"/>
        <v>9</v>
      </c>
      <c r="B81" s="447"/>
      <c r="C81" s="268"/>
      <c r="D81" s="268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643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>
        <v>2</v>
      </c>
      <c r="D84" s="448"/>
      <c r="E84" s="448" t="s">
        <v>644</v>
      </c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 t="s">
        <v>645</v>
      </c>
      <c r="U84" s="448"/>
      <c r="V84" s="449"/>
      <c r="W84" s="449"/>
      <c r="X84" s="449"/>
      <c r="Y84" s="440" t="s">
        <v>646</v>
      </c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17" sqref="AE17:AE1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647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500</v>
      </c>
      <c r="F6" s="12" t="s">
        <v>535</v>
      </c>
      <c r="G6" s="36">
        <v>1</v>
      </c>
      <c r="H6" s="38">
        <v>25</v>
      </c>
      <c r="I6" s="7">
        <v>10000</v>
      </c>
      <c r="J6" s="14">
        <v>1640</v>
      </c>
      <c r="K6" s="15">
        <f>L6+2669+5044+5076</f>
        <v>14421</v>
      </c>
      <c r="L6" s="15">
        <v>1632</v>
      </c>
      <c r="M6" s="16">
        <f t="shared" ref="M6:M21" si="0">L6-N6</f>
        <v>1632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10</v>
      </c>
      <c r="Q6" s="43">
        <f t="shared" ref="Q6:Q21" si="3">SUM(R6:AA6)</f>
        <v>14</v>
      </c>
      <c r="R6" s="7"/>
      <c r="S6" s="6"/>
      <c r="T6" s="17"/>
      <c r="U6" s="17"/>
      <c r="V6" s="18"/>
      <c r="W6" s="19">
        <v>14</v>
      </c>
      <c r="X6" s="17"/>
      <c r="Y6" s="20"/>
      <c r="Z6" s="20"/>
      <c r="AA6" s="21"/>
      <c r="AB6" s="8">
        <f t="shared" ref="AB6:AB21" si="4">IF(J6=0,"0",(L6/J6))</f>
        <v>0.99512195121951219</v>
      </c>
      <c r="AC6" s="9">
        <f t="shared" ref="AC6:AC21" si="5">IF(P6=0,"0",(P6/24))</f>
        <v>0.41666666666666669</v>
      </c>
      <c r="AD6" s="10">
        <f t="shared" ref="AD6:AD21" si="6">AC6*AB6*(1-O6)</f>
        <v>0.41463414634146345</v>
      </c>
      <c r="AE6" s="39">
        <f t="shared" ref="AE6:AE19" si="7">$AD$22</f>
        <v>0.58827687695861053</v>
      </c>
      <c r="AF6" s="94">
        <f t="shared" ref="AF6:AF21" si="8">A6</f>
        <v>1</v>
      </c>
    </row>
    <row r="7" spans="1:32" ht="27" customHeight="1">
      <c r="A7" s="108">
        <v>1</v>
      </c>
      <c r="B7" s="11" t="s">
        <v>59</v>
      </c>
      <c r="C7" s="11" t="s">
        <v>128</v>
      </c>
      <c r="D7" s="55" t="s">
        <v>469</v>
      </c>
      <c r="E7" s="56" t="s">
        <v>648</v>
      </c>
      <c r="F7" s="12" t="s">
        <v>535</v>
      </c>
      <c r="G7" s="36">
        <v>1</v>
      </c>
      <c r="H7" s="38">
        <v>25</v>
      </c>
      <c r="I7" s="7">
        <v>26000</v>
      </c>
      <c r="J7" s="14">
        <v>2820</v>
      </c>
      <c r="K7" s="15">
        <f>L7</f>
        <v>2812</v>
      </c>
      <c r="L7" s="15">
        <f>2528+284</f>
        <v>2812</v>
      </c>
      <c r="M7" s="16">
        <f t="shared" ref="M7" si="9">L7-N7</f>
        <v>2812</v>
      </c>
      <c r="N7" s="16">
        <v>0</v>
      </c>
      <c r="O7" s="62">
        <f t="shared" ref="O7" si="10">IF(L7=0,"0",N7/L7)</f>
        <v>0</v>
      </c>
      <c r="P7" s="42">
        <f t="shared" ref="P7" si="11">IF(L7=0,"0",(24-Q7))</f>
        <v>13</v>
      </c>
      <c r="Q7" s="43">
        <f t="shared" ref="Q7" si="12">SUM(R7:AA7)</f>
        <v>11</v>
      </c>
      <c r="R7" s="7"/>
      <c r="S7" s="6"/>
      <c r="T7" s="17">
        <v>11</v>
      </c>
      <c r="U7" s="17"/>
      <c r="V7" s="18"/>
      <c r="W7" s="19"/>
      <c r="X7" s="17"/>
      <c r="Y7" s="20"/>
      <c r="Z7" s="20"/>
      <c r="AA7" s="21"/>
      <c r="AB7" s="8">
        <f t="shared" ref="AB7" si="13">IF(J7=0,"0",(L7/J7))</f>
        <v>0.99716312056737588</v>
      </c>
      <c r="AC7" s="9">
        <f t="shared" ref="AC7" si="14">IF(P7=0,"0",(P7/24))</f>
        <v>0.54166666666666663</v>
      </c>
      <c r="AD7" s="10">
        <f t="shared" ref="AD7" si="15">AC7*AB7*(1-O7)</f>
        <v>0.54013002364066187</v>
      </c>
      <c r="AE7" s="39">
        <f t="shared" si="7"/>
        <v>0.58827687695861053</v>
      </c>
      <c r="AF7" s="94">
        <f t="shared" ref="AF7" si="16">A7</f>
        <v>1</v>
      </c>
    </row>
    <row r="8" spans="1:32" ht="27" customHeight="1">
      <c r="A8" s="108">
        <v>2</v>
      </c>
      <c r="B8" s="11" t="s">
        <v>59</v>
      </c>
      <c r="C8" s="11" t="s">
        <v>302</v>
      </c>
      <c r="D8" s="55" t="s">
        <v>310</v>
      </c>
      <c r="E8" s="56" t="s">
        <v>588</v>
      </c>
      <c r="F8" s="12">
        <v>7301</v>
      </c>
      <c r="G8" s="36">
        <v>1</v>
      </c>
      <c r="H8" s="38">
        <v>25</v>
      </c>
      <c r="I8" s="7">
        <v>120000</v>
      </c>
      <c r="J8" s="14">
        <v>6260</v>
      </c>
      <c r="K8" s="15">
        <f>L8+13888+20084+14448+20152+19952+19964+9820</f>
        <v>124564</v>
      </c>
      <c r="L8" s="15">
        <f>966*4+598*4</f>
        <v>6256</v>
      </c>
      <c r="M8" s="16">
        <f t="shared" si="0"/>
        <v>6256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>
        <v>14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0.9993610223642172</v>
      </c>
      <c r="AC8" s="9">
        <f t="shared" si="5"/>
        <v>0.41666666666666669</v>
      </c>
      <c r="AD8" s="10">
        <f t="shared" si="6"/>
        <v>0.41640042598509053</v>
      </c>
      <c r="AE8" s="39">
        <f t="shared" si="7"/>
        <v>0.58827687695861053</v>
      </c>
      <c r="AF8" s="94">
        <f>A8</f>
        <v>2</v>
      </c>
    </row>
    <row r="9" spans="1:32" ht="27" customHeight="1">
      <c r="A9" s="109">
        <v>3</v>
      </c>
      <c r="B9" s="11" t="s">
        <v>59</v>
      </c>
      <c r="C9" s="11" t="s">
        <v>445</v>
      </c>
      <c r="D9" s="55" t="s">
        <v>446</v>
      </c>
      <c r="E9" s="57" t="s">
        <v>447</v>
      </c>
      <c r="F9" s="33" t="s">
        <v>448</v>
      </c>
      <c r="G9" s="36">
        <v>2</v>
      </c>
      <c r="H9" s="38">
        <v>25</v>
      </c>
      <c r="I9" s="7">
        <v>50000</v>
      </c>
      <c r="J9" s="14">
        <v>11100</v>
      </c>
      <c r="K9" s="15">
        <f>L9+10208+11248+11216+11240+11142</f>
        <v>66128</v>
      </c>
      <c r="L9" s="15">
        <f>3209*2+2328*2</f>
        <v>11074</v>
      </c>
      <c r="M9" s="16">
        <f t="shared" si="0"/>
        <v>11074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0.99765765765765768</v>
      </c>
      <c r="AC9" s="9">
        <f t="shared" si="5"/>
        <v>1</v>
      </c>
      <c r="AD9" s="10">
        <f t="shared" si="6"/>
        <v>0.99765765765765768</v>
      </c>
      <c r="AE9" s="39">
        <f t="shared" si="7"/>
        <v>0.58827687695861053</v>
      </c>
      <c r="AF9" s="94">
        <f t="shared" si="8"/>
        <v>3</v>
      </c>
    </row>
    <row r="10" spans="1:32" ht="27" customHeight="1">
      <c r="A10" s="110">
        <v>4</v>
      </c>
      <c r="B10" s="11" t="s">
        <v>59</v>
      </c>
      <c r="C10" s="37" t="s">
        <v>122</v>
      </c>
      <c r="D10" s="55" t="s">
        <v>135</v>
      </c>
      <c r="E10" s="57" t="s">
        <v>166</v>
      </c>
      <c r="F10" s="12" t="s">
        <v>127</v>
      </c>
      <c r="G10" s="12">
        <v>1</v>
      </c>
      <c r="H10" s="13">
        <v>25</v>
      </c>
      <c r="I10" s="34">
        <v>53000</v>
      </c>
      <c r="J10" s="5">
        <v>4640</v>
      </c>
      <c r="K10" s="15">
        <f>L10+746+1650+2301+3731+3690+4394+3188+1314+3904+4023+5051+3666+5026+4725+5164+3403+4677</f>
        <v>65292</v>
      </c>
      <c r="L10" s="15">
        <f>2657+1982</f>
        <v>4639</v>
      </c>
      <c r="M10" s="16">
        <f t="shared" si="0"/>
        <v>4639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0.99978448275862064</v>
      </c>
      <c r="AC10" s="9">
        <f t="shared" si="5"/>
        <v>1</v>
      </c>
      <c r="AD10" s="10">
        <f t="shared" si="6"/>
        <v>0.99978448275862064</v>
      </c>
      <c r="AE10" s="39">
        <f t="shared" si="7"/>
        <v>0.58827687695861053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11" t="s">
        <v>62</v>
      </c>
      <c r="D11" s="55" t="s">
        <v>264</v>
      </c>
      <c r="E11" s="57" t="s">
        <v>449</v>
      </c>
      <c r="F11" s="12" t="s">
        <v>212</v>
      </c>
      <c r="G11" s="12">
        <v>1</v>
      </c>
      <c r="H11" s="13">
        <v>25</v>
      </c>
      <c r="I11" s="34">
        <v>100000</v>
      </c>
      <c r="J11" s="14">
        <v>10530</v>
      </c>
      <c r="K11" s="15">
        <f>L11+7510+8800+7448+10498+7300</f>
        <v>52078</v>
      </c>
      <c r="L11" s="15">
        <f>3034*2+2227*2</f>
        <v>10522</v>
      </c>
      <c r="M11" s="16">
        <f t="shared" si="0"/>
        <v>10522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0.9992402659069326</v>
      </c>
      <c r="AC11" s="9">
        <f t="shared" si="5"/>
        <v>1</v>
      </c>
      <c r="AD11" s="10">
        <f t="shared" si="6"/>
        <v>0.9992402659069326</v>
      </c>
      <c r="AE11" s="39">
        <f t="shared" si="7"/>
        <v>0.58827687695861053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122</v>
      </c>
      <c r="D12" s="55" t="s">
        <v>536</v>
      </c>
      <c r="E12" s="57" t="s">
        <v>537</v>
      </c>
      <c r="F12" s="12" t="s">
        <v>538</v>
      </c>
      <c r="G12" s="12">
        <v>1</v>
      </c>
      <c r="H12" s="13">
        <v>25</v>
      </c>
      <c r="I12" s="34">
        <v>6500</v>
      </c>
      <c r="J12" s="14">
        <v>1960</v>
      </c>
      <c r="K12" s="15">
        <f>L12+2481+4834+1952</f>
        <v>9267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0.58827687695861053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497</v>
      </c>
      <c r="D13" s="55" t="s">
        <v>123</v>
      </c>
      <c r="E13" s="57" t="s">
        <v>594</v>
      </c>
      <c r="F13" s="12" t="s">
        <v>127</v>
      </c>
      <c r="G13" s="12">
        <v>1</v>
      </c>
      <c r="H13" s="13">
        <v>25</v>
      </c>
      <c r="I13" s="34">
        <v>17000</v>
      </c>
      <c r="J13" s="5">
        <v>350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0.58827687695861053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145</v>
      </c>
      <c r="D14" s="55"/>
      <c r="E14" s="57" t="s">
        <v>266</v>
      </c>
      <c r="F14" s="12" t="s">
        <v>130</v>
      </c>
      <c r="G14" s="12" t="s">
        <v>171</v>
      </c>
      <c r="H14" s="13">
        <v>25</v>
      </c>
      <c r="I14" s="7">
        <v>300</v>
      </c>
      <c r="J14" s="14">
        <v>360</v>
      </c>
      <c r="K14" s="15">
        <f>L14+359</f>
        <v>359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0.58827687695861053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598</v>
      </c>
      <c r="F15" s="33" t="s">
        <v>625</v>
      </c>
      <c r="G15" s="36">
        <v>1</v>
      </c>
      <c r="H15" s="38">
        <v>50</v>
      </c>
      <c r="I15" s="7">
        <v>200</v>
      </c>
      <c r="J15" s="5">
        <v>245</v>
      </c>
      <c r="K15" s="15">
        <f>L15+245</f>
        <v>245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0.58827687695861053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445</v>
      </c>
      <c r="D16" s="55" t="s">
        <v>450</v>
      </c>
      <c r="E16" s="57" t="s">
        <v>451</v>
      </c>
      <c r="F16" s="12" t="s">
        <v>452</v>
      </c>
      <c r="G16" s="12">
        <v>2</v>
      </c>
      <c r="H16" s="13">
        <v>15</v>
      </c>
      <c r="I16" s="34">
        <v>50000</v>
      </c>
      <c r="J16" s="5">
        <v>10400</v>
      </c>
      <c r="K16" s="15">
        <f>L16+2068+5036+10624+10616+8304</f>
        <v>47044</v>
      </c>
      <c r="L16" s="15">
        <f>3081*2+2117*2</f>
        <v>10396</v>
      </c>
      <c r="M16" s="16">
        <f t="shared" si="0"/>
        <v>10396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0.99961538461538457</v>
      </c>
      <c r="AC16" s="9">
        <f t="shared" si="5"/>
        <v>1</v>
      </c>
      <c r="AD16" s="10">
        <f t="shared" si="6"/>
        <v>0.99961538461538457</v>
      </c>
      <c r="AE16" s="39">
        <f t="shared" si="7"/>
        <v>0.58827687695861053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445</v>
      </c>
      <c r="D17" s="55" t="s">
        <v>453</v>
      </c>
      <c r="E17" s="57" t="s">
        <v>454</v>
      </c>
      <c r="F17" s="12" t="s">
        <v>455</v>
      </c>
      <c r="G17" s="36">
        <v>2</v>
      </c>
      <c r="H17" s="38">
        <v>25</v>
      </c>
      <c r="I17" s="7">
        <v>50000</v>
      </c>
      <c r="J17" s="14">
        <v>9960</v>
      </c>
      <c r="K17" s="15">
        <f>L17+428+5928+9732+6966</f>
        <v>33012</v>
      </c>
      <c r="L17" s="15">
        <f>2889*2+2090*2</f>
        <v>9958</v>
      </c>
      <c r="M17" s="16">
        <f t="shared" si="0"/>
        <v>9958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0.99979919678714857</v>
      </c>
      <c r="AC17" s="9">
        <f t="shared" si="5"/>
        <v>1</v>
      </c>
      <c r="AD17" s="10">
        <f t="shared" si="6"/>
        <v>0.99979919678714857</v>
      </c>
      <c r="AE17" s="39">
        <f t="shared" si="7"/>
        <v>0.58827687695861053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571</v>
      </c>
      <c r="E18" s="56" t="s">
        <v>572</v>
      </c>
      <c r="F18" s="12">
        <v>8301</v>
      </c>
      <c r="G18" s="12">
        <v>1</v>
      </c>
      <c r="H18" s="13">
        <v>25</v>
      </c>
      <c r="I18" s="34">
        <v>18000</v>
      </c>
      <c r="J18" s="5">
        <v>3020</v>
      </c>
      <c r="K18" s="15">
        <f>L18+869</f>
        <v>3887</v>
      </c>
      <c r="L18" s="15">
        <f>3018</f>
        <v>3018</v>
      </c>
      <c r="M18" s="16">
        <f t="shared" si="0"/>
        <v>3018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>
        <v>10</v>
      </c>
      <c r="U18" s="17"/>
      <c r="V18" s="18"/>
      <c r="W18" s="19"/>
      <c r="X18" s="17"/>
      <c r="Y18" s="20"/>
      <c r="Z18" s="20"/>
      <c r="AA18" s="21"/>
      <c r="AB18" s="8">
        <f t="shared" si="4"/>
        <v>0.99933774834437084</v>
      </c>
      <c r="AC18" s="9">
        <f t="shared" si="5"/>
        <v>0.58333333333333337</v>
      </c>
      <c r="AD18" s="10">
        <f t="shared" si="6"/>
        <v>0.58294701986754971</v>
      </c>
      <c r="AE18" s="39">
        <f t="shared" si="7"/>
        <v>0.58827687695861053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507</v>
      </c>
      <c r="E19" s="57" t="s">
        <v>539</v>
      </c>
      <c r="F19" s="12" t="s">
        <v>520</v>
      </c>
      <c r="G19" s="12">
        <v>1</v>
      </c>
      <c r="H19" s="13">
        <v>25</v>
      </c>
      <c r="I19" s="34">
        <v>1000</v>
      </c>
      <c r="J19" s="5">
        <v>2360</v>
      </c>
      <c r="K19" s="15">
        <f>L19+2359</f>
        <v>2359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0.58827687695861053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459</v>
      </c>
      <c r="E20" s="57" t="s">
        <v>460</v>
      </c>
      <c r="F20" s="33" t="s">
        <v>455</v>
      </c>
      <c r="G20" s="36">
        <v>2</v>
      </c>
      <c r="H20" s="38">
        <v>25</v>
      </c>
      <c r="I20" s="34">
        <v>100000</v>
      </c>
      <c r="J20" s="5">
        <v>9780</v>
      </c>
      <c r="K20" s="15">
        <f>L20+6264+10600+6250+2340+4019</f>
        <v>39245</v>
      </c>
      <c r="L20" s="15">
        <f>3024*2+1862*2</f>
        <v>9772</v>
      </c>
      <c r="M20" s="16">
        <f t="shared" si="0"/>
        <v>9772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0.99918200408997959</v>
      </c>
      <c r="AC20" s="9">
        <f t="shared" si="5"/>
        <v>0.875</v>
      </c>
      <c r="AD20" s="10">
        <f t="shared" si="6"/>
        <v>0.87428425357873218</v>
      </c>
      <c r="AE20" s="39">
        <f>$AD$22</f>
        <v>0.58827687695861053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573</v>
      </c>
      <c r="F21" s="12" t="s">
        <v>120</v>
      </c>
      <c r="G21" s="12">
        <v>4</v>
      </c>
      <c r="H21" s="38">
        <v>20</v>
      </c>
      <c r="I21" s="7">
        <v>200000</v>
      </c>
      <c r="J21" s="14">
        <v>47100</v>
      </c>
      <c r="K21" s="15">
        <f>L21+38408+47264</f>
        <v>132756</v>
      </c>
      <c r="L21" s="15">
        <f>4948*4+6823*4</f>
        <v>47084</v>
      </c>
      <c r="M21" s="16">
        <f t="shared" si="0"/>
        <v>47084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0.99966029723991512</v>
      </c>
      <c r="AC21" s="9">
        <f t="shared" si="5"/>
        <v>1</v>
      </c>
      <c r="AD21" s="10">
        <f t="shared" si="6"/>
        <v>0.99966029723991512</v>
      </c>
      <c r="AE21" s="39">
        <f>$AD$22</f>
        <v>0.58827687695861053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7">SUM(I6:I21)</f>
        <v>802000</v>
      </c>
      <c r="J22" s="22">
        <f t="shared" si="17"/>
        <v>122525</v>
      </c>
      <c r="K22" s="23">
        <f t="shared" si="17"/>
        <v>593469</v>
      </c>
      <c r="L22" s="24">
        <f t="shared" si="17"/>
        <v>117163</v>
      </c>
      <c r="M22" s="23">
        <f t="shared" si="17"/>
        <v>117163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212</v>
      </c>
      <c r="Q22" s="46">
        <f t="shared" si="18"/>
        <v>172</v>
      </c>
      <c r="R22" s="26">
        <f t="shared" si="18"/>
        <v>0</v>
      </c>
      <c r="S22" s="27">
        <f t="shared" si="18"/>
        <v>41</v>
      </c>
      <c r="T22" s="27">
        <f t="shared" si="18"/>
        <v>21</v>
      </c>
      <c r="U22" s="27">
        <f t="shared" si="18"/>
        <v>0</v>
      </c>
      <c r="V22" s="28">
        <f t="shared" si="18"/>
        <v>0</v>
      </c>
      <c r="W22" s="29">
        <f t="shared" si="18"/>
        <v>110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0.73239487543674098</v>
      </c>
      <c r="AC22" s="4">
        <f>SUM(AC6:AC21)/15</f>
        <v>0.5888888888888888</v>
      </c>
      <c r="AD22" s="4">
        <f>SUM(AD6:AD21)/15</f>
        <v>0.58827687695861053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649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662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271" t="s">
        <v>47</v>
      </c>
      <c r="D51" s="271" t="s">
        <v>48</v>
      </c>
      <c r="E51" s="271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271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462</v>
      </c>
      <c r="B52" s="506"/>
      <c r="C52" s="272" t="s">
        <v>369</v>
      </c>
      <c r="D52" s="273" t="s">
        <v>331</v>
      </c>
      <c r="E52" s="272" t="s">
        <v>544</v>
      </c>
      <c r="F52" s="487" t="s">
        <v>650</v>
      </c>
      <c r="G52" s="487"/>
      <c r="H52" s="487"/>
      <c r="I52" s="487"/>
      <c r="J52" s="487"/>
      <c r="K52" s="487"/>
      <c r="L52" s="487"/>
      <c r="M52" s="498"/>
      <c r="N52" s="274" t="s">
        <v>585</v>
      </c>
      <c r="O52" s="74" t="s">
        <v>586</v>
      </c>
      <c r="P52" s="503" t="s">
        <v>587</v>
      </c>
      <c r="Q52" s="504"/>
      <c r="R52" s="497" t="s">
        <v>588</v>
      </c>
      <c r="S52" s="497"/>
      <c r="T52" s="497"/>
      <c r="U52" s="497"/>
      <c r="V52" s="487" t="s">
        <v>650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122</v>
      </c>
      <c r="B53" s="506"/>
      <c r="C53" s="272" t="s">
        <v>651</v>
      </c>
      <c r="D53" s="273" t="s">
        <v>652</v>
      </c>
      <c r="E53" s="272" t="s">
        <v>653</v>
      </c>
      <c r="F53" s="487" t="s">
        <v>578</v>
      </c>
      <c r="G53" s="487"/>
      <c r="H53" s="487"/>
      <c r="I53" s="487"/>
      <c r="J53" s="487"/>
      <c r="K53" s="487"/>
      <c r="L53" s="487"/>
      <c r="M53" s="498"/>
      <c r="N53" s="274" t="s">
        <v>128</v>
      </c>
      <c r="O53" s="74" t="s">
        <v>596</v>
      </c>
      <c r="P53" s="503" t="s">
        <v>123</v>
      </c>
      <c r="Q53" s="504"/>
      <c r="R53" s="497" t="s">
        <v>594</v>
      </c>
      <c r="S53" s="497"/>
      <c r="T53" s="497"/>
      <c r="U53" s="497"/>
      <c r="V53" s="487" t="s">
        <v>136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654</v>
      </c>
      <c r="B54" s="506"/>
      <c r="C54" s="272" t="s">
        <v>655</v>
      </c>
      <c r="D54" s="273" t="s">
        <v>656</v>
      </c>
      <c r="E54" s="272" t="s">
        <v>657</v>
      </c>
      <c r="F54" s="487" t="s">
        <v>658</v>
      </c>
      <c r="G54" s="487"/>
      <c r="H54" s="487"/>
      <c r="I54" s="487"/>
      <c r="J54" s="487"/>
      <c r="K54" s="487"/>
      <c r="L54" s="487"/>
      <c r="M54" s="498"/>
      <c r="N54" s="274" t="s">
        <v>663</v>
      </c>
      <c r="O54" s="74" t="s">
        <v>129</v>
      </c>
      <c r="P54" s="503" t="s">
        <v>58</v>
      </c>
      <c r="Q54" s="504"/>
      <c r="R54" s="497" t="s">
        <v>664</v>
      </c>
      <c r="S54" s="497"/>
      <c r="T54" s="497"/>
      <c r="U54" s="497"/>
      <c r="V54" s="487" t="s">
        <v>665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659</v>
      </c>
      <c r="B55" s="506"/>
      <c r="C55" s="272" t="s">
        <v>660</v>
      </c>
      <c r="D55" s="273" t="s">
        <v>661</v>
      </c>
      <c r="E55" s="272" t="s">
        <v>648</v>
      </c>
      <c r="F55" s="487" t="s">
        <v>578</v>
      </c>
      <c r="G55" s="487"/>
      <c r="H55" s="487"/>
      <c r="I55" s="487"/>
      <c r="J55" s="487"/>
      <c r="K55" s="487"/>
      <c r="L55" s="487"/>
      <c r="M55" s="498"/>
      <c r="N55" s="274" t="s">
        <v>128</v>
      </c>
      <c r="O55" s="74" t="s">
        <v>666</v>
      </c>
      <c r="P55" s="503" t="s">
        <v>667</v>
      </c>
      <c r="Q55" s="504"/>
      <c r="R55" s="497" t="s">
        <v>668</v>
      </c>
      <c r="S55" s="497"/>
      <c r="T55" s="497"/>
      <c r="U55" s="497"/>
      <c r="V55" s="487" t="s">
        <v>665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/>
      <c r="B56" s="506"/>
      <c r="C56" s="272"/>
      <c r="D56" s="273"/>
      <c r="E56" s="272"/>
      <c r="F56" s="487"/>
      <c r="G56" s="487"/>
      <c r="H56" s="487"/>
      <c r="I56" s="487"/>
      <c r="J56" s="487"/>
      <c r="K56" s="487"/>
      <c r="L56" s="487"/>
      <c r="M56" s="498"/>
      <c r="N56" s="274" t="s">
        <v>128</v>
      </c>
      <c r="O56" s="74" t="s">
        <v>140</v>
      </c>
      <c r="P56" s="503" t="s">
        <v>669</v>
      </c>
      <c r="Q56" s="504"/>
      <c r="R56" s="497" t="s">
        <v>670</v>
      </c>
      <c r="S56" s="497"/>
      <c r="T56" s="497"/>
      <c r="U56" s="497"/>
      <c r="V56" s="487" t="s">
        <v>665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73"/>
      <c r="D57" s="273"/>
      <c r="E57" s="272"/>
      <c r="F57" s="487"/>
      <c r="G57" s="487"/>
      <c r="H57" s="487"/>
      <c r="I57" s="487"/>
      <c r="J57" s="487"/>
      <c r="K57" s="487"/>
      <c r="L57" s="487"/>
      <c r="M57" s="498"/>
      <c r="N57" s="274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273"/>
      <c r="D58" s="273"/>
      <c r="E58" s="272"/>
      <c r="F58" s="487"/>
      <c r="G58" s="487"/>
      <c r="H58" s="487"/>
      <c r="I58" s="487"/>
      <c r="J58" s="487"/>
      <c r="K58" s="487"/>
      <c r="L58" s="487"/>
      <c r="M58" s="498"/>
      <c r="N58" s="274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272"/>
      <c r="D59" s="273"/>
      <c r="E59" s="272"/>
      <c r="F59" s="487"/>
      <c r="G59" s="487"/>
      <c r="H59" s="487"/>
      <c r="I59" s="487"/>
      <c r="J59" s="487"/>
      <c r="K59" s="487"/>
      <c r="L59" s="487"/>
      <c r="M59" s="498"/>
      <c r="N59" s="274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273"/>
      <c r="D60" s="273"/>
      <c r="E60" s="273"/>
      <c r="F60" s="487"/>
      <c r="G60" s="487"/>
      <c r="H60" s="487"/>
      <c r="I60" s="487"/>
      <c r="J60" s="487"/>
      <c r="K60" s="487"/>
      <c r="L60" s="487"/>
      <c r="M60" s="498"/>
      <c r="N60" s="274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276"/>
      <c r="D61" s="276"/>
      <c r="E61" s="276"/>
      <c r="F61" s="501"/>
      <c r="G61" s="501"/>
      <c r="H61" s="501"/>
      <c r="I61" s="501"/>
      <c r="J61" s="501"/>
      <c r="K61" s="501"/>
      <c r="L61" s="501"/>
      <c r="M61" s="502"/>
      <c r="N61" s="275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671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277" t="s">
        <v>2</v>
      </c>
      <c r="D63" s="277" t="s">
        <v>38</v>
      </c>
      <c r="E63" s="277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277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279" t="s">
        <v>462</v>
      </c>
      <c r="D64" s="281"/>
      <c r="E64" s="278" t="s">
        <v>672</v>
      </c>
      <c r="F64" s="485" t="s">
        <v>673</v>
      </c>
      <c r="G64" s="475"/>
      <c r="H64" s="475"/>
      <c r="I64" s="475"/>
      <c r="J64" s="475"/>
      <c r="K64" s="475" t="s">
        <v>674</v>
      </c>
      <c r="L64" s="475"/>
      <c r="M64" s="54" t="s">
        <v>675</v>
      </c>
      <c r="N64" s="475">
        <v>6</v>
      </c>
      <c r="O64" s="475"/>
      <c r="P64" s="486">
        <v>200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279"/>
      <c r="D65" s="281"/>
      <c r="E65" s="278"/>
      <c r="F65" s="485"/>
      <c r="G65" s="475"/>
      <c r="H65" s="475"/>
      <c r="I65" s="475"/>
      <c r="J65" s="475"/>
      <c r="K65" s="475"/>
      <c r="L65" s="475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279"/>
      <c r="D66" s="281"/>
      <c r="E66" s="278"/>
      <c r="F66" s="485"/>
      <c r="G66" s="475"/>
      <c r="H66" s="475"/>
      <c r="I66" s="475"/>
      <c r="J66" s="475"/>
      <c r="K66" s="488"/>
      <c r="L66" s="488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279"/>
      <c r="D67" s="281"/>
      <c r="E67" s="278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279"/>
      <c r="D68" s="281"/>
      <c r="E68" s="278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279"/>
      <c r="D69" s="281"/>
      <c r="E69" s="278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279"/>
      <c r="D70" s="281"/>
      <c r="E70" s="278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279"/>
      <c r="D71" s="281"/>
      <c r="E71" s="278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676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280" t="s">
        <v>2</v>
      </c>
      <c r="D73" s="280" t="s">
        <v>38</v>
      </c>
      <c r="E73" s="280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282" t="s">
        <v>62</v>
      </c>
      <c r="D74" s="282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281" t="s">
        <v>128</v>
      </c>
      <c r="D75" s="281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19">A75+1</f>
        <v>3</v>
      </c>
      <c r="B76" s="447"/>
      <c r="C76" s="281" t="s">
        <v>62</v>
      </c>
      <c r="D76" s="281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9"/>
        <v>4</v>
      </c>
      <c r="B77" s="447"/>
      <c r="C77" s="281" t="s">
        <v>62</v>
      </c>
      <c r="D77" s="281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9"/>
        <v>5</v>
      </c>
      <c r="B78" s="447"/>
      <c r="C78" s="281" t="s">
        <v>62</v>
      </c>
      <c r="D78" s="281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9"/>
        <v>6</v>
      </c>
      <c r="B79" s="447"/>
      <c r="C79" s="281"/>
      <c r="D79" s="281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9"/>
        <v>7</v>
      </c>
      <c r="B80" s="447"/>
      <c r="C80" s="281"/>
      <c r="D80" s="281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9"/>
        <v>8</v>
      </c>
      <c r="B81" s="447"/>
      <c r="C81" s="281"/>
      <c r="D81" s="281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19"/>
        <v>9</v>
      </c>
      <c r="B82" s="447"/>
      <c r="C82" s="281"/>
      <c r="D82" s="281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677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>
        <v>2</v>
      </c>
      <c r="D85" s="448"/>
      <c r="E85" s="448" t="s">
        <v>644</v>
      </c>
      <c r="F85" s="448"/>
      <c r="G85" s="448"/>
      <c r="H85" s="448"/>
      <c r="I85" s="448"/>
      <c r="J85" s="448"/>
      <c r="K85" s="448" t="s">
        <v>678</v>
      </c>
      <c r="L85" s="448"/>
      <c r="M85" s="448"/>
      <c r="N85" s="448"/>
      <c r="O85" s="448"/>
      <c r="P85" s="448"/>
      <c r="Q85" s="448"/>
      <c r="R85" s="448"/>
      <c r="S85" s="448"/>
      <c r="T85" s="448" t="s">
        <v>645</v>
      </c>
      <c r="U85" s="448"/>
      <c r="V85" s="449">
        <v>350000</v>
      </c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17" sqref="AE17:AE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679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95" t="s">
        <v>17</v>
      </c>
      <c r="L5" s="295" t="s">
        <v>18</v>
      </c>
      <c r="M5" s="295" t="s">
        <v>19</v>
      </c>
      <c r="N5" s="29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4520</v>
      </c>
      <c r="K6" s="15">
        <f>L6+2812</f>
        <v>7329</v>
      </c>
      <c r="L6" s="15">
        <f>2659+1858</f>
        <v>4517</v>
      </c>
      <c r="M6" s="16">
        <f t="shared" ref="M6:M21" si="0">L6-N6</f>
        <v>4517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0.99933628318584067</v>
      </c>
      <c r="AC6" s="9">
        <f t="shared" ref="AC6:AC21" si="5">IF(P6=0,"0",(P6/24))</f>
        <v>1</v>
      </c>
      <c r="AD6" s="10">
        <f t="shared" ref="AD6:AD21" si="6">AC6*AB6*(1-O6)</f>
        <v>0.99933628318584067</v>
      </c>
      <c r="AE6" s="39">
        <f t="shared" ref="AE6:AE18" si="7">$AD$22</f>
        <v>0.71600095822307863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588</v>
      </c>
      <c r="F7" s="12">
        <v>7301</v>
      </c>
      <c r="G7" s="36">
        <v>1</v>
      </c>
      <c r="H7" s="38">
        <v>25</v>
      </c>
      <c r="I7" s="7">
        <v>120000</v>
      </c>
      <c r="J7" s="14">
        <v>15520</v>
      </c>
      <c r="K7" s="15">
        <f>L7+13888+20084+14448+20152+19952+19964+9820+6256</f>
        <v>140076</v>
      </c>
      <c r="L7" s="15">
        <f>2881*4+997*4</f>
        <v>15512</v>
      </c>
      <c r="M7" s="16">
        <f t="shared" si="0"/>
        <v>15512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>
        <v>3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0.99948453608247423</v>
      </c>
      <c r="AC7" s="9">
        <f t="shared" si="5"/>
        <v>0.875</v>
      </c>
      <c r="AD7" s="10">
        <f t="shared" si="6"/>
        <v>0.87454896907216495</v>
      </c>
      <c r="AE7" s="39">
        <f t="shared" si="7"/>
        <v>0.71600095822307863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446</v>
      </c>
      <c r="E8" s="57" t="s">
        <v>447</v>
      </c>
      <c r="F8" s="33" t="s">
        <v>448</v>
      </c>
      <c r="G8" s="36">
        <v>2</v>
      </c>
      <c r="H8" s="38">
        <v>25</v>
      </c>
      <c r="I8" s="7">
        <v>50000</v>
      </c>
      <c r="J8" s="14">
        <v>10860</v>
      </c>
      <c r="K8" s="15">
        <f>L8+10208+11248+11216+11240+11142+11074</f>
        <v>76986</v>
      </c>
      <c r="L8" s="15">
        <f>3224*2+2205*2</f>
        <v>10858</v>
      </c>
      <c r="M8" s="16">
        <f t="shared" si="0"/>
        <v>10858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0.99981583793738493</v>
      </c>
      <c r="AC8" s="9">
        <f t="shared" si="5"/>
        <v>1</v>
      </c>
      <c r="AD8" s="10">
        <f t="shared" si="6"/>
        <v>0.99981583793738493</v>
      </c>
      <c r="AE8" s="39">
        <f t="shared" si="7"/>
        <v>0.71600095822307863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135</v>
      </c>
      <c r="E9" s="57" t="s">
        <v>166</v>
      </c>
      <c r="F9" s="12" t="s">
        <v>127</v>
      </c>
      <c r="G9" s="12">
        <v>1</v>
      </c>
      <c r="H9" s="13">
        <v>25</v>
      </c>
      <c r="I9" s="34">
        <v>53000</v>
      </c>
      <c r="J9" s="5">
        <v>740</v>
      </c>
      <c r="K9" s="15">
        <f>L9+746+1650+2301+3731+3690+4394+3188+1314+3904+4023+5051+3666+5026+4725+5164+3403+4677+4639</f>
        <v>66024</v>
      </c>
      <c r="L9" s="15">
        <v>732</v>
      </c>
      <c r="M9" s="16">
        <f t="shared" si="0"/>
        <v>732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0.98918918918918919</v>
      </c>
      <c r="AC9" s="9">
        <f t="shared" si="5"/>
        <v>0.16666666666666666</v>
      </c>
      <c r="AD9" s="10">
        <f t="shared" si="6"/>
        <v>0.16486486486486485</v>
      </c>
      <c r="AE9" s="39">
        <f t="shared" si="7"/>
        <v>0.71600095822307863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680</v>
      </c>
      <c r="D10" s="55" t="s">
        <v>681</v>
      </c>
      <c r="E10" s="57" t="s">
        <v>682</v>
      </c>
      <c r="F10" s="12" t="s">
        <v>683</v>
      </c>
      <c r="G10" s="12">
        <v>32</v>
      </c>
      <c r="H10" s="13">
        <v>25</v>
      </c>
      <c r="I10" s="34">
        <v>100000</v>
      </c>
      <c r="J10" s="5">
        <v>170440</v>
      </c>
      <c r="K10" s="15">
        <f>L10</f>
        <v>170432</v>
      </c>
      <c r="L10" s="15">
        <f>1159*32+4167*32</f>
        <v>170432</v>
      </c>
      <c r="M10" s="16">
        <f t="shared" ref="M10" si="9">L10-N10</f>
        <v>170432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18</v>
      </c>
      <c r="Q10" s="43">
        <f t="shared" ref="Q10" si="12">SUM(R10:AA10)</f>
        <v>6</v>
      </c>
      <c r="R10" s="7"/>
      <c r="S10" s="6"/>
      <c r="T10" s="17">
        <v>6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0.99995306266134709</v>
      </c>
      <c r="AC10" s="9">
        <f t="shared" ref="AC10" si="14">IF(P10=0,"0",(P10/24))</f>
        <v>0.75</v>
      </c>
      <c r="AD10" s="10">
        <f t="shared" ref="AD10" si="15">AC10*AB10*(1-O10)</f>
        <v>0.74996479699601037</v>
      </c>
      <c r="AE10" s="39">
        <f t="shared" si="7"/>
        <v>0.71600095822307863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59</v>
      </c>
      <c r="C11" s="11" t="s">
        <v>62</v>
      </c>
      <c r="D11" s="55" t="s">
        <v>264</v>
      </c>
      <c r="E11" s="57" t="s">
        <v>449</v>
      </c>
      <c r="F11" s="12" t="s">
        <v>212</v>
      </c>
      <c r="G11" s="12">
        <v>1</v>
      </c>
      <c r="H11" s="13">
        <v>25</v>
      </c>
      <c r="I11" s="34">
        <v>100000</v>
      </c>
      <c r="J11" s="14">
        <v>10340</v>
      </c>
      <c r="K11" s="15">
        <f>L11+7510+8800+7448+10498+7300+10522</f>
        <v>62416</v>
      </c>
      <c r="L11" s="15">
        <f>3003*2+2166*2</f>
        <v>10338</v>
      </c>
      <c r="M11" s="16">
        <f t="shared" si="0"/>
        <v>10338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0.99980657640232107</v>
      </c>
      <c r="AC11" s="9">
        <f t="shared" si="5"/>
        <v>1</v>
      </c>
      <c r="AD11" s="10">
        <f t="shared" si="6"/>
        <v>0.99980657640232107</v>
      </c>
      <c r="AE11" s="39">
        <f t="shared" si="7"/>
        <v>0.71600095822307863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122</v>
      </c>
      <c r="D12" s="55" t="s">
        <v>504</v>
      </c>
      <c r="E12" s="57" t="s">
        <v>537</v>
      </c>
      <c r="F12" s="12" t="s">
        <v>538</v>
      </c>
      <c r="G12" s="12">
        <v>1</v>
      </c>
      <c r="H12" s="13">
        <v>25</v>
      </c>
      <c r="I12" s="34">
        <v>6500</v>
      </c>
      <c r="J12" s="14">
        <v>1960</v>
      </c>
      <c r="K12" s="15">
        <f>L12+2481+4834+1952</f>
        <v>9267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0.71600095822307863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497</v>
      </c>
      <c r="D13" s="55" t="s">
        <v>123</v>
      </c>
      <c r="E13" s="57" t="s">
        <v>594</v>
      </c>
      <c r="F13" s="12" t="s">
        <v>127</v>
      </c>
      <c r="G13" s="12">
        <v>1</v>
      </c>
      <c r="H13" s="13">
        <v>25</v>
      </c>
      <c r="I13" s="34">
        <v>17000</v>
      </c>
      <c r="J13" s="5">
        <v>2010</v>
      </c>
      <c r="K13" s="15">
        <f>L13</f>
        <v>2002</v>
      </c>
      <c r="L13" s="15">
        <f>459+1543</f>
        <v>2002</v>
      </c>
      <c r="M13" s="16">
        <f t="shared" si="0"/>
        <v>2002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>
        <v>13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0.99601990049751243</v>
      </c>
      <c r="AC13" s="9">
        <f t="shared" si="5"/>
        <v>0.45833333333333331</v>
      </c>
      <c r="AD13" s="10">
        <f t="shared" si="6"/>
        <v>0.45650912106135982</v>
      </c>
      <c r="AE13" s="39">
        <f t="shared" si="7"/>
        <v>0.71600095822307863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680</v>
      </c>
      <c r="D14" s="55" t="s">
        <v>684</v>
      </c>
      <c r="E14" s="57" t="s">
        <v>685</v>
      </c>
      <c r="F14" s="12" t="s">
        <v>686</v>
      </c>
      <c r="G14" s="12">
        <v>1</v>
      </c>
      <c r="H14" s="13">
        <v>25</v>
      </c>
      <c r="I14" s="7">
        <v>20000</v>
      </c>
      <c r="J14" s="14">
        <v>4190</v>
      </c>
      <c r="K14" s="15">
        <f>L14</f>
        <v>4189</v>
      </c>
      <c r="L14" s="15">
        <f>2669+1520</f>
        <v>4189</v>
      </c>
      <c r="M14" s="16">
        <f t="shared" si="0"/>
        <v>4189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/>
      <c r="S14" s="6"/>
      <c r="T14" s="17">
        <v>1</v>
      </c>
      <c r="U14" s="17"/>
      <c r="V14" s="18"/>
      <c r="W14" s="19"/>
      <c r="X14" s="17"/>
      <c r="Y14" s="20"/>
      <c r="Z14" s="20"/>
      <c r="AA14" s="21"/>
      <c r="AB14" s="8">
        <f t="shared" si="4"/>
        <v>0.99976133651551313</v>
      </c>
      <c r="AC14" s="9">
        <f t="shared" si="5"/>
        <v>0.95833333333333337</v>
      </c>
      <c r="AD14" s="10">
        <f t="shared" si="6"/>
        <v>0.95810461416070014</v>
      </c>
      <c r="AE14" s="39">
        <f t="shared" si="7"/>
        <v>0.71600095822307863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598</v>
      </c>
      <c r="F15" s="33" t="s">
        <v>625</v>
      </c>
      <c r="G15" s="36">
        <v>1</v>
      </c>
      <c r="H15" s="38">
        <v>50</v>
      </c>
      <c r="I15" s="7">
        <v>200</v>
      </c>
      <c r="J15" s="5">
        <v>245</v>
      </c>
      <c r="K15" s="15">
        <f>L15+245</f>
        <v>245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0.71600095822307863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445</v>
      </c>
      <c r="D16" s="55" t="s">
        <v>450</v>
      </c>
      <c r="E16" s="57" t="s">
        <v>451</v>
      </c>
      <c r="F16" s="12" t="s">
        <v>452</v>
      </c>
      <c r="G16" s="12">
        <v>2</v>
      </c>
      <c r="H16" s="13">
        <v>15</v>
      </c>
      <c r="I16" s="34">
        <v>50000</v>
      </c>
      <c r="J16" s="5">
        <v>10530</v>
      </c>
      <c r="K16" s="15">
        <f>L16+2068+5036+10624+10616+8304+10396</f>
        <v>57574</v>
      </c>
      <c r="L16" s="15">
        <f>3043*2+2222*2</f>
        <v>10530</v>
      </c>
      <c r="M16" s="16">
        <f t="shared" si="0"/>
        <v>10530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0.71600095822307863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445</v>
      </c>
      <c r="D17" s="55" t="s">
        <v>453</v>
      </c>
      <c r="E17" s="57" t="s">
        <v>454</v>
      </c>
      <c r="F17" s="12" t="s">
        <v>455</v>
      </c>
      <c r="G17" s="36">
        <v>2</v>
      </c>
      <c r="H17" s="38">
        <v>25</v>
      </c>
      <c r="I17" s="7">
        <v>50000</v>
      </c>
      <c r="J17" s="14">
        <v>3350</v>
      </c>
      <c r="K17" s="15">
        <f>L17+428+5928+9732+6966+9958</f>
        <v>36360</v>
      </c>
      <c r="L17" s="15">
        <f>1674*2</f>
        <v>3348</v>
      </c>
      <c r="M17" s="16">
        <f t="shared" si="0"/>
        <v>3348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>
        <v>15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0.99940298507462688</v>
      </c>
      <c r="AC17" s="9">
        <f t="shared" si="5"/>
        <v>0.375</v>
      </c>
      <c r="AD17" s="10">
        <f t="shared" si="6"/>
        <v>0.37477611940298505</v>
      </c>
      <c r="AE17" s="39">
        <f t="shared" si="7"/>
        <v>0.71600095822307863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571</v>
      </c>
      <c r="E18" s="56" t="s">
        <v>572</v>
      </c>
      <c r="F18" s="12">
        <v>8301</v>
      </c>
      <c r="G18" s="12">
        <v>1</v>
      </c>
      <c r="H18" s="13">
        <v>25</v>
      </c>
      <c r="I18" s="34">
        <v>18000</v>
      </c>
      <c r="J18" s="5">
        <v>5230</v>
      </c>
      <c r="K18" s="15">
        <f>L18+869+3018</f>
        <v>9112</v>
      </c>
      <c r="L18" s="15">
        <f>3072+2153</f>
        <v>5225</v>
      </c>
      <c r="M18" s="16">
        <f t="shared" si="0"/>
        <v>5225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0.99904397705544934</v>
      </c>
      <c r="AC18" s="9">
        <f t="shared" si="5"/>
        <v>1</v>
      </c>
      <c r="AD18" s="10">
        <f t="shared" si="6"/>
        <v>0.99904397705544934</v>
      </c>
      <c r="AE18" s="39">
        <f t="shared" si="7"/>
        <v>0.71600095822307863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680</v>
      </c>
      <c r="D19" s="55" t="s">
        <v>687</v>
      </c>
      <c r="E19" s="57" t="s">
        <v>688</v>
      </c>
      <c r="F19" s="12" t="s">
        <v>689</v>
      </c>
      <c r="G19" s="12">
        <v>1</v>
      </c>
      <c r="H19" s="13">
        <v>25</v>
      </c>
      <c r="I19" s="34">
        <v>26000</v>
      </c>
      <c r="J19" s="5">
        <v>320</v>
      </c>
      <c r="K19" s="15">
        <f>L19</f>
        <v>316</v>
      </c>
      <c r="L19" s="15">
        <f>316</f>
        <v>316</v>
      </c>
      <c r="M19" s="16">
        <f t="shared" si="0"/>
        <v>316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0.98750000000000004</v>
      </c>
      <c r="AC19" s="9">
        <f t="shared" si="5"/>
        <v>0.16666666666666666</v>
      </c>
      <c r="AD19" s="10">
        <f t="shared" si="6"/>
        <v>0.16458333333333333</v>
      </c>
      <c r="AE19" s="39">
        <f>$AD$22</f>
        <v>0.71600095822307863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459</v>
      </c>
      <c r="E20" s="57" t="s">
        <v>460</v>
      </c>
      <c r="F20" s="33" t="s">
        <v>455</v>
      </c>
      <c r="G20" s="36">
        <v>2</v>
      </c>
      <c r="H20" s="38">
        <v>25</v>
      </c>
      <c r="I20" s="34">
        <v>100000</v>
      </c>
      <c r="J20" s="5">
        <v>10450</v>
      </c>
      <c r="K20" s="15">
        <f>L20+6264+10600+6250+2340+4019+9772</f>
        <v>49689</v>
      </c>
      <c r="L20" s="15">
        <f>3073*2+2149*2</f>
        <v>10444</v>
      </c>
      <c r="M20" s="16">
        <f t="shared" si="0"/>
        <v>10444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0.99942583732057422</v>
      </c>
      <c r="AC20" s="9">
        <f t="shared" si="5"/>
        <v>1</v>
      </c>
      <c r="AD20" s="10">
        <f t="shared" si="6"/>
        <v>0.99942583732057422</v>
      </c>
      <c r="AE20" s="39">
        <f>$AD$22</f>
        <v>0.71600095822307863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573</v>
      </c>
      <c r="F21" s="12" t="s">
        <v>120</v>
      </c>
      <c r="G21" s="12">
        <v>4</v>
      </c>
      <c r="H21" s="38">
        <v>20</v>
      </c>
      <c r="I21" s="7">
        <v>200000</v>
      </c>
      <c r="J21" s="14">
        <v>47000</v>
      </c>
      <c r="K21" s="15">
        <f>L21+38408+47264+47084</f>
        <v>179720</v>
      </c>
      <c r="L21" s="15">
        <f>6881*4+4860*4</f>
        <v>46964</v>
      </c>
      <c r="M21" s="16">
        <f t="shared" si="0"/>
        <v>46964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0.99923404255319148</v>
      </c>
      <c r="AC21" s="9">
        <f t="shared" si="5"/>
        <v>1</v>
      </c>
      <c r="AD21" s="10">
        <f t="shared" si="6"/>
        <v>0.99923404255319148</v>
      </c>
      <c r="AE21" s="39">
        <f>$AD$22</f>
        <v>0.71600095822307863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7">SUM(I6:I21)</f>
        <v>936700</v>
      </c>
      <c r="J22" s="22">
        <f t="shared" si="17"/>
        <v>297705</v>
      </c>
      <c r="K22" s="23">
        <f t="shared" si="17"/>
        <v>871737</v>
      </c>
      <c r="L22" s="24">
        <f t="shared" si="17"/>
        <v>295407</v>
      </c>
      <c r="M22" s="23">
        <f t="shared" si="17"/>
        <v>295407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258</v>
      </c>
      <c r="Q22" s="46">
        <f t="shared" si="18"/>
        <v>126</v>
      </c>
      <c r="R22" s="26">
        <f t="shared" si="18"/>
        <v>0</v>
      </c>
      <c r="S22" s="27">
        <f t="shared" si="18"/>
        <v>51</v>
      </c>
      <c r="T22" s="27">
        <f t="shared" si="18"/>
        <v>7</v>
      </c>
      <c r="U22" s="27">
        <f t="shared" si="18"/>
        <v>0</v>
      </c>
      <c r="V22" s="28">
        <f t="shared" si="18"/>
        <v>0</v>
      </c>
      <c r="W22" s="29">
        <f t="shared" si="18"/>
        <v>68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0.93119823763169485</v>
      </c>
      <c r="AC22" s="4">
        <f>SUM(AC6:AC21)/15</f>
        <v>0.71666666666666656</v>
      </c>
      <c r="AD22" s="4">
        <f>SUM(AD6:AD21)/15</f>
        <v>0.71600095822307863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690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709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294" t="s">
        <v>47</v>
      </c>
      <c r="D51" s="294" t="s">
        <v>48</v>
      </c>
      <c r="E51" s="294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294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691</v>
      </c>
      <c r="B52" s="506"/>
      <c r="C52" s="293" t="s">
        <v>692</v>
      </c>
      <c r="D52" s="290" t="s">
        <v>684</v>
      </c>
      <c r="E52" s="293" t="s">
        <v>685</v>
      </c>
      <c r="F52" s="487" t="s">
        <v>693</v>
      </c>
      <c r="G52" s="487"/>
      <c r="H52" s="487"/>
      <c r="I52" s="487"/>
      <c r="J52" s="487"/>
      <c r="K52" s="487"/>
      <c r="L52" s="487"/>
      <c r="M52" s="498"/>
      <c r="N52" s="289" t="s">
        <v>128</v>
      </c>
      <c r="O52" s="74" t="s">
        <v>596</v>
      </c>
      <c r="P52" s="503" t="s">
        <v>123</v>
      </c>
      <c r="Q52" s="504"/>
      <c r="R52" s="497" t="s">
        <v>594</v>
      </c>
      <c r="S52" s="497"/>
      <c r="T52" s="497"/>
      <c r="U52" s="497"/>
      <c r="V52" s="487" t="s">
        <v>136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680</v>
      </c>
      <c r="B53" s="506"/>
      <c r="C53" s="293" t="s">
        <v>694</v>
      </c>
      <c r="D53" s="290" t="s">
        <v>695</v>
      </c>
      <c r="E53" s="293" t="s">
        <v>682</v>
      </c>
      <c r="F53" s="487" t="s">
        <v>696</v>
      </c>
      <c r="G53" s="487"/>
      <c r="H53" s="487"/>
      <c r="I53" s="487"/>
      <c r="J53" s="487"/>
      <c r="K53" s="487"/>
      <c r="L53" s="487"/>
      <c r="M53" s="498"/>
      <c r="N53" s="289" t="s">
        <v>128</v>
      </c>
      <c r="O53" s="74" t="s">
        <v>666</v>
      </c>
      <c r="P53" s="503" t="s">
        <v>667</v>
      </c>
      <c r="Q53" s="504"/>
      <c r="R53" s="497" t="s">
        <v>668</v>
      </c>
      <c r="S53" s="497"/>
      <c r="T53" s="497"/>
      <c r="U53" s="497"/>
      <c r="V53" s="487" t="s">
        <v>665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680</v>
      </c>
      <c r="B54" s="506"/>
      <c r="C54" s="293" t="s">
        <v>697</v>
      </c>
      <c r="D54" s="290" t="s">
        <v>698</v>
      </c>
      <c r="E54" s="293" t="s">
        <v>688</v>
      </c>
      <c r="F54" s="487" t="s">
        <v>699</v>
      </c>
      <c r="G54" s="487"/>
      <c r="H54" s="487"/>
      <c r="I54" s="487"/>
      <c r="J54" s="487"/>
      <c r="K54" s="487"/>
      <c r="L54" s="487"/>
      <c r="M54" s="498"/>
      <c r="N54" s="289" t="s">
        <v>704</v>
      </c>
      <c r="O54" s="74" t="s">
        <v>710</v>
      </c>
      <c r="P54" s="503" t="s">
        <v>706</v>
      </c>
      <c r="Q54" s="504"/>
      <c r="R54" s="497" t="s">
        <v>707</v>
      </c>
      <c r="S54" s="497"/>
      <c r="T54" s="497"/>
      <c r="U54" s="497"/>
      <c r="V54" s="487" t="s">
        <v>711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680</v>
      </c>
      <c r="B55" s="506"/>
      <c r="C55" s="293" t="s">
        <v>700</v>
      </c>
      <c r="D55" s="290" t="s">
        <v>701</v>
      </c>
      <c r="E55" s="293" t="s">
        <v>702</v>
      </c>
      <c r="F55" s="487" t="s">
        <v>703</v>
      </c>
      <c r="G55" s="487"/>
      <c r="H55" s="487"/>
      <c r="I55" s="487"/>
      <c r="J55" s="487"/>
      <c r="K55" s="487"/>
      <c r="L55" s="487"/>
      <c r="M55" s="498"/>
      <c r="N55" s="289" t="s">
        <v>713</v>
      </c>
      <c r="O55" s="74" t="s">
        <v>714</v>
      </c>
      <c r="P55" s="503" t="s">
        <v>715</v>
      </c>
      <c r="Q55" s="504"/>
      <c r="R55" s="497" t="s">
        <v>712</v>
      </c>
      <c r="S55" s="497"/>
      <c r="T55" s="497"/>
      <c r="U55" s="497"/>
      <c r="V55" s="487" t="s">
        <v>696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704</v>
      </c>
      <c r="B56" s="506"/>
      <c r="C56" s="293" t="s">
        <v>705</v>
      </c>
      <c r="D56" s="290" t="s">
        <v>706</v>
      </c>
      <c r="E56" s="293" t="s">
        <v>707</v>
      </c>
      <c r="F56" s="487" t="s">
        <v>708</v>
      </c>
      <c r="G56" s="487"/>
      <c r="H56" s="487"/>
      <c r="I56" s="487"/>
      <c r="J56" s="487"/>
      <c r="K56" s="487"/>
      <c r="L56" s="487"/>
      <c r="M56" s="498"/>
      <c r="N56" s="289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90"/>
      <c r="D57" s="290"/>
      <c r="E57" s="293"/>
      <c r="F57" s="487"/>
      <c r="G57" s="487"/>
      <c r="H57" s="487"/>
      <c r="I57" s="487"/>
      <c r="J57" s="487"/>
      <c r="K57" s="487"/>
      <c r="L57" s="487"/>
      <c r="M57" s="498"/>
      <c r="N57" s="289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290"/>
      <c r="D58" s="290"/>
      <c r="E58" s="293"/>
      <c r="F58" s="487"/>
      <c r="G58" s="487"/>
      <c r="H58" s="487"/>
      <c r="I58" s="487"/>
      <c r="J58" s="487"/>
      <c r="K58" s="487"/>
      <c r="L58" s="487"/>
      <c r="M58" s="498"/>
      <c r="N58" s="289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293"/>
      <c r="D59" s="290"/>
      <c r="E59" s="293"/>
      <c r="F59" s="487"/>
      <c r="G59" s="487"/>
      <c r="H59" s="487"/>
      <c r="I59" s="487"/>
      <c r="J59" s="487"/>
      <c r="K59" s="487"/>
      <c r="L59" s="487"/>
      <c r="M59" s="498"/>
      <c r="N59" s="289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290"/>
      <c r="D60" s="290"/>
      <c r="E60" s="290"/>
      <c r="F60" s="487"/>
      <c r="G60" s="487"/>
      <c r="H60" s="487"/>
      <c r="I60" s="487"/>
      <c r="J60" s="487"/>
      <c r="K60" s="487"/>
      <c r="L60" s="487"/>
      <c r="M60" s="498"/>
      <c r="N60" s="289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292"/>
      <c r="D61" s="292"/>
      <c r="E61" s="292"/>
      <c r="F61" s="501"/>
      <c r="G61" s="501"/>
      <c r="H61" s="501"/>
      <c r="I61" s="501"/>
      <c r="J61" s="501"/>
      <c r="K61" s="501"/>
      <c r="L61" s="501"/>
      <c r="M61" s="502"/>
      <c r="N61" s="291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716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288" t="s">
        <v>2</v>
      </c>
      <c r="D63" s="288" t="s">
        <v>38</v>
      </c>
      <c r="E63" s="288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288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287"/>
      <c r="D64" s="283"/>
      <c r="E64" s="285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287"/>
      <c r="D65" s="283"/>
      <c r="E65" s="285"/>
      <c r="F65" s="485"/>
      <c r="G65" s="475"/>
      <c r="H65" s="475"/>
      <c r="I65" s="475"/>
      <c r="J65" s="475"/>
      <c r="K65" s="475"/>
      <c r="L65" s="475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287"/>
      <c r="D66" s="283"/>
      <c r="E66" s="285"/>
      <c r="F66" s="485"/>
      <c r="G66" s="475"/>
      <c r="H66" s="475"/>
      <c r="I66" s="475"/>
      <c r="J66" s="475"/>
      <c r="K66" s="488"/>
      <c r="L66" s="488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287"/>
      <c r="D67" s="283"/>
      <c r="E67" s="28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287"/>
      <c r="D68" s="283"/>
      <c r="E68" s="285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287"/>
      <c r="D69" s="283"/>
      <c r="E69" s="28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287"/>
      <c r="D70" s="283"/>
      <c r="E70" s="28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287"/>
      <c r="D71" s="283"/>
      <c r="E71" s="285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717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286" t="s">
        <v>2</v>
      </c>
      <c r="D73" s="286" t="s">
        <v>38</v>
      </c>
      <c r="E73" s="286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284" t="s">
        <v>62</v>
      </c>
      <c r="D74" s="284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283" t="s">
        <v>128</v>
      </c>
      <c r="D75" s="283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19">A75+1</f>
        <v>3</v>
      </c>
      <c r="B76" s="447"/>
      <c r="C76" s="283" t="s">
        <v>62</v>
      </c>
      <c r="D76" s="283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9"/>
        <v>4</v>
      </c>
      <c r="B77" s="447"/>
      <c r="C77" s="283" t="s">
        <v>62</v>
      </c>
      <c r="D77" s="283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9"/>
        <v>5</v>
      </c>
      <c r="B78" s="447"/>
      <c r="C78" s="283" t="s">
        <v>62</v>
      </c>
      <c r="D78" s="283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9"/>
        <v>6</v>
      </c>
      <c r="B79" s="447"/>
      <c r="C79" s="283"/>
      <c r="D79" s="283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9"/>
        <v>7</v>
      </c>
      <c r="B80" s="447"/>
      <c r="C80" s="283"/>
      <c r="D80" s="283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9"/>
        <v>8</v>
      </c>
      <c r="B81" s="447"/>
      <c r="C81" s="283"/>
      <c r="D81" s="283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19"/>
        <v>9</v>
      </c>
      <c r="B82" s="447"/>
      <c r="C82" s="283"/>
      <c r="D82" s="283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718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6" sqref="AE16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719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296" t="s">
        <v>17</v>
      </c>
      <c r="L5" s="296" t="s">
        <v>18</v>
      </c>
      <c r="M5" s="296" t="s">
        <v>19</v>
      </c>
      <c r="N5" s="29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4590</v>
      </c>
      <c r="K6" s="15">
        <f>L6+2812+4517</f>
        <v>11916</v>
      </c>
      <c r="L6" s="15">
        <f>2316+2271</f>
        <v>4587</v>
      </c>
      <c r="M6" s="16">
        <f t="shared" ref="M6:M20" si="0">L6-N6</f>
        <v>4587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0.99934640522875817</v>
      </c>
      <c r="AC6" s="9">
        <f t="shared" ref="AC6:AC20" si="5">IF(P6=0,"0",(P6/24))</f>
        <v>1</v>
      </c>
      <c r="AD6" s="10">
        <f t="shared" ref="AD6:AD20" si="6">AC6*AB6*(1-O6)</f>
        <v>0.99934640522875817</v>
      </c>
      <c r="AE6" s="39">
        <f t="shared" ref="AE6:AE17" si="7">$AD$21</f>
        <v>0.73251391170695057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588</v>
      </c>
      <c r="F7" s="12">
        <v>7301</v>
      </c>
      <c r="G7" s="36">
        <v>1</v>
      </c>
      <c r="H7" s="38">
        <v>25</v>
      </c>
      <c r="I7" s="7">
        <v>120000</v>
      </c>
      <c r="J7" s="14">
        <f>12460</f>
        <v>12460</v>
      </c>
      <c r="K7" s="15">
        <f>L7+13888+20084+14448+20152+19952+19964+9820+6256+15512</f>
        <v>152536</v>
      </c>
      <c r="L7" s="15">
        <f>670*4+2445*4</f>
        <v>12460</v>
      </c>
      <c r="M7" s="16">
        <f t="shared" si="0"/>
        <v>12460</v>
      </c>
      <c r="N7" s="16">
        <v>0</v>
      </c>
      <c r="O7" s="62">
        <f t="shared" si="1"/>
        <v>0</v>
      </c>
      <c r="P7" s="42">
        <f t="shared" si="2"/>
        <v>17</v>
      </c>
      <c r="Q7" s="43">
        <f t="shared" si="3"/>
        <v>7</v>
      </c>
      <c r="R7" s="7"/>
      <c r="S7" s="6"/>
      <c r="T7" s="17"/>
      <c r="U7" s="17"/>
      <c r="V7" s="18"/>
      <c r="W7" s="19">
        <v>7</v>
      </c>
      <c r="X7" s="17"/>
      <c r="Y7" s="20"/>
      <c r="Z7" s="20"/>
      <c r="AA7" s="21"/>
      <c r="AB7" s="8">
        <f t="shared" si="4"/>
        <v>1</v>
      </c>
      <c r="AC7" s="9">
        <f t="shared" si="5"/>
        <v>0.70833333333333337</v>
      </c>
      <c r="AD7" s="10">
        <f t="shared" si="6"/>
        <v>0.70833333333333337</v>
      </c>
      <c r="AE7" s="39">
        <f t="shared" si="7"/>
        <v>0.73251391170695057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453</v>
      </c>
      <c r="E8" s="57" t="s">
        <v>454</v>
      </c>
      <c r="F8" s="12" t="s">
        <v>455</v>
      </c>
      <c r="G8" s="36">
        <v>2</v>
      </c>
      <c r="H8" s="38">
        <v>25</v>
      </c>
      <c r="I8" s="7">
        <v>50000</v>
      </c>
      <c r="J8" s="14">
        <v>7310</v>
      </c>
      <c r="K8" s="15">
        <f>L8+428+5928+9732+6966+9958+3348</f>
        <v>43662</v>
      </c>
      <c r="L8" s="15">
        <f>2757*2+894*2</f>
        <v>7302</v>
      </c>
      <c r="M8" s="16">
        <f t="shared" ref="M8" si="9">L8-N8</f>
        <v>7302</v>
      </c>
      <c r="N8" s="16">
        <v>0</v>
      </c>
      <c r="O8" s="62">
        <f t="shared" ref="O8" si="10">IF(L8=0,"0",N8/L8)</f>
        <v>0</v>
      </c>
      <c r="P8" s="42">
        <f t="shared" ref="P8" si="11">IF(L8=0,"0",(24-Q8))</f>
        <v>19</v>
      </c>
      <c r="Q8" s="43">
        <f t="shared" ref="Q8" si="12">SUM(R8:AA8)</f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ref="AB8" si="13">IF(J8=0,"0",(L8/J8))</f>
        <v>0.99890560875513001</v>
      </c>
      <c r="AC8" s="9">
        <f t="shared" ref="AC8" si="14">IF(P8=0,"0",(P8/24))</f>
        <v>0.79166666666666663</v>
      </c>
      <c r="AD8" s="10">
        <f t="shared" ref="AD8" si="15">AC8*AB8*(1-O8)</f>
        <v>0.79080027359781124</v>
      </c>
      <c r="AE8" s="39">
        <f t="shared" si="7"/>
        <v>0.73251391170695057</v>
      </c>
      <c r="AF8" s="94">
        <f t="shared" ref="AF8" si="16">A8</f>
        <v>3</v>
      </c>
    </row>
    <row r="9" spans="1:32" ht="27" customHeight="1">
      <c r="A9" s="110">
        <v>4</v>
      </c>
      <c r="B9" s="11" t="s">
        <v>59</v>
      </c>
      <c r="C9" s="37" t="s">
        <v>680</v>
      </c>
      <c r="D9" s="55" t="s">
        <v>681</v>
      </c>
      <c r="E9" s="57" t="s">
        <v>682</v>
      </c>
      <c r="F9" s="12" t="s">
        <v>683</v>
      </c>
      <c r="G9" s="12">
        <v>32</v>
      </c>
      <c r="H9" s="13">
        <v>25</v>
      </c>
      <c r="I9" s="34">
        <v>100000</v>
      </c>
      <c r="J9" s="5">
        <v>115840</v>
      </c>
      <c r="K9" s="15">
        <f>L9+170432</f>
        <v>286272</v>
      </c>
      <c r="L9" s="15">
        <f>3620*32</f>
        <v>115840</v>
      </c>
      <c r="M9" s="16">
        <f t="shared" si="0"/>
        <v>115840</v>
      </c>
      <c r="N9" s="16">
        <v>0</v>
      </c>
      <c r="O9" s="62">
        <f t="shared" si="1"/>
        <v>0</v>
      </c>
      <c r="P9" s="42">
        <f t="shared" si="2"/>
        <v>11</v>
      </c>
      <c r="Q9" s="43">
        <f t="shared" si="3"/>
        <v>13</v>
      </c>
      <c r="R9" s="7"/>
      <c r="S9" s="6"/>
      <c r="T9" s="17"/>
      <c r="U9" s="17"/>
      <c r="V9" s="18"/>
      <c r="W9" s="19">
        <v>13</v>
      </c>
      <c r="X9" s="17"/>
      <c r="Y9" s="20"/>
      <c r="Z9" s="20"/>
      <c r="AA9" s="21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9">
        <f t="shared" si="7"/>
        <v>0.73251391170695057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449</v>
      </c>
      <c r="F10" s="12" t="s">
        <v>212</v>
      </c>
      <c r="G10" s="12">
        <v>1</v>
      </c>
      <c r="H10" s="13">
        <v>25</v>
      </c>
      <c r="I10" s="34">
        <v>100000</v>
      </c>
      <c r="J10" s="14">
        <v>5440</v>
      </c>
      <c r="K10" s="15">
        <f>L10+7510+8800+7448+10498+7300+10522+10338</f>
        <v>67852</v>
      </c>
      <c r="L10" s="15">
        <f>2718*2</f>
        <v>5436</v>
      </c>
      <c r="M10" s="16">
        <f t="shared" si="0"/>
        <v>5436</v>
      </c>
      <c r="N10" s="16">
        <v>0</v>
      </c>
      <c r="O10" s="62">
        <f t="shared" si="1"/>
        <v>0</v>
      </c>
      <c r="P10" s="42">
        <f t="shared" si="2"/>
        <v>13</v>
      </c>
      <c r="Q10" s="43">
        <f t="shared" si="3"/>
        <v>11</v>
      </c>
      <c r="R10" s="7"/>
      <c r="S10" s="6">
        <v>11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0.99926470588235294</v>
      </c>
      <c r="AC10" s="9">
        <f t="shared" si="5"/>
        <v>0.54166666666666663</v>
      </c>
      <c r="AD10" s="10">
        <f t="shared" si="6"/>
        <v>0.54126838235294117</v>
      </c>
      <c r="AE10" s="39">
        <f t="shared" si="7"/>
        <v>0.73251391170695057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6500</v>
      </c>
      <c r="J11" s="14">
        <v>1960</v>
      </c>
      <c r="K11" s="15">
        <f>L11+2481+4834+1952</f>
        <v>9267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0.73251391170695057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17000</v>
      </c>
      <c r="J12" s="5">
        <v>2480</v>
      </c>
      <c r="K12" s="15">
        <f>L12+2002</f>
        <v>4473</v>
      </c>
      <c r="L12" s="15">
        <f>2471</f>
        <v>2471</v>
      </c>
      <c r="M12" s="16">
        <f t="shared" si="0"/>
        <v>2471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>
        <v>10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0.99637096774193545</v>
      </c>
      <c r="AC12" s="9">
        <f t="shared" si="5"/>
        <v>0.58333333333333337</v>
      </c>
      <c r="AD12" s="10">
        <f t="shared" si="6"/>
        <v>0.58121639784946233</v>
      </c>
      <c r="AE12" s="39">
        <f t="shared" si="7"/>
        <v>0.73251391170695057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680</v>
      </c>
      <c r="D13" s="55" t="s">
        <v>684</v>
      </c>
      <c r="E13" s="57" t="s">
        <v>685</v>
      </c>
      <c r="F13" s="12" t="s">
        <v>686</v>
      </c>
      <c r="G13" s="12">
        <v>1</v>
      </c>
      <c r="H13" s="13">
        <v>25</v>
      </c>
      <c r="I13" s="7">
        <v>20000</v>
      </c>
      <c r="J13" s="14">
        <v>2830</v>
      </c>
      <c r="K13" s="15">
        <f>L13+4189</f>
        <v>7011</v>
      </c>
      <c r="L13" s="15">
        <f>2215+607</f>
        <v>2822</v>
      </c>
      <c r="M13" s="16">
        <f t="shared" si="0"/>
        <v>2822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0.99717314487632513</v>
      </c>
      <c r="AC13" s="9">
        <f t="shared" si="5"/>
        <v>0.79166666666666663</v>
      </c>
      <c r="AD13" s="10">
        <f t="shared" si="6"/>
        <v>0.78942873969375738</v>
      </c>
      <c r="AE13" s="39">
        <f t="shared" si="7"/>
        <v>0.73251391170695057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233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2480</v>
      </c>
      <c r="K14" s="15">
        <f>L14</f>
        <v>2472</v>
      </c>
      <c r="L14" s="15">
        <f>2472</f>
        <v>2472</v>
      </c>
      <c r="M14" s="16">
        <f t="shared" si="0"/>
        <v>2472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>
        <v>10</v>
      </c>
      <c r="U14" s="17"/>
      <c r="V14" s="18"/>
      <c r="W14" s="19"/>
      <c r="X14" s="17"/>
      <c r="Y14" s="20"/>
      <c r="Z14" s="20"/>
      <c r="AA14" s="21"/>
      <c r="AB14" s="8">
        <f t="shared" si="4"/>
        <v>0.99677419354838714</v>
      </c>
      <c r="AC14" s="9">
        <f t="shared" si="5"/>
        <v>0.58333333333333337</v>
      </c>
      <c r="AD14" s="10">
        <f t="shared" si="6"/>
        <v>0.58145161290322589</v>
      </c>
      <c r="AE14" s="39">
        <f t="shared" si="7"/>
        <v>0.73251391170695057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445</v>
      </c>
      <c r="D15" s="55" t="s">
        <v>450</v>
      </c>
      <c r="E15" s="57" t="s">
        <v>451</v>
      </c>
      <c r="F15" s="12" t="s">
        <v>452</v>
      </c>
      <c r="G15" s="12">
        <v>2</v>
      </c>
      <c r="H15" s="13">
        <v>15</v>
      </c>
      <c r="I15" s="34">
        <v>50000</v>
      </c>
      <c r="J15" s="5">
        <v>10660</v>
      </c>
      <c r="K15" s="15">
        <f>L15+2068+5036+10624+10616+8304+10396+10530</f>
        <v>68232</v>
      </c>
      <c r="L15" s="15">
        <f>2753*2+2576*2</f>
        <v>10658</v>
      </c>
      <c r="M15" s="16">
        <f t="shared" si="0"/>
        <v>10658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0.99981238273921202</v>
      </c>
      <c r="AC15" s="9">
        <f t="shared" si="5"/>
        <v>1</v>
      </c>
      <c r="AD15" s="10">
        <f t="shared" si="6"/>
        <v>0.99981238273921202</v>
      </c>
      <c r="AE15" s="39">
        <f t="shared" si="7"/>
        <v>0.73251391170695057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135</v>
      </c>
      <c r="E16" s="57" t="s">
        <v>721</v>
      </c>
      <c r="F16" s="12">
        <v>7301</v>
      </c>
      <c r="G16" s="36">
        <v>1</v>
      </c>
      <c r="H16" s="38">
        <v>25</v>
      </c>
      <c r="I16" s="7">
        <v>18000</v>
      </c>
      <c r="J16" s="14">
        <v>2860</v>
      </c>
      <c r="K16" s="15">
        <f>L16</f>
        <v>2860</v>
      </c>
      <c r="L16" s="15">
        <f>385+2475</f>
        <v>2860</v>
      </c>
      <c r="M16" s="16">
        <f t="shared" si="0"/>
        <v>2860</v>
      </c>
      <c r="N16" s="16">
        <v>0</v>
      </c>
      <c r="O16" s="62">
        <f t="shared" si="1"/>
        <v>0</v>
      </c>
      <c r="P16" s="42">
        <f t="shared" si="2"/>
        <v>16</v>
      </c>
      <c r="Q16" s="43">
        <f t="shared" si="3"/>
        <v>8</v>
      </c>
      <c r="R16" s="7"/>
      <c r="S16" s="6"/>
      <c r="T16" s="17">
        <v>8</v>
      </c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9">
        <f t="shared" si="7"/>
        <v>0.73251391170695057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571</v>
      </c>
      <c r="E17" s="56" t="s">
        <v>572</v>
      </c>
      <c r="F17" s="12">
        <v>8301</v>
      </c>
      <c r="G17" s="12">
        <v>1</v>
      </c>
      <c r="H17" s="13">
        <v>25</v>
      </c>
      <c r="I17" s="34">
        <v>18000</v>
      </c>
      <c r="J17" s="5">
        <v>5310</v>
      </c>
      <c r="K17" s="15">
        <f>L17+869+3018+5225</f>
        <v>14414</v>
      </c>
      <c r="L17" s="15">
        <f>2764+2538</f>
        <v>5302</v>
      </c>
      <c r="M17" s="16">
        <f t="shared" si="0"/>
        <v>5302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0.99849340866290015</v>
      </c>
      <c r="AC17" s="9">
        <f t="shared" si="5"/>
        <v>1</v>
      </c>
      <c r="AD17" s="10">
        <f t="shared" si="6"/>
        <v>0.99849340866290015</v>
      </c>
      <c r="AE17" s="39">
        <f t="shared" si="7"/>
        <v>0.73251391170695057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680</v>
      </c>
      <c r="D18" s="55" t="s">
        <v>687</v>
      </c>
      <c r="E18" s="57" t="s">
        <v>688</v>
      </c>
      <c r="F18" s="12" t="s">
        <v>689</v>
      </c>
      <c r="G18" s="12">
        <v>1</v>
      </c>
      <c r="H18" s="13">
        <v>25</v>
      </c>
      <c r="I18" s="34">
        <v>26000</v>
      </c>
      <c r="J18" s="5">
        <v>3630</v>
      </c>
      <c r="K18" s="15">
        <f>L18+316</f>
        <v>3938</v>
      </c>
      <c r="L18" s="15">
        <f>2578+1044</f>
        <v>3622</v>
      </c>
      <c r="M18" s="16">
        <f t="shared" si="0"/>
        <v>3622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0.99779614325068866</v>
      </c>
      <c r="AC18" s="9">
        <f t="shared" si="5"/>
        <v>0.875</v>
      </c>
      <c r="AD18" s="10">
        <f t="shared" si="6"/>
        <v>0.87307162534435256</v>
      </c>
      <c r="AE18" s="39">
        <f>$AD$21</f>
        <v>0.73251391170695057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460</v>
      </c>
      <c r="F19" s="33" t="s">
        <v>455</v>
      </c>
      <c r="G19" s="36">
        <v>2</v>
      </c>
      <c r="H19" s="38">
        <v>25</v>
      </c>
      <c r="I19" s="34">
        <v>100000</v>
      </c>
      <c r="J19" s="5">
        <v>10320</v>
      </c>
      <c r="K19" s="15">
        <f>L19+6264+10600+6250+2340+4019+9772+10444</f>
        <v>60005</v>
      </c>
      <c r="L19" s="15">
        <f>2733*2+2425*2</f>
        <v>10316</v>
      </c>
      <c r="M19" s="16">
        <f t="shared" si="0"/>
        <v>10316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0.99961240310077515</v>
      </c>
      <c r="AC19" s="9">
        <f t="shared" si="5"/>
        <v>1</v>
      </c>
      <c r="AD19" s="10">
        <f t="shared" si="6"/>
        <v>0.99961240310077515</v>
      </c>
      <c r="AE19" s="39">
        <f>$AD$21</f>
        <v>0.73251391170695057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573</v>
      </c>
      <c r="F20" s="12" t="s">
        <v>120</v>
      </c>
      <c r="G20" s="12">
        <v>4</v>
      </c>
      <c r="H20" s="38">
        <v>20</v>
      </c>
      <c r="I20" s="7">
        <v>200000</v>
      </c>
      <c r="J20" s="14">
        <v>47510</v>
      </c>
      <c r="K20" s="15">
        <f>L20+38408+47264+47084+46964</f>
        <v>227224</v>
      </c>
      <c r="L20" s="15">
        <f>6123*4+5753*4</f>
        <v>47504</v>
      </c>
      <c r="M20" s="16">
        <f t="shared" si="0"/>
        <v>47504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0.9998737107977268</v>
      </c>
      <c r="AC20" s="9">
        <f t="shared" si="5"/>
        <v>1</v>
      </c>
      <c r="AD20" s="10">
        <f t="shared" si="6"/>
        <v>0.9998737107977268</v>
      </c>
      <c r="AE20" s="39">
        <f>$AD$21</f>
        <v>0.73251391170695057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7">SUM(I6:I20)</f>
        <v>861500</v>
      </c>
      <c r="J21" s="22">
        <f t="shared" si="17"/>
        <v>235680</v>
      </c>
      <c r="K21" s="23">
        <f t="shared" si="17"/>
        <v>962134</v>
      </c>
      <c r="L21" s="24">
        <f t="shared" si="17"/>
        <v>233652</v>
      </c>
      <c r="M21" s="23">
        <f t="shared" si="17"/>
        <v>233652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264</v>
      </c>
      <c r="Q21" s="46">
        <f t="shared" si="18"/>
        <v>96</v>
      </c>
      <c r="R21" s="26">
        <f t="shared" si="18"/>
        <v>0</v>
      </c>
      <c r="S21" s="27">
        <f t="shared" si="18"/>
        <v>34</v>
      </c>
      <c r="T21" s="27">
        <f t="shared" si="18"/>
        <v>18</v>
      </c>
      <c r="U21" s="27">
        <f t="shared" si="18"/>
        <v>0</v>
      </c>
      <c r="V21" s="28">
        <f t="shared" si="18"/>
        <v>0</v>
      </c>
      <c r="W21" s="29">
        <f t="shared" si="18"/>
        <v>44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0</v>
      </c>
      <c r="AB21" s="31">
        <f>SUM(AB6:AB20)/15</f>
        <v>0.93222820497227954</v>
      </c>
      <c r="AC21" s="4">
        <f>SUM(AC6:AC20)/15</f>
        <v>0.73333333333333328</v>
      </c>
      <c r="AD21" s="4">
        <f>SUM(AD6:AD20)/15</f>
        <v>0.73251391170695057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722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726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297" t="s">
        <v>47</v>
      </c>
      <c r="D50" s="297" t="s">
        <v>48</v>
      </c>
      <c r="E50" s="297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297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691</v>
      </c>
      <c r="B51" s="506"/>
      <c r="C51" s="298" t="s">
        <v>692</v>
      </c>
      <c r="D51" s="299" t="s">
        <v>684</v>
      </c>
      <c r="E51" s="298" t="s">
        <v>685</v>
      </c>
      <c r="F51" s="487" t="s">
        <v>723</v>
      </c>
      <c r="G51" s="487"/>
      <c r="H51" s="487"/>
      <c r="I51" s="487"/>
      <c r="J51" s="487"/>
      <c r="K51" s="487"/>
      <c r="L51" s="487"/>
      <c r="M51" s="498"/>
      <c r="N51" s="300" t="s">
        <v>128</v>
      </c>
      <c r="O51" s="74" t="s">
        <v>140</v>
      </c>
      <c r="P51" s="503" t="s">
        <v>727</v>
      </c>
      <c r="Q51" s="504"/>
      <c r="R51" s="497" t="s">
        <v>728</v>
      </c>
      <c r="S51" s="497"/>
      <c r="T51" s="497"/>
      <c r="U51" s="497"/>
      <c r="V51" s="487" t="s">
        <v>729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680</v>
      </c>
      <c r="B52" s="506"/>
      <c r="C52" s="298" t="s">
        <v>697</v>
      </c>
      <c r="D52" s="299" t="s">
        <v>698</v>
      </c>
      <c r="E52" s="298" t="s">
        <v>688</v>
      </c>
      <c r="F52" s="487" t="s">
        <v>723</v>
      </c>
      <c r="G52" s="487"/>
      <c r="H52" s="487"/>
      <c r="I52" s="487"/>
      <c r="J52" s="487"/>
      <c r="K52" s="487"/>
      <c r="L52" s="487"/>
      <c r="M52" s="498"/>
      <c r="N52" s="300" t="s">
        <v>730</v>
      </c>
      <c r="O52" s="74" t="s">
        <v>731</v>
      </c>
      <c r="P52" s="503" t="s">
        <v>732</v>
      </c>
      <c r="Q52" s="504"/>
      <c r="R52" s="497"/>
      <c r="S52" s="497"/>
      <c r="T52" s="497"/>
      <c r="U52" s="497"/>
      <c r="V52" s="487" t="s">
        <v>665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680</v>
      </c>
      <c r="B53" s="506"/>
      <c r="C53" s="298" t="s">
        <v>700</v>
      </c>
      <c r="D53" s="299" t="s">
        <v>701</v>
      </c>
      <c r="E53" s="298" t="s">
        <v>702</v>
      </c>
      <c r="F53" s="487" t="s">
        <v>723</v>
      </c>
      <c r="G53" s="487"/>
      <c r="H53" s="487"/>
      <c r="I53" s="487"/>
      <c r="J53" s="487"/>
      <c r="K53" s="487"/>
      <c r="L53" s="487"/>
      <c r="M53" s="498"/>
      <c r="N53" s="300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704</v>
      </c>
      <c r="B54" s="506"/>
      <c r="C54" s="298" t="s">
        <v>724</v>
      </c>
      <c r="D54" s="299" t="s">
        <v>706</v>
      </c>
      <c r="E54" s="298" t="s">
        <v>707</v>
      </c>
      <c r="F54" s="487" t="s">
        <v>725</v>
      </c>
      <c r="G54" s="487"/>
      <c r="H54" s="487"/>
      <c r="I54" s="487"/>
      <c r="J54" s="487"/>
      <c r="K54" s="487"/>
      <c r="L54" s="487"/>
      <c r="M54" s="498"/>
      <c r="N54" s="300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733</v>
      </c>
      <c r="B55" s="506"/>
      <c r="C55" s="298" t="s">
        <v>734</v>
      </c>
      <c r="D55" s="299" t="s">
        <v>135</v>
      </c>
      <c r="E55" s="298" t="s">
        <v>721</v>
      </c>
      <c r="F55" s="487" t="s">
        <v>735</v>
      </c>
      <c r="G55" s="487"/>
      <c r="H55" s="487"/>
      <c r="I55" s="487"/>
      <c r="J55" s="487"/>
      <c r="K55" s="487"/>
      <c r="L55" s="487"/>
      <c r="M55" s="498"/>
      <c r="N55" s="300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299"/>
      <c r="D56" s="299"/>
      <c r="E56" s="298"/>
      <c r="F56" s="487"/>
      <c r="G56" s="487"/>
      <c r="H56" s="487"/>
      <c r="I56" s="487"/>
      <c r="J56" s="487"/>
      <c r="K56" s="487"/>
      <c r="L56" s="487"/>
      <c r="M56" s="498"/>
      <c r="N56" s="300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299"/>
      <c r="D57" s="299"/>
      <c r="E57" s="298"/>
      <c r="F57" s="487"/>
      <c r="G57" s="487"/>
      <c r="H57" s="487"/>
      <c r="I57" s="487"/>
      <c r="J57" s="487"/>
      <c r="K57" s="487"/>
      <c r="L57" s="487"/>
      <c r="M57" s="498"/>
      <c r="N57" s="300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298"/>
      <c r="D58" s="299"/>
      <c r="E58" s="298"/>
      <c r="F58" s="487"/>
      <c r="G58" s="487"/>
      <c r="H58" s="487"/>
      <c r="I58" s="487"/>
      <c r="J58" s="487"/>
      <c r="K58" s="487"/>
      <c r="L58" s="487"/>
      <c r="M58" s="498"/>
      <c r="N58" s="300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299"/>
      <c r="D59" s="299"/>
      <c r="E59" s="299"/>
      <c r="F59" s="487"/>
      <c r="G59" s="487"/>
      <c r="H59" s="487"/>
      <c r="I59" s="487"/>
      <c r="J59" s="487"/>
      <c r="K59" s="487"/>
      <c r="L59" s="487"/>
      <c r="M59" s="498"/>
      <c r="N59" s="300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302"/>
      <c r="D60" s="302"/>
      <c r="E60" s="302"/>
      <c r="F60" s="501"/>
      <c r="G60" s="501"/>
      <c r="H60" s="501"/>
      <c r="I60" s="501"/>
      <c r="J60" s="501"/>
      <c r="K60" s="501"/>
      <c r="L60" s="501"/>
      <c r="M60" s="502"/>
      <c r="N60" s="301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736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303" t="s">
        <v>2</v>
      </c>
      <c r="D62" s="303" t="s">
        <v>38</v>
      </c>
      <c r="E62" s="303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303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305" t="s">
        <v>737</v>
      </c>
      <c r="D63" s="307"/>
      <c r="E63" s="304" t="s">
        <v>738</v>
      </c>
      <c r="F63" s="485" t="s">
        <v>739</v>
      </c>
      <c r="G63" s="475"/>
      <c r="H63" s="475"/>
      <c r="I63" s="475"/>
      <c r="J63" s="475"/>
      <c r="K63" s="475">
        <v>7301</v>
      </c>
      <c r="L63" s="475"/>
      <c r="M63" s="54" t="s">
        <v>740</v>
      </c>
      <c r="N63" s="475">
        <v>4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305"/>
      <c r="D64" s="307"/>
      <c r="E64" s="304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305"/>
      <c r="D65" s="307"/>
      <c r="E65" s="304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305"/>
      <c r="D66" s="307"/>
      <c r="E66" s="304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305"/>
      <c r="D67" s="307"/>
      <c r="E67" s="304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305"/>
      <c r="D68" s="307"/>
      <c r="E68" s="304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305"/>
      <c r="D69" s="307"/>
      <c r="E69" s="304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305"/>
      <c r="D70" s="307"/>
      <c r="E70" s="304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742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306" t="s">
        <v>2</v>
      </c>
      <c r="D72" s="306" t="s">
        <v>38</v>
      </c>
      <c r="E72" s="306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308" t="s">
        <v>62</v>
      </c>
      <c r="D73" s="308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307" t="s">
        <v>128</v>
      </c>
      <c r="D74" s="307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9">A74+1</f>
        <v>3</v>
      </c>
      <c r="B75" s="447"/>
      <c r="C75" s="307" t="s">
        <v>62</v>
      </c>
      <c r="D75" s="307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9"/>
        <v>4</v>
      </c>
      <c r="B76" s="447"/>
      <c r="C76" s="307" t="s">
        <v>62</v>
      </c>
      <c r="D76" s="307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9"/>
        <v>5</v>
      </c>
      <c r="B77" s="447"/>
      <c r="C77" s="307" t="s">
        <v>62</v>
      </c>
      <c r="D77" s="307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9"/>
        <v>6</v>
      </c>
      <c r="B78" s="447"/>
      <c r="C78" s="307"/>
      <c r="D78" s="307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9"/>
        <v>7</v>
      </c>
      <c r="B79" s="447"/>
      <c r="C79" s="307"/>
      <c r="D79" s="307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9"/>
        <v>8</v>
      </c>
      <c r="B80" s="447"/>
      <c r="C80" s="307"/>
      <c r="D80" s="307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9"/>
        <v>9</v>
      </c>
      <c r="B81" s="447"/>
      <c r="C81" s="307"/>
      <c r="D81" s="307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741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" zoomScale="72" zoomScaleNormal="72" zoomScaleSheetLayoutView="70" workbookViewId="0">
      <selection activeCell="AE16" sqref="AE16:AE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743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21" t="s">
        <v>17</v>
      </c>
      <c r="L5" s="321" t="s">
        <v>18</v>
      </c>
      <c r="M5" s="321" t="s">
        <v>19</v>
      </c>
      <c r="N5" s="3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4470</v>
      </c>
      <c r="K6" s="15">
        <f>L6+2812+4517+4587</f>
        <v>16386</v>
      </c>
      <c r="L6" s="15">
        <f>2297+2173</f>
        <v>4470</v>
      </c>
      <c r="M6" s="16">
        <f t="shared" ref="M6:M21" si="0">L6-N6</f>
        <v>4470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9">
        <f t="shared" ref="AE6:AE18" si="7">$AD$22</f>
        <v>0.7968571814037525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302</v>
      </c>
      <c r="D7" s="55" t="s">
        <v>310</v>
      </c>
      <c r="E7" s="56" t="s">
        <v>588</v>
      </c>
      <c r="F7" s="12">
        <v>7301</v>
      </c>
      <c r="G7" s="36">
        <v>1</v>
      </c>
      <c r="H7" s="38">
        <v>25</v>
      </c>
      <c r="I7" s="7">
        <v>120000</v>
      </c>
      <c r="J7" s="14">
        <f>12460</f>
        <v>12460</v>
      </c>
      <c r="K7" s="15">
        <f>L7+13888+20084+14448+20152+19952+19964+9820+6256+15512+12460</f>
        <v>152536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0.7968571814037525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448</v>
      </c>
      <c r="G8" s="36">
        <v>2</v>
      </c>
      <c r="H8" s="38">
        <v>25</v>
      </c>
      <c r="I8" s="7">
        <v>50000</v>
      </c>
      <c r="J8" s="14">
        <v>10630</v>
      </c>
      <c r="K8" s="15">
        <f>L8+428+5928+9732+6966+9958+3348+7302</f>
        <v>54290</v>
      </c>
      <c r="L8" s="15">
        <f>2759*2+2555*2</f>
        <v>10628</v>
      </c>
      <c r="M8" s="16">
        <f t="shared" si="0"/>
        <v>10628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0.99981185324553157</v>
      </c>
      <c r="AC8" s="9">
        <f t="shared" si="5"/>
        <v>1</v>
      </c>
      <c r="AD8" s="10">
        <f t="shared" si="6"/>
        <v>0.99981185324553157</v>
      </c>
      <c r="AE8" s="39">
        <f t="shared" si="7"/>
        <v>0.7968571814037525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680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2890</v>
      </c>
      <c r="K9" s="15">
        <f>L9</f>
        <v>2886</v>
      </c>
      <c r="L9" s="15">
        <f>2886</f>
        <v>2886</v>
      </c>
      <c r="M9" s="16">
        <f t="shared" si="0"/>
        <v>2886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>
        <v>10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0.99861591695501728</v>
      </c>
      <c r="AC9" s="9">
        <f t="shared" si="5"/>
        <v>0.58333333333333337</v>
      </c>
      <c r="AD9" s="10">
        <f t="shared" si="6"/>
        <v>0.58252595155709341</v>
      </c>
      <c r="AE9" s="39">
        <f t="shared" si="7"/>
        <v>0.7968571814037525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8850</v>
      </c>
      <c r="K10" s="15">
        <f>L10+7510+8800+7448+10498+7300+10522+10338+5436</f>
        <v>76694</v>
      </c>
      <c r="L10" s="15">
        <f>2720*2+1701*2</f>
        <v>8842</v>
      </c>
      <c r="M10" s="16">
        <f t="shared" si="0"/>
        <v>8842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0.99909604519774009</v>
      </c>
      <c r="AC10" s="9">
        <f t="shared" si="5"/>
        <v>0.875</v>
      </c>
      <c r="AD10" s="10">
        <f t="shared" si="6"/>
        <v>0.87420903954802254</v>
      </c>
      <c r="AE10" s="39">
        <f t="shared" si="7"/>
        <v>0.7968571814037525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2000</v>
      </c>
      <c r="J11" s="14">
        <v>2720</v>
      </c>
      <c r="K11" s="15">
        <f>L11</f>
        <v>2718</v>
      </c>
      <c r="L11" s="15">
        <f>2718</f>
        <v>2718</v>
      </c>
      <c r="M11" s="16">
        <f t="shared" si="0"/>
        <v>2718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/>
      <c r="T11" s="17">
        <v>8</v>
      </c>
      <c r="U11" s="17"/>
      <c r="V11" s="18"/>
      <c r="W11" s="19"/>
      <c r="X11" s="17"/>
      <c r="Y11" s="20"/>
      <c r="Z11" s="20"/>
      <c r="AA11" s="21"/>
      <c r="AB11" s="8">
        <f t="shared" si="4"/>
        <v>0.99926470588235294</v>
      </c>
      <c r="AC11" s="9">
        <f t="shared" si="5"/>
        <v>0.66666666666666663</v>
      </c>
      <c r="AD11" s="10">
        <f t="shared" si="6"/>
        <v>0.66617647058823526</v>
      </c>
      <c r="AE11" s="39">
        <f t="shared" si="7"/>
        <v>0.7968571814037525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4370</v>
      </c>
      <c r="K12" s="15">
        <f>L12+2002+2471</f>
        <v>8837</v>
      </c>
      <c r="L12" s="15">
        <f>1857+2507</f>
        <v>4364</v>
      </c>
      <c r="M12" s="16">
        <f t="shared" si="0"/>
        <v>4364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0.99862700228832957</v>
      </c>
      <c r="AC12" s="9">
        <f t="shared" si="5"/>
        <v>1</v>
      </c>
      <c r="AD12" s="10">
        <f t="shared" si="6"/>
        <v>0.99862700228832957</v>
      </c>
      <c r="AE12" s="39">
        <f t="shared" si="7"/>
        <v>0.7968571814037525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680</v>
      </c>
      <c r="D13" s="55" t="s">
        <v>684</v>
      </c>
      <c r="E13" s="57" t="s">
        <v>685</v>
      </c>
      <c r="F13" s="12" t="s">
        <v>686</v>
      </c>
      <c r="G13" s="12">
        <v>1</v>
      </c>
      <c r="H13" s="13">
        <v>25</v>
      </c>
      <c r="I13" s="7">
        <v>20000</v>
      </c>
      <c r="J13" s="14">
        <v>5090</v>
      </c>
      <c r="K13" s="15">
        <f>L13+4189+2822</f>
        <v>12098</v>
      </c>
      <c r="L13" s="15">
        <f>2587+2500</f>
        <v>5087</v>
      </c>
      <c r="M13" s="16">
        <f t="shared" si="0"/>
        <v>5087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0.99941060903732815</v>
      </c>
      <c r="AC13" s="9">
        <f t="shared" si="5"/>
        <v>1</v>
      </c>
      <c r="AD13" s="10">
        <f t="shared" si="6"/>
        <v>0.99941060903732815</v>
      </c>
      <c r="AE13" s="39">
        <f t="shared" si="7"/>
        <v>0.7968571814037525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233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5140</v>
      </c>
      <c r="K14" s="15">
        <f>L14+2472</f>
        <v>7605</v>
      </c>
      <c r="L14" s="15">
        <f>2651+2482</f>
        <v>5133</v>
      </c>
      <c r="M14" s="16">
        <f t="shared" si="0"/>
        <v>5133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0.99863813229571985</v>
      </c>
      <c r="AC14" s="9">
        <f t="shared" si="5"/>
        <v>1</v>
      </c>
      <c r="AD14" s="10">
        <f t="shared" si="6"/>
        <v>0.99863813229571985</v>
      </c>
      <c r="AE14" s="39">
        <f t="shared" si="7"/>
        <v>0.7968571814037525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2140</v>
      </c>
      <c r="K15" s="15">
        <f>L15</f>
        <v>2138</v>
      </c>
      <c r="L15" s="15">
        <f>2138</f>
        <v>2138</v>
      </c>
      <c r="M15" s="16">
        <f t="shared" si="0"/>
        <v>2138</v>
      </c>
      <c r="N15" s="16">
        <v>0</v>
      </c>
      <c r="O15" s="62">
        <f t="shared" si="1"/>
        <v>0</v>
      </c>
      <c r="P15" s="42">
        <f t="shared" si="2"/>
        <v>12</v>
      </c>
      <c r="Q15" s="43">
        <f t="shared" si="3"/>
        <v>12</v>
      </c>
      <c r="R15" s="7"/>
      <c r="S15" s="6">
        <v>12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0.99906542056074765</v>
      </c>
      <c r="AC15" s="9">
        <f t="shared" si="5"/>
        <v>0.5</v>
      </c>
      <c r="AD15" s="10">
        <f t="shared" si="6"/>
        <v>0.49953271028037383</v>
      </c>
      <c r="AE15" s="39">
        <f t="shared" si="7"/>
        <v>0.7968571814037525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135</v>
      </c>
      <c r="E16" s="57" t="s">
        <v>721</v>
      </c>
      <c r="F16" s="12">
        <v>7301</v>
      </c>
      <c r="G16" s="36">
        <v>1</v>
      </c>
      <c r="H16" s="38">
        <v>25</v>
      </c>
      <c r="I16" s="7">
        <v>18000</v>
      </c>
      <c r="J16" s="14">
        <v>4760</v>
      </c>
      <c r="K16" s="15">
        <f>L16+2860</f>
        <v>7612</v>
      </c>
      <c r="L16" s="15">
        <f>2441+2311</f>
        <v>4752</v>
      </c>
      <c r="M16" s="16">
        <f t="shared" si="0"/>
        <v>4752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0.99831932773109244</v>
      </c>
      <c r="AC16" s="9">
        <f t="shared" si="5"/>
        <v>1</v>
      </c>
      <c r="AD16" s="10">
        <f t="shared" si="6"/>
        <v>0.99831932773109244</v>
      </c>
      <c r="AE16" s="39">
        <f t="shared" si="7"/>
        <v>0.7968571814037525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571</v>
      </c>
      <c r="E17" s="56" t="s">
        <v>572</v>
      </c>
      <c r="F17" s="12">
        <v>8301</v>
      </c>
      <c r="G17" s="12">
        <v>1</v>
      </c>
      <c r="H17" s="13">
        <v>25</v>
      </c>
      <c r="I17" s="34">
        <v>18000</v>
      </c>
      <c r="J17" s="5">
        <v>1840</v>
      </c>
      <c r="K17" s="15">
        <f>L17+869+3018+5225+5302</f>
        <v>16252</v>
      </c>
      <c r="L17" s="15">
        <f>1838</f>
        <v>1838</v>
      </c>
      <c r="M17" s="16">
        <f t="shared" si="0"/>
        <v>1838</v>
      </c>
      <c r="N17" s="16">
        <v>0</v>
      </c>
      <c r="O17" s="62">
        <f t="shared" si="1"/>
        <v>0</v>
      </c>
      <c r="P17" s="42">
        <f t="shared" si="2"/>
        <v>11</v>
      </c>
      <c r="Q17" s="43">
        <f t="shared" si="3"/>
        <v>13</v>
      </c>
      <c r="R17" s="7"/>
      <c r="S17" s="6">
        <v>13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0.99891304347826082</v>
      </c>
      <c r="AC17" s="9">
        <f t="shared" si="5"/>
        <v>0.45833333333333331</v>
      </c>
      <c r="AD17" s="10">
        <f t="shared" si="6"/>
        <v>0.45783514492753619</v>
      </c>
      <c r="AE17" s="39">
        <f t="shared" si="7"/>
        <v>0.7968571814037525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680</v>
      </c>
      <c r="D18" s="55" t="s">
        <v>687</v>
      </c>
      <c r="E18" s="57" t="s">
        <v>688</v>
      </c>
      <c r="F18" s="12" t="s">
        <v>689</v>
      </c>
      <c r="G18" s="12">
        <v>1</v>
      </c>
      <c r="H18" s="13">
        <v>25</v>
      </c>
      <c r="I18" s="34">
        <v>26000</v>
      </c>
      <c r="J18" s="5">
        <v>4350</v>
      </c>
      <c r="K18" s="15">
        <f>L18+316+3622</f>
        <v>8281</v>
      </c>
      <c r="L18" s="15">
        <f>2114+2229</f>
        <v>4343</v>
      </c>
      <c r="M18" s="16">
        <f t="shared" si="0"/>
        <v>4343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0.99839080459770113</v>
      </c>
      <c r="AC18" s="9">
        <f t="shared" si="5"/>
        <v>0.91666666666666663</v>
      </c>
      <c r="AD18" s="10">
        <f t="shared" si="6"/>
        <v>0.91519157088122605</v>
      </c>
      <c r="AE18" s="39">
        <f t="shared" si="7"/>
        <v>0.7968571814037525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431</v>
      </c>
      <c r="F19" s="33" t="s">
        <v>448</v>
      </c>
      <c r="G19" s="36">
        <v>2</v>
      </c>
      <c r="H19" s="38">
        <v>25</v>
      </c>
      <c r="I19" s="34">
        <v>100000</v>
      </c>
      <c r="J19" s="5">
        <v>10500</v>
      </c>
      <c r="K19" s="15">
        <f>L19+6264+10600+6250+2340+4019+9772+10444+10316</f>
        <v>70505</v>
      </c>
      <c r="L19" s="15">
        <f>2708*2+2542*2</f>
        <v>10500</v>
      </c>
      <c r="M19" s="16">
        <f t="shared" si="0"/>
        <v>10500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>$AD$22</f>
        <v>0.7968571814037525</v>
      </c>
      <c r="AF19" s="94">
        <f t="shared" si="8"/>
        <v>14</v>
      </c>
    </row>
    <row r="20" spans="1:32" ht="27" customHeight="1">
      <c r="A20" s="110">
        <v>15</v>
      </c>
      <c r="B20" s="11" t="s">
        <v>59</v>
      </c>
      <c r="C20" s="11" t="s">
        <v>119</v>
      </c>
      <c r="D20" s="55"/>
      <c r="E20" s="56" t="s">
        <v>573</v>
      </c>
      <c r="F20" s="12" t="s">
        <v>120</v>
      </c>
      <c r="G20" s="12">
        <v>4</v>
      </c>
      <c r="H20" s="38">
        <v>20</v>
      </c>
      <c r="I20" s="7">
        <v>200000</v>
      </c>
      <c r="J20" s="14">
        <v>8700</v>
      </c>
      <c r="K20" s="15">
        <f>L20+38408+47264+47084+46964+47504</f>
        <v>235924</v>
      </c>
      <c r="L20" s="15">
        <f>2175*4</f>
        <v>8700</v>
      </c>
      <c r="M20" s="16">
        <f t="shared" ref="M20" si="10">L20-N20</f>
        <v>8700</v>
      </c>
      <c r="N20" s="16">
        <v>0</v>
      </c>
      <c r="O20" s="62">
        <f t="shared" ref="O20" si="11">IF(L20=0,"0",N20/L20)</f>
        <v>0</v>
      </c>
      <c r="P20" s="42">
        <f t="shared" ref="P20" si="12">IF(L20=0,"0",(24-Q20))</f>
        <v>8</v>
      </c>
      <c r="Q20" s="43">
        <f t="shared" ref="Q20" si="13">SUM(R20:AA20)</f>
        <v>16</v>
      </c>
      <c r="R20" s="7"/>
      <c r="S20" s="6"/>
      <c r="T20" s="17"/>
      <c r="U20" s="17"/>
      <c r="V20" s="18"/>
      <c r="W20" s="19">
        <v>16</v>
      </c>
      <c r="X20" s="17"/>
      <c r="Y20" s="20"/>
      <c r="Z20" s="20"/>
      <c r="AA20" s="21"/>
      <c r="AB20" s="8">
        <f t="shared" ref="AB20" si="14">IF(J20=0,"0",(L20/J20))</f>
        <v>1</v>
      </c>
      <c r="AC20" s="9">
        <f t="shared" ref="AC20" si="15">IF(P20=0,"0",(P20/24))</f>
        <v>0.33333333333333331</v>
      </c>
      <c r="AD20" s="10">
        <f t="shared" ref="AD20" si="16">AC20*AB20*(1-O20)</f>
        <v>0.33333333333333331</v>
      </c>
      <c r="AE20" s="39">
        <f>$AD$22</f>
        <v>0.7968571814037525</v>
      </c>
      <c r="AF20" s="94">
        <f t="shared" ref="AF20" si="17">A20</f>
        <v>15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778</v>
      </c>
      <c r="F21" s="12" t="s">
        <v>120</v>
      </c>
      <c r="G21" s="12">
        <v>4</v>
      </c>
      <c r="H21" s="38">
        <v>20</v>
      </c>
      <c r="I21" s="7">
        <v>200000</v>
      </c>
      <c r="J21" s="14">
        <v>36500</v>
      </c>
      <c r="K21" s="15">
        <f>L21</f>
        <v>36748</v>
      </c>
      <c r="L21" s="15">
        <f>6093*4+3094*4</f>
        <v>36748</v>
      </c>
      <c r="M21" s="16">
        <f t="shared" si="0"/>
        <v>36748</v>
      </c>
      <c r="N21" s="16">
        <v>0</v>
      </c>
      <c r="O21" s="62">
        <f t="shared" si="1"/>
        <v>0</v>
      </c>
      <c r="P21" s="42">
        <f t="shared" si="2"/>
        <v>15</v>
      </c>
      <c r="Q21" s="43">
        <f t="shared" si="3"/>
        <v>9</v>
      </c>
      <c r="R21" s="7"/>
      <c r="S21" s="6"/>
      <c r="T21" s="17">
        <v>9</v>
      </c>
      <c r="U21" s="17"/>
      <c r="V21" s="18"/>
      <c r="W21" s="19"/>
      <c r="X21" s="17"/>
      <c r="Y21" s="20"/>
      <c r="Z21" s="20"/>
      <c r="AA21" s="21"/>
      <c r="AB21" s="8">
        <f t="shared" si="4"/>
        <v>1.0067945205479452</v>
      </c>
      <c r="AC21" s="9">
        <f t="shared" si="5"/>
        <v>0.625</v>
      </c>
      <c r="AD21" s="10">
        <f t="shared" si="6"/>
        <v>0.62924657534246575</v>
      </c>
      <c r="AE21" s="39">
        <f>$AD$22</f>
        <v>0.7968571814037525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8">SUM(I6:I21)</f>
        <v>938500</v>
      </c>
      <c r="J22" s="22">
        <f t="shared" si="18"/>
        <v>125410</v>
      </c>
      <c r="K22" s="23">
        <f t="shared" si="18"/>
        <v>711510</v>
      </c>
      <c r="L22" s="24">
        <f t="shared" si="18"/>
        <v>113147</v>
      </c>
      <c r="M22" s="23">
        <f t="shared" si="18"/>
        <v>113147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287</v>
      </c>
      <c r="Q22" s="46">
        <f t="shared" si="19"/>
        <v>97</v>
      </c>
      <c r="R22" s="26">
        <f t="shared" si="19"/>
        <v>0</v>
      </c>
      <c r="S22" s="27">
        <f t="shared" si="19"/>
        <v>40</v>
      </c>
      <c r="T22" s="27">
        <f t="shared" si="19"/>
        <v>17</v>
      </c>
      <c r="U22" s="27">
        <f t="shared" si="19"/>
        <v>0</v>
      </c>
      <c r="V22" s="28">
        <f t="shared" si="19"/>
        <v>0</v>
      </c>
      <c r="W22" s="29">
        <f t="shared" si="19"/>
        <v>40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0.99966315878785106</v>
      </c>
      <c r="AC22" s="4">
        <f>SUM(AC6:AC21)/15</f>
        <v>0.79722222222222228</v>
      </c>
      <c r="AD22" s="4">
        <f>SUM(AD6:AD21)/15</f>
        <v>0.7968571814037525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749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762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320" t="s">
        <v>47</v>
      </c>
      <c r="D51" s="320" t="s">
        <v>48</v>
      </c>
      <c r="E51" s="320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320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680</v>
      </c>
      <c r="B52" s="506"/>
      <c r="C52" s="319" t="s">
        <v>697</v>
      </c>
      <c r="D52" s="316" t="s">
        <v>698</v>
      </c>
      <c r="E52" s="319" t="s">
        <v>688</v>
      </c>
      <c r="F52" s="487" t="s">
        <v>750</v>
      </c>
      <c r="G52" s="487"/>
      <c r="H52" s="487"/>
      <c r="I52" s="487"/>
      <c r="J52" s="487"/>
      <c r="K52" s="487"/>
      <c r="L52" s="487"/>
      <c r="M52" s="498"/>
      <c r="N52" s="315" t="s">
        <v>128</v>
      </c>
      <c r="O52" s="74" t="s">
        <v>140</v>
      </c>
      <c r="P52" s="503" t="s">
        <v>727</v>
      </c>
      <c r="Q52" s="504"/>
      <c r="R52" s="497" t="s">
        <v>728</v>
      </c>
      <c r="S52" s="497"/>
      <c r="T52" s="497"/>
      <c r="U52" s="497"/>
      <c r="V52" s="487" t="s">
        <v>763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751</v>
      </c>
      <c r="B53" s="506"/>
      <c r="C53" s="319" t="s">
        <v>426</v>
      </c>
      <c r="D53" s="316" t="s">
        <v>752</v>
      </c>
      <c r="E53" s="319" t="s">
        <v>753</v>
      </c>
      <c r="F53" s="487" t="s">
        <v>754</v>
      </c>
      <c r="G53" s="487"/>
      <c r="H53" s="487"/>
      <c r="I53" s="487"/>
      <c r="J53" s="487"/>
      <c r="K53" s="487"/>
      <c r="L53" s="487"/>
      <c r="M53" s="498"/>
      <c r="N53" s="315" t="s">
        <v>595</v>
      </c>
      <c r="O53" s="74" t="s">
        <v>767</v>
      </c>
      <c r="P53" s="503" t="s">
        <v>768</v>
      </c>
      <c r="Q53" s="504"/>
      <c r="R53" s="497" t="s">
        <v>769</v>
      </c>
      <c r="S53" s="497"/>
      <c r="T53" s="497"/>
      <c r="U53" s="497"/>
      <c r="V53" s="487" t="s">
        <v>770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122</v>
      </c>
      <c r="B54" s="506"/>
      <c r="C54" s="319" t="s">
        <v>432</v>
      </c>
      <c r="D54" s="316" t="s">
        <v>755</v>
      </c>
      <c r="E54" s="319" t="s">
        <v>748</v>
      </c>
      <c r="F54" s="487" t="s">
        <v>425</v>
      </c>
      <c r="G54" s="487"/>
      <c r="H54" s="487"/>
      <c r="I54" s="487"/>
      <c r="J54" s="487"/>
      <c r="K54" s="487"/>
      <c r="L54" s="487"/>
      <c r="M54" s="498"/>
      <c r="N54" s="315" t="s">
        <v>751</v>
      </c>
      <c r="O54" s="74" t="s">
        <v>772</v>
      </c>
      <c r="P54" s="503" t="s">
        <v>773</v>
      </c>
      <c r="Q54" s="504"/>
      <c r="R54" s="497" t="s">
        <v>771</v>
      </c>
      <c r="S54" s="497"/>
      <c r="T54" s="497"/>
      <c r="U54" s="497"/>
      <c r="V54" s="487" t="s">
        <v>754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756</v>
      </c>
      <c r="B55" s="506"/>
      <c r="C55" s="319" t="s">
        <v>757</v>
      </c>
      <c r="D55" s="316" t="s">
        <v>758</v>
      </c>
      <c r="E55" s="319" t="s">
        <v>759</v>
      </c>
      <c r="F55" s="487" t="s">
        <v>760</v>
      </c>
      <c r="G55" s="487"/>
      <c r="H55" s="487"/>
      <c r="I55" s="487"/>
      <c r="J55" s="487"/>
      <c r="K55" s="487"/>
      <c r="L55" s="487"/>
      <c r="M55" s="498"/>
      <c r="N55" s="315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595</v>
      </c>
      <c r="B56" s="506"/>
      <c r="C56" s="319" t="s">
        <v>416</v>
      </c>
      <c r="D56" s="316" t="s">
        <v>744</v>
      </c>
      <c r="E56" s="319" t="s">
        <v>745</v>
      </c>
      <c r="F56" s="487" t="s">
        <v>761</v>
      </c>
      <c r="G56" s="487"/>
      <c r="H56" s="487"/>
      <c r="I56" s="487"/>
      <c r="J56" s="487"/>
      <c r="K56" s="487"/>
      <c r="L56" s="487"/>
      <c r="M56" s="498"/>
      <c r="N56" s="315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 t="s">
        <v>764</v>
      </c>
      <c r="B57" s="497"/>
      <c r="C57" s="316" t="s">
        <v>765</v>
      </c>
      <c r="D57" s="316" t="s">
        <v>766</v>
      </c>
      <c r="E57" s="319"/>
      <c r="F57" s="487" t="s">
        <v>425</v>
      </c>
      <c r="G57" s="487"/>
      <c r="H57" s="487"/>
      <c r="I57" s="487"/>
      <c r="J57" s="487"/>
      <c r="K57" s="487"/>
      <c r="L57" s="487"/>
      <c r="M57" s="498"/>
      <c r="N57" s="315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316"/>
      <c r="D58" s="316"/>
      <c r="E58" s="319"/>
      <c r="F58" s="487"/>
      <c r="G58" s="487"/>
      <c r="H58" s="487"/>
      <c r="I58" s="487"/>
      <c r="J58" s="487"/>
      <c r="K58" s="487"/>
      <c r="L58" s="487"/>
      <c r="M58" s="498"/>
      <c r="N58" s="315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319"/>
      <c r="D59" s="316"/>
      <c r="E59" s="319"/>
      <c r="F59" s="487"/>
      <c r="G59" s="487"/>
      <c r="H59" s="487"/>
      <c r="I59" s="487"/>
      <c r="J59" s="487"/>
      <c r="K59" s="487"/>
      <c r="L59" s="487"/>
      <c r="M59" s="498"/>
      <c r="N59" s="315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316"/>
      <c r="D60" s="316"/>
      <c r="E60" s="316"/>
      <c r="F60" s="487"/>
      <c r="G60" s="487"/>
      <c r="H60" s="487"/>
      <c r="I60" s="487"/>
      <c r="J60" s="487"/>
      <c r="K60" s="487"/>
      <c r="L60" s="487"/>
      <c r="M60" s="498"/>
      <c r="N60" s="315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318"/>
      <c r="D61" s="318"/>
      <c r="E61" s="318"/>
      <c r="F61" s="501"/>
      <c r="G61" s="501"/>
      <c r="H61" s="501"/>
      <c r="I61" s="501"/>
      <c r="J61" s="501"/>
      <c r="K61" s="501"/>
      <c r="L61" s="501"/>
      <c r="M61" s="502"/>
      <c r="N61" s="317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774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314" t="s">
        <v>2</v>
      </c>
      <c r="D63" s="314" t="s">
        <v>38</v>
      </c>
      <c r="E63" s="314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314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313"/>
      <c r="D64" s="309"/>
      <c r="E64" s="311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313"/>
      <c r="D65" s="309"/>
      <c r="E65" s="311"/>
      <c r="F65" s="485"/>
      <c r="G65" s="475"/>
      <c r="H65" s="475"/>
      <c r="I65" s="475"/>
      <c r="J65" s="475"/>
      <c r="K65" s="475"/>
      <c r="L65" s="475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313"/>
      <c r="D66" s="309"/>
      <c r="E66" s="311"/>
      <c r="F66" s="485"/>
      <c r="G66" s="475"/>
      <c r="H66" s="475"/>
      <c r="I66" s="475"/>
      <c r="J66" s="475"/>
      <c r="K66" s="488"/>
      <c r="L66" s="488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313"/>
      <c r="D67" s="309"/>
      <c r="E67" s="311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313"/>
      <c r="D68" s="309"/>
      <c r="E68" s="311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313"/>
      <c r="D69" s="309"/>
      <c r="E69" s="311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313"/>
      <c r="D70" s="309"/>
      <c r="E70" s="311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313"/>
      <c r="D71" s="309"/>
      <c r="E71" s="311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775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312" t="s">
        <v>2</v>
      </c>
      <c r="D73" s="312" t="s">
        <v>38</v>
      </c>
      <c r="E73" s="312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310" t="s">
        <v>62</v>
      </c>
      <c r="D74" s="310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309" t="s">
        <v>128</v>
      </c>
      <c r="D75" s="309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0">A75+1</f>
        <v>3</v>
      </c>
      <c r="B76" s="447"/>
      <c r="C76" s="309" t="s">
        <v>62</v>
      </c>
      <c r="D76" s="309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0"/>
        <v>4</v>
      </c>
      <c r="B77" s="447"/>
      <c r="C77" s="309" t="s">
        <v>62</v>
      </c>
      <c r="D77" s="309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5</v>
      </c>
      <c r="B78" s="447"/>
      <c r="C78" s="309" t="s">
        <v>62</v>
      </c>
      <c r="D78" s="309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6</v>
      </c>
      <c r="B79" s="447"/>
      <c r="C79" s="309"/>
      <c r="D79" s="309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7</v>
      </c>
      <c r="B80" s="447"/>
      <c r="C80" s="309"/>
      <c r="D80" s="309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8</v>
      </c>
      <c r="B81" s="447"/>
      <c r="C81" s="309"/>
      <c r="D81" s="309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9</v>
      </c>
      <c r="B82" s="447"/>
      <c r="C82" s="309"/>
      <c r="D82" s="309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776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9"/>
  <sheetViews>
    <sheetView zoomScale="72" zoomScaleNormal="72" zoomScaleSheetLayoutView="70" workbookViewId="0">
      <selection activeCell="AE19" sqref="AE19:AE2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777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22" t="s">
        <v>17</v>
      </c>
      <c r="L5" s="322" t="s">
        <v>18</v>
      </c>
      <c r="M5" s="322" t="s">
        <v>19</v>
      </c>
      <c r="N5" s="3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4490</v>
      </c>
      <c r="K6" s="15">
        <f>L6+2812+4517+4587+4470</f>
        <v>20874</v>
      </c>
      <c r="L6" s="15">
        <f>2326+2162</f>
        <v>4488</v>
      </c>
      <c r="M6" s="16">
        <f t="shared" ref="M6:M23" si="0">L6-N6</f>
        <v>4488</v>
      </c>
      <c r="N6" s="16">
        <v>0</v>
      </c>
      <c r="O6" s="62">
        <f t="shared" ref="O6:O24" si="1">IF(L6=0,"0",N6/L6)</f>
        <v>0</v>
      </c>
      <c r="P6" s="42">
        <f t="shared" ref="P6:P23" si="2">IF(L6=0,"0",(24-Q6))</f>
        <v>24</v>
      </c>
      <c r="Q6" s="43">
        <f t="shared" ref="Q6:Q23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3" si="4">IF(J6=0,"0",(L6/J6))</f>
        <v>0.99955456570155898</v>
      </c>
      <c r="AC6" s="9">
        <f t="shared" ref="AC6:AC23" si="5">IF(P6=0,"0",(P6/24))</f>
        <v>1</v>
      </c>
      <c r="AD6" s="10">
        <f t="shared" ref="AD6:AD23" si="6">AC6*AB6*(1-O6)</f>
        <v>0.99955456570155898</v>
      </c>
      <c r="AE6" s="39">
        <f t="shared" ref="AE6:AE21" si="7">$AD$24</f>
        <v>0.90163777792286137</v>
      </c>
      <c r="AF6" s="94">
        <f t="shared" ref="AF6:AF23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780</v>
      </c>
      <c r="E7" s="56" t="s">
        <v>781</v>
      </c>
      <c r="F7" s="12">
        <v>7301</v>
      </c>
      <c r="G7" s="36">
        <v>1</v>
      </c>
      <c r="H7" s="38">
        <v>25</v>
      </c>
      <c r="I7" s="7">
        <v>2000</v>
      </c>
      <c r="J7" s="14">
        <v>2740</v>
      </c>
      <c r="K7" s="15">
        <f>L7</f>
        <v>2735</v>
      </c>
      <c r="L7" s="15">
        <f>398+2337</f>
        <v>2735</v>
      </c>
      <c r="M7" s="16">
        <f t="shared" si="0"/>
        <v>2735</v>
      </c>
      <c r="N7" s="16">
        <v>0</v>
      </c>
      <c r="O7" s="62">
        <f t="shared" si="1"/>
        <v>0</v>
      </c>
      <c r="P7" s="42">
        <f t="shared" si="2"/>
        <v>17</v>
      </c>
      <c r="Q7" s="43">
        <f t="shared" si="3"/>
        <v>7</v>
      </c>
      <c r="R7" s="7"/>
      <c r="S7" s="6"/>
      <c r="T7" s="17">
        <v>7</v>
      </c>
      <c r="U7" s="17"/>
      <c r="V7" s="18"/>
      <c r="W7" s="19"/>
      <c r="X7" s="17"/>
      <c r="Y7" s="20"/>
      <c r="Z7" s="20"/>
      <c r="AA7" s="21"/>
      <c r="AB7" s="8">
        <f t="shared" si="4"/>
        <v>0.99817518248175185</v>
      </c>
      <c r="AC7" s="9">
        <f t="shared" si="5"/>
        <v>0.70833333333333337</v>
      </c>
      <c r="AD7" s="10">
        <f t="shared" si="6"/>
        <v>0.70704075425790758</v>
      </c>
      <c r="AE7" s="39">
        <f t="shared" si="7"/>
        <v>0.90163777792286137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448</v>
      </c>
      <c r="G8" s="36">
        <v>2</v>
      </c>
      <c r="H8" s="38">
        <v>25</v>
      </c>
      <c r="I8" s="7">
        <v>50000</v>
      </c>
      <c r="J8" s="14">
        <v>10740</v>
      </c>
      <c r="K8" s="15">
        <f>L8+428+5928+9732+6966+9958+3348+7302+10628</f>
        <v>65030</v>
      </c>
      <c r="L8" s="15">
        <f>2788*2+2582*2</f>
        <v>10740</v>
      </c>
      <c r="M8" s="16">
        <f t="shared" si="0"/>
        <v>10740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0.90163777792286137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4350</v>
      </c>
      <c r="K9" s="15">
        <f>L9+2886</f>
        <v>7229</v>
      </c>
      <c r="L9" s="15">
        <f>2474+1869</f>
        <v>4343</v>
      </c>
      <c r="M9" s="16">
        <f t="shared" si="0"/>
        <v>4343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0.99839080459770113</v>
      </c>
      <c r="AC9" s="9">
        <f t="shared" si="5"/>
        <v>0.91666666666666663</v>
      </c>
      <c r="AD9" s="10">
        <f t="shared" si="6"/>
        <v>0.91519157088122605</v>
      </c>
      <c r="AE9" s="39">
        <f t="shared" si="7"/>
        <v>0.90163777792286137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10610</v>
      </c>
      <c r="K10" s="15">
        <f>L10+7510+8800+7448+10498+7300+10522+10338+5436+8842</f>
        <v>87298</v>
      </c>
      <c r="L10" s="15">
        <f>2747*2+2555*2</f>
        <v>10604</v>
      </c>
      <c r="M10" s="16">
        <f t="shared" si="0"/>
        <v>10604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0.99943449575871823</v>
      </c>
      <c r="AC10" s="9">
        <f t="shared" si="5"/>
        <v>1</v>
      </c>
      <c r="AD10" s="10">
        <f t="shared" si="6"/>
        <v>0.99943449575871823</v>
      </c>
      <c r="AE10" s="39">
        <f t="shared" si="7"/>
        <v>0.90163777792286137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2000</v>
      </c>
      <c r="J11" s="14">
        <v>5190</v>
      </c>
      <c r="K11" s="15">
        <f>L11+2718</f>
        <v>7907</v>
      </c>
      <c r="L11" s="15">
        <f>2646+2543</f>
        <v>5189</v>
      </c>
      <c r="M11" s="16">
        <f t="shared" si="0"/>
        <v>5189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0.99980732177263965</v>
      </c>
      <c r="AC11" s="9">
        <f t="shared" si="5"/>
        <v>1</v>
      </c>
      <c r="AD11" s="10">
        <f t="shared" si="6"/>
        <v>0.99980732177263965</v>
      </c>
      <c r="AE11" s="39">
        <f t="shared" si="7"/>
        <v>0.90163777792286137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1740</v>
      </c>
      <c r="K12" s="15">
        <f>L12+2002+2471+4364</f>
        <v>10574</v>
      </c>
      <c r="L12" s="15">
        <f>626+1111</f>
        <v>1737</v>
      </c>
      <c r="M12" s="16">
        <f t="shared" si="0"/>
        <v>1737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>
        <v>14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0.99827586206896557</v>
      </c>
      <c r="AC12" s="9">
        <f t="shared" si="5"/>
        <v>0.41666666666666669</v>
      </c>
      <c r="AD12" s="10">
        <f t="shared" si="6"/>
        <v>0.41594827586206901</v>
      </c>
      <c r="AE12" s="39">
        <f t="shared" si="7"/>
        <v>0.90163777792286137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659</v>
      </c>
      <c r="D13" s="55" t="s">
        <v>684</v>
      </c>
      <c r="E13" s="57" t="s">
        <v>685</v>
      </c>
      <c r="F13" s="12" t="s">
        <v>686</v>
      </c>
      <c r="G13" s="12">
        <v>1</v>
      </c>
      <c r="H13" s="13">
        <v>25</v>
      </c>
      <c r="I13" s="7">
        <v>20000</v>
      </c>
      <c r="J13" s="14">
        <v>2200</v>
      </c>
      <c r="K13" s="15">
        <f>L13+4189+2822+5087</f>
        <v>14291</v>
      </c>
      <c r="L13" s="15">
        <f>1233+960</f>
        <v>2193</v>
      </c>
      <c r="M13" s="16">
        <f t="shared" si="0"/>
        <v>2193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>
        <v>13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0.99681818181818183</v>
      </c>
      <c r="AC13" s="9">
        <f t="shared" si="5"/>
        <v>0.45833333333333331</v>
      </c>
      <c r="AD13" s="10">
        <f t="shared" si="6"/>
        <v>0.45687499999999998</v>
      </c>
      <c r="AE13" s="39">
        <f t="shared" si="7"/>
        <v>0.90163777792286137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659</v>
      </c>
      <c r="D14" s="55" t="s">
        <v>727</v>
      </c>
      <c r="E14" s="57" t="s">
        <v>782</v>
      </c>
      <c r="F14" s="12">
        <v>7301</v>
      </c>
      <c r="G14" s="12">
        <v>1</v>
      </c>
      <c r="H14" s="13">
        <v>25</v>
      </c>
      <c r="I14" s="7">
        <v>500</v>
      </c>
      <c r="J14" s="14">
        <v>550</v>
      </c>
      <c r="K14" s="15">
        <f>L14</f>
        <v>550</v>
      </c>
      <c r="L14" s="15">
        <v>550</v>
      </c>
      <c r="M14" s="16">
        <f t="shared" ref="M14:M16" si="10">L14-N14</f>
        <v>550</v>
      </c>
      <c r="N14" s="16">
        <v>0</v>
      </c>
      <c r="O14" s="62">
        <f t="shared" ref="O14:O16" si="11">IF(L14=0,"0",N14/L14)</f>
        <v>0</v>
      </c>
      <c r="P14" s="42">
        <f t="shared" ref="P14:P16" si="12">IF(L14=0,"0",(24-Q14))</f>
        <v>3</v>
      </c>
      <c r="Q14" s="43">
        <f t="shared" ref="Q14:Q16" si="13">SUM(R14:AA14)</f>
        <v>21</v>
      </c>
      <c r="R14" s="7"/>
      <c r="S14" s="6"/>
      <c r="T14" s="17"/>
      <c r="U14" s="17"/>
      <c r="V14" s="18"/>
      <c r="W14" s="19">
        <v>21</v>
      </c>
      <c r="X14" s="17"/>
      <c r="Y14" s="20"/>
      <c r="Z14" s="20"/>
      <c r="AA14" s="21"/>
      <c r="AB14" s="8">
        <f t="shared" ref="AB14:AB16" si="14">IF(J14=0,"0",(L14/J14))</f>
        <v>1</v>
      </c>
      <c r="AC14" s="9">
        <f t="shared" ref="AC14:AC16" si="15">IF(P14=0,"0",(P14/24))</f>
        <v>0.125</v>
      </c>
      <c r="AD14" s="10">
        <f t="shared" ref="AD14:AD16" si="16">AC14*AB14*(1-O14)</f>
        <v>0.125</v>
      </c>
      <c r="AE14" s="39">
        <f t="shared" si="7"/>
        <v>0.90163777792286137</v>
      </c>
      <c r="AF14" s="94">
        <f t="shared" ref="AF14:AF16" si="17">A14</f>
        <v>8</v>
      </c>
    </row>
    <row r="15" spans="1:32" ht="27" customHeight="1">
      <c r="A15" s="110">
        <v>8</v>
      </c>
      <c r="B15" s="11" t="s">
        <v>59</v>
      </c>
      <c r="C15" s="11" t="s">
        <v>122</v>
      </c>
      <c r="D15" s="55" t="s">
        <v>783</v>
      </c>
      <c r="E15" s="57" t="s">
        <v>784</v>
      </c>
      <c r="F15" s="12" t="s">
        <v>785</v>
      </c>
      <c r="G15" s="12">
        <v>1</v>
      </c>
      <c r="H15" s="13">
        <v>25</v>
      </c>
      <c r="I15" s="7">
        <v>500</v>
      </c>
      <c r="J15" s="14">
        <v>550</v>
      </c>
      <c r="K15" s="15">
        <f>L15</f>
        <v>547</v>
      </c>
      <c r="L15" s="15">
        <f>547</f>
        <v>547</v>
      </c>
      <c r="M15" s="16">
        <f t="shared" si="10"/>
        <v>547</v>
      </c>
      <c r="N15" s="16">
        <v>0</v>
      </c>
      <c r="O15" s="62">
        <f t="shared" si="11"/>
        <v>0</v>
      </c>
      <c r="P15" s="42">
        <f t="shared" si="12"/>
        <v>3</v>
      </c>
      <c r="Q15" s="43">
        <f t="shared" si="13"/>
        <v>21</v>
      </c>
      <c r="R15" s="7"/>
      <c r="S15" s="6"/>
      <c r="T15" s="17"/>
      <c r="U15" s="17"/>
      <c r="V15" s="18"/>
      <c r="W15" s="19">
        <v>21</v>
      </c>
      <c r="X15" s="17"/>
      <c r="Y15" s="20"/>
      <c r="Z15" s="20"/>
      <c r="AA15" s="21"/>
      <c r="AB15" s="8">
        <f t="shared" si="14"/>
        <v>0.99454545454545451</v>
      </c>
      <c r="AC15" s="9">
        <f t="shared" si="15"/>
        <v>0.125</v>
      </c>
      <c r="AD15" s="10">
        <f t="shared" si="16"/>
        <v>0.12431818181818181</v>
      </c>
      <c r="AE15" s="39">
        <f t="shared" si="7"/>
        <v>0.90163777792286137</v>
      </c>
      <c r="AF15" s="94">
        <f t="shared" si="17"/>
        <v>8</v>
      </c>
    </row>
    <row r="16" spans="1:32" ht="27" customHeight="1">
      <c r="A16" s="110">
        <v>8</v>
      </c>
      <c r="B16" s="11" t="s">
        <v>59</v>
      </c>
      <c r="C16" s="11" t="s">
        <v>122</v>
      </c>
      <c r="D16" s="55" t="s">
        <v>786</v>
      </c>
      <c r="E16" s="57" t="s">
        <v>787</v>
      </c>
      <c r="F16" s="12" t="s">
        <v>788</v>
      </c>
      <c r="G16" s="12">
        <v>1</v>
      </c>
      <c r="H16" s="13">
        <v>25</v>
      </c>
      <c r="I16" s="7">
        <v>500</v>
      </c>
      <c r="J16" s="14">
        <v>580</v>
      </c>
      <c r="K16" s="15">
        <f>L16</f>
        <v>577</v>
      </c>
      <c r="L16" s="15">
        <f>577</f>
        <v>577</v>
      </c>
      <c r="M16" s="16">
        <f t="shared" si="10"/>
        <v>577</v>
      </c>
      <c r="N16" s="16">
        <v>0</v>
      </c>
      <c r="O16" s="62">
        <f t="shared" si="11"/>
        <v>0</v>
      </c>
      <c r="P16" s="42">
        <f t="shared" si="12"/>
        <v>4</v>
      </c>
      <c r="Q16" s="43">
        <f t="shared" si="1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14"/>
        <v>0.9948275862068966</v>
      </c>
      <c r="AC16" s="9">
        <f t="shared" si="15"/>
        <v>0.16666666666666666</v>
      </c>
      <c r="AD16" s="10">
        <f t="shared" si="16"/>
        <v>0.16580459770114941</v>
      </c>
      <c r="AE16" s="39">
        <f t="shared" si="7"/>
        <v>0.90163777792286137</v>
      </c>
      <c r="AF16" s="94">
        <f t="shared" si="17"/>
        <v>8</v>
      </c>
    </row>
    <row r="17" spans="1:32" ht="27" customHeight="1">
      <c r="A17" s="109">
        <v>9</v>
      </c>
      <c r="B17" s="11" t="s">
        <v>59</v>
      </c>
      <c r="C17" s="37" t="s">
        <v>233</v>
      </c>
      <c r="D17" s="55" t="s">
        <v>499</v>
      </c>
      <c r="E17" s="57" t="s">
        <v>720</v>
      </c>
      <c r="F17" s="33" t="s">
        <v>625</v>
      </c>
      <c r="G17" s="36">
        <v>1</v>
      </c>
      <c r="H17" s="38">
        <v>25</v>
      </c>
      <c r="I17" s="7">
        <v>10000</v>
      </c>
      <c r="J17" s="5">
        <v>4790</v>
      </c>
      <c r="K17" s="15">
        <f>L17+2472+5133</f>
        <v>12393</v>
      </c>
      <c r="L17" s="15">
        <f>2540+2248</f>
        <v>4788</v>
      </c>
      <c r="M17" s="16">
        <f t="shared" si="0"/>
        <v>4788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0.99958246346555324</v>
      </c>
      <c r="AC17" s="9">
        <f t="shared" si="5"/>
        <v>1</v>
      </c>
      <c r="AD17" s="10">
        <f t="shared" si="6"/>
        <v>0.99958246346555324</v>
      </c>
      <c r="AE17" s="39">
        <f t="shared" si="7"/>
        <v>0.90163777792286137</v>
      </c>
      <c r="AF17" s="94">
        <f t="shared" si="8"/>
        <v>9</v>
      </c>
    </row>
    <row r="18" spans="1:32" ht="27" customHeight="1">
      <c r="A18" s="109">
        <v>10</v>
      </c>
      <c r="B18" s="11" t="s">
        <v>59</v>
      </c>
      <c r="C18" s="37" t="s">
        <v>122</v>
      </c>
      <c r="D18" s="55" t="s">
        <v>747</v>
      </c>
      <c r="E18" s="57" t="s">
        <v>748</v>
      </c>
      <c r="F18" s="12">
        <v>8301</v>
      </c>
      <c r="G18" s="12">
        <v>1</v>
      </c>
      <c r="H18" s="13">
        <v>25</v>
      </c>
      <c r="I18" s="34">
        <v>2500</v>
      </c>
      <c r="J18" s="5">
        <v>3980</v>
      </c>
      <c r="K18" s="15">
        <f>L18+2138</f>
        <v>6118</v>
      </c>
      <c r="L18" s="15">
        <f>1383+2597</f>
        <v>3980</v>
      </c>
      <c r="M18" s="16">
        <f t="shared" si="0"/>
        <v>3980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/>
      <c r="T18" s="17"/>
      <c r="U18" s="17"/>
      <c r="V18" s="18"/>
      <c r="W18" s="19">
        <v>4</v>
      </c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0.90163777792286137</v>
      </c>
      <c r="AF18" s="94">
        <f t="shared" si="8"/>
        <v>10</v>
      </c>
    </row>
    <row r="19" spans="1:32" ht="27" customHeight="1">
      <c r="A19" s="109">
        <v>11</v>
      </c>
      <c r="B19" s="11" t="s">
        <v>59</v>
      </c>
      <c r="C19" s="11" t="s">
        <v>122</v>
      </c>
      <c r="D19" s="55" t="s">
        <v>135</v>
      </c>
      <c r="E19" s="57" t="s">
        <v>721</v>
      </c>
      <c r="F19" s="12">
        <v>7301</v>
      </c>
      <c r="G19" s="36">
        <v>1</v>
      </c>
      <c r="H19" s="38">
        <v>25</v>
      </c>
      <c r="I19" s="7">
        <v>18000</v>
      </c>
      <c r="J19" s="14">
        <v>4810</v>
      </c>
      <c r="K19" s="15">
        <f>L19+2860+4752</f>
        <v>12420</v>
      </c>
      <c r="L19" s="15">
        <f>2482+2326</f>
        <v>4808</v>
      </c>
      <c r="M19" s="16">
        <f t="shared" si="0"/>
        <v>4808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0.99958419958419964</v>
      </c>
      <c r="AC19" s="9">
        <f t="shared" si="5"/>
        <v>1</v>
      </c>
      <c r="AD19" s="10">
        <f t="shared" si="6"/>
        <v>0.99958419958419964</v>
      </c>
      <c r="AE19" s="39">
        <f t="shared" si="7"/>
        <v>0.90163777792286137</v>
      </c>
      <c r="AF19" s="94">
        <f t="shared" si="8"/>
        <v>11</v>
      </c>
    </row>
    <row r="20" spans="1:32" ht="27" customHeight="1">
      <c r="A20" s="109">
        <v>12</v>
      </c>
      <c r="B20" s="11" t="s">
        <v>59</v>
      </c>
      <c r="C20" s="37" t="s">
        <v>122</v>
      </c>
      <c r="D20" s="55" t="s">
        <v>789</v>
      </c>
      <c r="E20" s="56" t="s">
        <v>790</v>
      </c>
      <c r="F20" s="12">
        <v>8301</v>
      </c>
      <c r="G20" s="12">
        <v>1</v>
      </c>
      <c r="H20" s="13">
        <v>25</v>
      </c>
      <c r="I20" s="34">
        <v>13000</v>
      </c>
      <c r="J20" s="5">
        <v>4220</v>
      </c>
      <c r="K20" s="15">
        <f>L20</f>
        <v>4217</v>
      </c>
      <c r="L20" s="15">
        <f>1408+2809</f>
        <v>4217</v>
      </c>
      <c r="M20" s="16">
        <f t="shared" si="0"/>
        <v>4217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/>
      <c r="T20" s="17">
        <v>3</v>
      </c>
      <c r="U20" s="17"/>
      <c r="V20" s="18"/>
      <c r="W20" s="19"/>
      <c r="X20" s="17"/>
      <c r="Y20" s="20"/>
      <c r="Z20" s="20"/>
      <c r="AA20" s="21"/>
      <c r="AB20" s="8">
        <f t="shared" si="4"/>
        <v>0.99928909952606637</v>
      </c>
      <c r="AC20" s="9">
        <f t="shared" si="5"/>
        <v>0.875</v>
      </c>
      <c r="AD20" s="10">
        <f t="shared" si="6"/>
        <v>0.87437796208530805</v>
      </c>
      <c r="AE20" s="39">
        <f t="shared" si="7"/>
        <v>0.90163777792286137</v>
      </c>
      <c r="AF20" s="94">
        <f t="shared" si="8"/>
        <v>12</v>
      </c>
    </row>
    <row r="21" spans="1:32" ht="27" customHeight="1">
      <c r="A21" s="110">
        <v>13</v>
      </c>
      <c r="B21" s="11" t="s">
        <v>59</v>
      </c>
      <c r="C21" s="37" t="s">
        <v>659</v>
      </c>
      <c r="D21" s="55" t="s">
        <v>121</v>
      </c>
      <c r="E21" s="57" t="s">
        <v>668</v>
      </c>
      <c r="F21" s="12" t="s">
        <v>185</v>
      </c>
      <c r="G21" s="12">
        <v>1</v>
      </c>
      <c r="H21" s="13">
        <v>25</v>
      </c>
      <c r="I21" s="34">
        <v>26000</v>
      </c>
      <c r="J21" s="5">
        <v>4270</v>
      </c>
      <c r="K21" s="15">
        <f>L21+316+3622+4343</f>
        <v>12544</v>
      </c>
      <c r="L21" s="15">
        <f>1900+2363</f>
        <v>4263</v>
      </c>
      <c r="M21" s="16">
        <f t="shared" si="0"/>
        <v>4263</v>
      </c>
      <c r="N21" s="16">
        <v>0</v>
      </c>
      <c r="O21" s="62">
        <f t="shared" si="1"/>
        <v>0</v>
      </c>
      <c r="P21" s="42">
        <f t="shared" si="2"/>
        <v>22</v>
      </c>
      <c r="Q21" s="43">
        <f t="shared" si="3"/>
        <v>2</v>
      </c>
      <c r="R21" s="7"/>
      <c r="S21" s="6">
        <v>2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0.99836065573770494</v>
      </c>
      <c r="AC21" s="9">
        <f t="shared" si="5"/>
        <v>0.91666666666666663</v>
      </c>
      <c r="AD21" s="10">
        <f t="shared" si="6"/>
        <v>0.91516393442622945</v>
      </c>
      <c r="AE21" s="39">
        <f t="shared" si="7"/>
        <v>0.90163777792286137</v>
      </c>
      <c r="AF21" s="94">
        <f t="shared" si="8"/>
        <v>13</v>
      </c>
    </row>
    <row r="22" spans="1:32" ht="27" customHeight="1">
      <c r="A22" s="110">
        <v>14</v>
      </c>
      <c r="B22" s="11" t="s">
        <v>59</v>
      </c>
      <c r="C22" s="37" t="s">
        <v>62</v>
      </c>
      <c r="D22" s="55" t="s">
        <v>459</v>
      </c>
      <c r="E22" s="57" t="s">
        <v>431</v>
      </c>
      <c r="F22" s="33" t="s">
        <v>448</v>
      </c>
      <c r="G22" s="36">
        <v>2</v>
      </c>
      <c r="H22" s="38">
        <v>25</v>
      </c>
      <c r="I22" s="34">
        <v>100000</v>
      </c>
      <c r="J22" s="5">
        <v>10300</v>
      </c>
      <c r="K22" s="15">
        <f>L22+6264+10600+6250+2340+4019+9772+10444+10316+10500</f>
        <v>80739</v>
      </c>
      <c r="L22" s="15">
        <f>2714*2+2403*2</f>
        <v>10234</v>
      </c>
      <c r="M22" s="16">
        <f t="shared" si="0"/>
        <v>10234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0.99359223300970878</v>
      </c>
      <c r="AC22" s="9">
        <f t="shared" si="5"/>
        <v>1</v>
      </c>
      <c r="AD22" s="10">
        <f t="shared" si="6"/>
        <v>0.99359223300970878</v>
      </c>
      <c r="AE22" s="39">
        <f>$AD$24</f>
        <v>0.90163777792286137</v>
      </c>
      <c r="AF22" s="94">
        <f t="shared" si="8"/>
        <v>14</v>
      </c>
    </row>
    <row r="23" spans="1:32" ht="27" customHeight="1" thickBot="1">
      <c r="A23" s="110">
        <v>15</v>
      </c>
      <c r="B23" s="11" t="s">
        <v>59</v>
      </c>
      <c r="C23" s="11" t="s">
        <v>119</v>
      </c>
      <c r="D23" s="55"/>
      <c r="E23" s="56" t="s">
        <v>779</v>
      </c>
      <c r="F23" s="12" t="s">
        <v>120</v>
      </c>
      <c r="G23" s="12">
        <v>4</v>
      </c>
      <c r="H23" s="38">
        <v>20</v>
      </c>
      <c r="I23" s="7">
        <v>200000</v>
      </c>
      <c r="J23" s="14">
        <v>47370</v>
      </c>
      <c r="K23" s="15">
        <f>L23+36748</f>
        <v>84116</v>
      </c>
      <c r="L23" s="15">
        <f>6159*4+5683*4</f>
        <v>47368</v>
      </c>
      <c r="M23" s="16">
        <f t="shared" si="0"/>
        <v>47368</v>
      </c>
      <c r="N23" s="16">
        <v>0</v>
      </c>
      <c r="O23" s="62">
        <f t="shared" si="1"/>
        <v>0</v>
      </c>
      <c r="P23" s="42">
        <f t="shared" si="2"/>
        <v>24</v>
      </c>
      <c r="Q23" s="43">
        <f t="shared" si="3"/>
        <v>0</v>
      </c>
      <c r="R23" s="7"/>
      <c r="S23" s="6"/>
      <c r="T23" s="17"/>
      <c r="U23" s="17"/>
      <c r="V23" s="18"/>
      <c r="W23" s="19"/>
      <c r="X23" s="17"/>
      <c r="Y23" s="20"/>
      <c r="Z23" s="20"/>
      <c r="AA23" s="21"/>
      <c r="AB23" s="8">
        <f t="shared" si="4"/>
        <v>0.99995777918513828</v>
      </c>
      <c r="AC23" s="9">
        <f t="shared" si="5"/>
        <v>1</v>
      </c>
      <c r="AD23" s="10">
        <f t="shared" si="6"/>
        <v>0.99995777918513828</v>
      </c>
      <c r="AE23" s="39">
        <f>$AD$24</f>
        <v>0.90163777792286137</v>
      </c>
      <c r="AF23" s="94">
        <f t="shared" si="8"/>
        <v>15</v>
      </c>
    </row>
    <row r="24" spans="1:32" ht="31.5" customHeight="1" thickBot="1">
      <c r="A24" s="509" t="s">
        <v>34</v>
      </c>
      <c r="B24" s="510"/>
      <c r="C24" s="510"/>
      <c r="D24" s="510"/>
      <c r="E24" s="510"/>
      <c r="F24" s="510"/>
      <c r="G24" s="510"/>
      <c r="H24" s="511"/>
      <c r="I24" s="25">
        <f t="shared" ref="I24:N24" si="18">SUM(I6:I23)</f>
        <v>617000</v>
      </c>
      <c r="J24" s="22">
        <f t="shared" si="18"/>
        <v>123480</v>
      </c>
      <c r="K24" s="23">
        <f t="shared" si="18"/>
        <v>430159</v>
      </c>
      <c r="L24" s="24">
        <f t="shared" si="18"/>
        <v>123361</v>
      </c>
      <c r="M24" s="23">
        <f t="shared" si="18"/>
        <v>123361</v>
      </c>
      <c r="N24" s="24">
        <f t="shared" si="18"/>
        <v>0</v>
      </c>
      <c r="O24" s="44">
        <f t="shared" si="1"/>
        <v>0</v>
      </c>
      <c r="P24" s="45">
        <f t="shared" ref="P24:AA24" si="19">SUM(P6:P23)</f>
        <v>325</v>
      </c>
      <c r="Q24" s="46">
        <f t="shared" si="19"/>
        <v>107</v>
      </c>
      <c r="R24" s="26">
        <f t="shared" si="19"/>
        <v>0</v>
      </c>
      <c r="S24" s="27">
        <f t="shared" si="19"/>
        <v>31</v>
      </c>
      <c r="T24" s="27">
        <f t="shared" si="19"/>
        <v>10</v>
      </c>
      <c r="U24" s="27">
        <f t="shared" si="19"/>
        <v>0</v>
      </c>
      <c r="V24" s="28">
        <f t="shared" si="19"/>
        <v>0</v>
      </c>
      <c r="W24" s="29">
        <f t="shared" si="19"/>
        <v>66</v>
      </c>
      <c r="X24" s="30">
        <f t="shared" si="19"/>
        <v>0</v>
      </c>
      <c r="Y24" s="30">
        <f t="shared" si="19"/>
        <v>0</v>
      </c>
      <c r="Z24" s="30">
        <f t="shared" si="19"/>
        <v>0</v>
      </c>
      <c r="AA24" s="30">
        <f t="shared" si="19"/>
        <v>0</v>
      </c>
      <c r="AB24" s="31">
        <f>SUM(AB6:AB23)/15</f>
        <v>1.1980130590306826</v>
      </c>
      <c r="AC24" s="4">
        <f>SUM(AC6:AC23)/15</f>
        <v>0.90277777777777779</v>
      </c>
      <c r="AD24" s="4">
        <f>SUM(AD6:AD23)/15</f>
        <v>0.90163777792286137</v>
      </c>
      <c r="AE24" s="32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1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</row>
    <row r="35" spans="1:3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95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3"/>
    </row>
    <row r="41" spans="1:32" ht="27">
      <c r="A41" s="63"/>
      <c r="B41" s="63"/>
      <c r="C41" s="63"/>
      <c r="D41" s="63"/>
      <c r="E41" s="63"/>
      <c r="F41" s="64"/>
      <c r="G41" s="64"/>
      <c r="H41" s="65"/>
      <c r="I41" s="6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F41" s="53"/>
    </row>
    <row r="42" spans="1:32" ht="29.25" customHeight="1">
      <c r="A42" s="66"/>
      <c r="B42" s="66"/>
      <c r="C42" s="67"/>
      <c r="D42" s="67"/>
      <c r="E42" s="67"/>
      <c r="F42" s="66"/>
      <c r="G42" s="66"/>
      <c r="H42" s="66"/>
      <c r="I42" s="66"/>
      <c r="J42" s="66"/>
      <c r="K42" s="66"/>
      <c r="L42" s="66"/>
      <c r="M42" s="67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29.25" customHeight="1">
      <c r="A49" s="66"/>
      <c r="B49" s="66"/>
      <c r="C49" s="68"/>
      <c r="D49" s="67"/>
      <c r="E49" s="67"/>
      <c r="F49" s="66"/>
      <c r="G49" s="66"/>
      <c r="H49" s="66"/>
      <c r="I49" s="66"/>
      <c r="J49" s="66"/>
      <c r="K49" s="66"/>
      <c r="L49" s="66"/>
      <c r="M49" s="68"/>
      <c r="N49" s="66"/>
      <c r="O49" s="66"/>
      <c r="P49" s="69"/>
      <c r="Q49" s="69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66"/>
      <c r="AC49" s="66"/>
      <c r="AD49" s="66"/>
      <c r="AF49" s="53"/>
    </row>
    <row r="50" spans="1:32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36" thickBot="1">
      <c r="A51" s="512" t="s">
        <v>46</v>
      </c>
      <c r="B51" s="512"/>
      <c r="C51" s="512"/>
      <c r="D51" s="512"/>
      <c r="E51" s="51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F51" s="53"/>
    </row>
    <row r="52" spans="1:32" ht="26.25" thickBot="1">
      <c r="A52" s="513" t="s">
        <v>791</v>
      </c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5"/>
      <c r="N52" s="516" t="s">
        <v>818</v>
      </c>
      <c r="O52" s="517"/>
      <c r="P52" s="517"/>
      <c r="Q52" s="517"/>
      <c r="R52" s="517"/>
      <c r="S52" s="517"/>
      <c r="T52" s="517"/>
      <c r="U52" s="517"/>
      <c r="V52" s="517"/>
      <c r="W52" s="517"/>
      <c r="X52" s="517"/>
      <c r="Y52" s="517"/>
      <c r="Z52" s="517"/>
      <c r="AA52" s="517"/>
      <c r="AB52" s="517"/>
      <c r="AC52" s="517"/>
      <c r="AD52" s="518"/>
    </row>
    <row r="53" spans="1:32" ht="27" customHeight="1">
      <c r="A53" s="519" t="s">
        <v>2</v>
      </c>
      <c r="B53" s="520"/>
      <c r="C53" s="323" t="s">
        <v>47</v>
      </c>
      <c r="D53" s="323" t="s">
        <v>48</v>
      </c>
      <c r="E53" s="323" t="s">
        <v>113</v>
      </c>
      <c r="F53" s="520" t="s">
        <v>112</v>
      </c>
      <c r="G53" s="520"/>
      <c r="H53" s="520"/>
      <c r="I53" s="520"/>
      <c r="J53" s="520"/>
      <c r="K53" s="520"/>
      <c r="L53" s="520"/>
      <c r="M53" s="521"/>
      <c r="N53" s="73" t="s">
        <v>117</v>
      </c>
      <c r="O53" s="323" t="s">
        <v>47</v>
      </c>
      <c r="P53" s="522" t="s">
        <v>48</v>
      </c>
      <c r="Q53" s="523"/>
      <c r="R53" s="522" t="s">
        <v>39</v>
      </c>
      <c r="S53" s="524"/>
      <c r="T53" s="524"/>
      <c r="U53" s="523"/>
      <c r="V53" s="522" t="s">
        <v>49</v>
      </c>
      <c r="W53" s="524"/>
      <c r="X53" s="524"/>
      <c r="Y53" s="524"/>
      <c r="Z53" s="524"/>
      <c r="AA53" s="524"/>
      <c r="AB53" s="524"/>
      <c r="AC53" s="524"/>
      <c r="AD53" s="525"/>
    </row>
    <row r="54" spans="1:32" ht="27" customHeight="1">
      <c r="A54" s="505" t="s">
        <v>659</v>
      </c>
      <c r="B54" s="506"/>
      <c r="C54" s="324" t="s">
        <v>697</v>
      </c>
      <c r="D54" s="325" t="s">
        <v>698</v>
      </c>
      <c r="E54" s="324" t="s">
        <v>668</v>
      </c>
      <c r="F54" s="487" t="s">
        <v>792</v>
      </c>
      <c r="G54" s="487"/>
      <c r="H54" s="487"/>
      <c r="I54" s="487"/>
      <c r="J54" s="487"/>
      <c r="K54" s="487"/>
      <c r="L54" s="487"/>
      <c r="M54" s="498"/>
      <c r="N54" s="326" t="s">
        <v>128</v>
      </c>
      <c r="O54" s="74" t="s">
        <v>143</v>
      </c>
      <c r="P54" s="503" t="s">
        <v>793</v>
      </c>
      <c r="Q54" s="504"/>
      <c r="R54" s="497" t="s">
        <v>794</v>
      </c>
      <c r="S54" s="497"/>
      <c r="T54" s="497"/>
      <c r="U54" s="497"/>
      <c r="V54" s="487" t="s">
        <v>763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595</v>
      </c>
      <c r="B55" s="506"/>
      <c r="C55" s="324" t="s">
        <v>416</v>
      </c>
      <c r="D55" s="325" t="s">
        <v>744</v>
      </c>
      <c r="E55" s="324" t="s">
        <v>745</v>
      </c>
      <c r="F55" s="487" t="s">
        <v>795</v>
      </c>
      <c r="G55" s="487"/>
      <c r="H55" s="487"/>
      <c r="I55" s="487"/>
      <c r="J55" s="487"/>
      <c r="K55" s="487"/>
      <c r="L55" s="487"/>
      <c r="M55" s="498"/>
      <c r="N55" s="326" t="s">
        <v>595</v>
      </c>
      <c r="O55" s="74" t="s">
        <v>796</v>
      </c>
      <c r="P55" s="503" t="s">
        <v>797</v>
      </c>
      <c r="Q55" s="504"/>
      <c r="R55" s="497" t="s">
        <v>800</v>
      </c>
      <c r="S55" s="497"/>
      <c r="T55" s="497"/>
      <c r="U55" s="497"/>
      <c r="V55" s="487" t="s">
        <v>801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659</v>
      </c>
      <c r="B56" s="506"/>
      <c r="C56" s="324" t="s">
        <v>796</v>
      </c>
      <c r="D56" s="325" t="s">
        <v>797</v>
      </c>
      <c r="E56" s="324" t="s">
        <v>798</v>
      </c>
      <c r="F56" s="487" t="s">
        <v>799</v>
      </c>
      <c r="G56" s="487"/>
      <c r="H56" s="487"/>
      <c r="I56" s="487"/>
      <c r="J56" s="487"/>
      <c r="K56" s="487"/>
      <c r="L56" s="487"/>
      <c r="M56" s="498"/>
      <c r="N56" s="326" t="s">
        <v>810</v>
      </c>
      <c r="O56" s="74" t="s">
        <v>220</v>
      </c>
      <c r="P56" s="503" t="s">
        <v>811</v>
      </c>
      <c r="Q56" s="504"/>
      <c r="R56" s="497" t="s">
        <v>812</v>
      </c>
      <c r="S56" s="497"/>
      <c r="T56" s="497"/>
      <c r="U56" s="497"/>
      <c r="V56" s="487" t="s">
        <v>813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505" t="s">
        <v>659</v>
      </c>
      <c r="B57" s="506"/>
      <c r="C57" s="324" t="s">
        <v>802</v>
      </c>
      <c r="D57" s="325" t="s">
        <v>803</v>
      </c>
      <c r="E57" s="324" t="s">
        <v>804</v>
      </c>
      <c r="F57" s="487" t="s">
        <v>805</v>
      </c>
      <c r="G57" s="487"/>
      <c r="H57" s="487"/>
      <c r="I57" s="487"/>
      <c r="J57" s="487"/>
      <c r="K57" s="487"/>
      <c r="L57" s="487"/>
      <c r="M57" s="498"/>
      <c r="N57" s="326" t="s">
        <v>206</v>
      </c>
      <c r="O57" s="74" t="s">
        <v>139</v>
      </c>
      <c r="P57" s="503" t="s">
        <v>814</v>
      </c>
      <c r="Q57" s="504"/>
      <c r="R57" s="497" t="s">
        <v>815</v>
      </c>
      <c r="S57" s="497"/>
      <c r="T57" s="497"/>
      <c r="U57" s="497"/>
      <c r="V57" s="487" t="s">
        <v>813</v>
      </c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 t="s">
        <v>659</v>
      </c>
      <c r="B58" s="506"/>
      <c r="C58" s="324" t="s">
        <v>802</v>
      </c>
      <c r="D58" s="325" t="s">
        <v>806</v>
      </c>
      <c r="E58" s="324" t="s">
        <v>782</v>
      </c>
      <c r="F58" s="487" t="s">
        <v>807</v>
      </c>
      <c r="G58" s="487"/>
      <c r="H58" s="487"/>
      <c r="I58" s="487"/>
      <c r="J58" s="487"/>
      <c r="K58" s="487"/>
      <c r="L58" s="487"/>
      <c r="M58" s="498"/>
      <c r="N58" s="326" t="s">
        <v>206</v>
      </c>
      <c r="O58" s="74" t="s">
        <v>817</v>
      </c>
      <c r="P58" s="503" t="s">
        <v>803</v>
      </c>
      <c r="Q58" s="504"/>
      <c r="R58" s="497" t="s">
        <v>816</v>
      </c>
      <c r="S58" s="497"/>
      <c r="T58" s="497"/>
      <c r="U58" s="497"/>
      <c r="V58" s="487" t="s">
        <v>813</v>
      </c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 t="s">
        <v>808</v>
      </c>
      <c r="B59" s="497"/>
      <c r="C59" s="325" t="s">
        <v>802</v>
      </c>
      <c r="D59" s="325" t="s">
        <v>783</v>
      </c>
      <c r="E59" s="324" t="s">
        <v>784</v>
      </c>
      <c r="F59" s="487" t="s">
        <v>807</v>
      </c>
      <c r="G59" s="487"/>
      <c r="H59" s="487"/>
      <c r="I59" s="487"/>
      <c r="J59" s="487"/>
      <c r="K59" s="487"/>
      <c r="L59" s="487"/>
      <c r="M59" s="498"/>
      <c r="N59" s="326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 t="s">
        <v>122</v>
      </c>
      <c r="B60" s="497"/>
      <c r="C60" s="325" t="s">
        <v>802</v>
      </c>
      <c r="D60" s="325" t="s">
        <v>786</v>
      </c>
      <c r="E60" s="324" t="s">
        <v>787</v>
      </c>
      <c r="F60" s="487" t="s">
        <v>807</v>
      </c>
      <c r="G60" s="487"/>
      <c r="H60" s="487"/>
      <c r="I60" s="487"/>
      <c r="J60" s="487"/>
      <c r="K60" s="487"/>
      <c r="L60" s="487"/>
      <c r="M60" s="498"/>
      <c r="N60" s="326"/>
      <c r="O60" s="74"/>
      <c r="P60" s="503"/>
      <c r="Q60" s="504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</row>
    <row r="61" spans="1:32" ht="27" customHeight="1">
      <c r="A61" s="505" t="s">
        <v>122</v>
      </c>
      <c r="B61" s="506"/>
      <c r="C61" s="324" t="s">
        <v>809</v>
      </c>
      <c r="D61" s="325" t="s">
        <v>789</v>
      </c>
      <c r="E61" s="324" t="s">
        <v>790</v>
      </c>
      <c r="F61" s="487" t="s">
        <v>807</v>
      </c>
      <c r="G61" s="487"/>
      <c r="H61" s="487"/>
      <c r="I61" s="487"/>
      <c r="J61" s="487"/>
      <c r="K61" s="487"/>
      <c r="L61" s="487"/>
      <c r="M61" s="498"/>
      <c r="N61" s="326"/>
      <c r="O61" s="74"/>
      <c r="P61" s="497"/>
      <c r="Q61" s="497"/>
      <c r="R61" s="497"/>
      <c r="S61" s="497"/>
      <c r="T61" s="497"/>
      <c r="U61" s="497"/>
      <c r="V61" s="487"/>
      <c r="W61" s="487"/>
      <c r="X61" s="487"/>
      <c r="Y61" s="487"/>
      <c r="Z61" s="487"/>
      <c r="AA61" s="487"/>
      <c r="AB61" s="487"/>
      <c r="AC61" s="487"/>
      <c r="AD61" s="498"/>
    </row>
    <row r="62" spans="1:32" ht="27" customHeight="1">
      <c r="A62" s="496"/>
      <c r="B62" s="497"/>
      <c r="C62" s="325"/>
      <c r="D62" s="325"/>
      <c r="E62" s="325"/>
      <c r="F62" s="487"/>
      <c r="G62" s="487"/>
      <c r="H62" s="487"/>
      <c r="I62" s="487"/>
      <c r="J62" s="487"/>
      <c r="K62" s="487"/>
      <c r="L62" s="487"/>
      <c r="M62" s="498"/>
      <c r="N62" s="326"/>
      <c r="O62" s="74"/>
      <c r="P62" s="497"/>
      <c r="Q62" s="497"/>
      <c r="R62" s="497"/>
      <c r="S62" s="497"/>
      <c r="T62" s="497"/>
      <c r="U62" s="497"/>
      <c r="V62" s="487"/>
      <c r="W62" s="487"/>
      <c r="X62" s="487"/>
      <c r="Y62" s="487"/>
      <c r="Z62" s="487"/>
      <c r="AA62" s="487"/>
      <c r="AB62" s="487"/>
      <c r="AC62" s="487"/>
      <c r="AD62" s="498"/>
      <c r="AF62" s="94">
        <f>8*3000</f>
        <v>24000</v>
      </c>
    </row>
    <row r="63" spans="1:32" ht="27" customHeight="1" thickBot="1">
      <c r="A63" s="499"/>
      <c r="B63" s="500"/>
      <c r="C63" s="328"/>
      <c r="D63" s="328"/>
      <c r="E63" s="328"/>
      <c r="F63" s="501"/>
      <c r="G63" s="501"/>
      <c r="H63" s="501"/>
      <c r="I63" s="501"/>
      <c r="J63" s="501"/>
      <c r="K63" s="501"/>
      <c r="L63" s="501"/>
      <c r="M63" s="502"/>
      <c r="N63" s="327"/>
      <c r="O63" s="121"/>
      <c r="P63" s="500"/>
      <c r="Q63" s="500"/>
      <c r="R63" s="500"/>
      <c r="S63" s="500"/>
      <c r="T63" s="500"/>
      <c r="U63" s="500"/>
      <c r="V63" s="501"/>
      <c r="W63" s="501"/>
      <c r="X63" s="501"/>
      <c r="Y63" s="501"/>
      <c r="Z63" s="501"/>
      <c r="AA63" s="501"/>
      <c r="AB63" s="501"/>
      <c r="AC63" s="501"/>
      <c r="AD63" s="502"/>
      <c r="AF63" s="94">
        <f>16*3000</f>
        <v>48000</v>
      </c>
    </row>
    <row r="64" spans="1:32" ht="27.75" thickBot="1">
      <c r="A64" s="494" t="s">
        <v>820</v>
      </c>
      <c r="B64" s="494"/>
      <c r="C64" s="494"/>
      <c r="D64" s="494"/>
      <c r="E64" s="494"/>
      <c r="F64" s="40"/>
      <c r="G64" s="40"/>
      <c r="H64" s="41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F64" s="94">
        <v>24000</v>
      </c>
    </row>
    <row r="65" spans="1:32" ht="29.25" customHeight="1" thickBot="1">
      <c r="A65" s="495" t="s">
        <v>118</v>
      </c>
      <c r="B65" s="492"/>
      <c r="C65" s="329" t="s">
        <v>2</v>
      </c>
      <c r="D65" s="329" t="s">
        <v>38</v>
      </c>
      <c r="E65" s="329" t="s">
        <v>3</v>
      </c>
      <c r="F65" s="492" t="s">
        <v>115</v>
      </c>
      <c r="G65" s="492"/>
      <c r="H65" s="492"/>
      <c r="I65" s="492"/>
      <c r="J65" s="492"/>
      <c r="K65" s="492" t="s">
        <v>40</v>
      </c>
      <c r="L65" s="492"/>
      <c r="M65" s="329" t="s">
        <v>41</v>
      </c>
      <c r="N65" s="492" t="s">
        <v>42</v>
      </c>
      <c r="O65" s="492"/>
      <c r="P65" s="489" t="s">
        <v>43</v>
      </c>
      <c r="Q65" s="491"/>
      <c r="R65" s="489" t="s">
        <v>44</v>
      </c>
      <c r="S65" s="490"/>
      <c r="T65" s="490"/>
      <c r="U65" s="490"/>
      <c r="V65" s="490"/>
      <c r="W65" s="490"/>
      <c r="X65" s="490"/>
      <c r="Y65" s="490"/>
      <c r="Z65" s="490"/>
      <c r="AA65" s="491"/>
      <c r="AB65" s="492" t="s">
        <v>45</v>
      </c>
      <c r="AC65" s="492"/>
      <c r="AD65" s="493"/>
      <c r="AF65" s="94">
        <f>SUM(AF62:AF64)</f>
        <v>96000</v>
      </c>
    </row>
    <row r="66" spans="1:32" ht="25.5" customHeight="1">
      <c r="A66" s="483">
        <v>1</v>
      </c>
      <c r="B66" s="484"/>
      <c r="C66" s="331"/>
      <c r="D66" s="333"/>
      <c r="E66" s="330"/>
      <c r="F66" s="48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2</v>
      </c>
      <c r="B67" s="484"/>
      <c r="C67" s="331"/>
      <c r="D67" s="333"/>
      <c r="E67" s="330"/>
      <c r="F67" s="48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</row>
    <row r="68" spans="1:32" ht="25.5" customHeight="1">
      <c r="A68" s="483">
        <v>3</v>
      </c>
      <c r="B68" s="484"/>
      <c r="C68" s="331"/>
      <c r="D68" s="333"/>
      <c r="E68" s="330"/>
      <c r="F68" s="485"/>
      <c r="G68" s="475"/>
      <c r="H68" s="475"/>
      <c r="I68" s="475"/>
      <c r="J68" s="475"/>
      <c r="K68" s="488"/>
      <c r="L68" s="488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4</v>
      </c>
      <c r="B69" s="484"/>
      <c r="C69" s="331"/>
      <c r="D69" s="333"/>
      <c r="E69" s="330"/>
      <c r="F69" s="47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5</v>
      </c>
      <c r="B70" s="484"/>
      <c r="C70" s="331"/>
      <c r="D70" s="333"/>
      <c r="E70" s="330"/>
      <c r="F70" s="47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6</v>
      </c>
      <c r="B71" s="484"/>
      <c r="C71" s="331"/>
      <c r="D71" s="333"/>
      <c r="E71" s="330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5.5" customHeight="1">
      <c r="A72" s="483">
        <v>7</v>
      </c>
      <c r="B72" s="484"/>
      <c r="C72" s="331"/>
      <c r="D72" s="333"/>
      <c r="E72" s="330"/>
      <c r="F72" s="485"/>
      <c r="G72" s="475"/>
      <c r="H72" s="475"/>
      <c r="I72" s="475"/>
      <c r="J72" s="475"/>
      <c r="K72" s="475"/>
      <c r="L72" s="475"/>
      <c r="M72" s="54"/>
      <c r="N72" s="475"/>
      <c r="O72" s="47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5"/>
      <c r="AC72" s="475"/>
      <c r="AD72" s="476"/>
      <c r="AF72" s="53"/>
    </row>
    <row r="73" spans="1:32" ht="25.5" customHeight="1">
      <c r="A73" s="483">
        <v>8</v>
      </c>
      <c r="B73" s="484"/>
      <c r="C73" s="331"/>
      <c r="D73" s="333"/>
      <c r="E73" s="330"/>
      <c r="F73" s="485"/>
      <c r="G73" s="475"/>
      <c r="H73" s="475"/>
      <c r="I73" s="475"/>
      <c r="J73" s="475"/>
      <c r="K73" s="475"/>
      <c r="L73" s="475"/>
      <c r="M73" s="54"/>
      <c r="N73" s="475"/>
      <c r="O73" s="47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5"/>
      <c r="AC73" s="475"/>
      <c r="AD73" s="476"/>
      <c r="AF73" s="53"/>
    </row>
    <row r="74" spans="1:32" ht="26.25" customHeight="1" thickBot="1">
      <c r="A74" s="454" t="s">
        <v>819</v>
      </c>
      <c r="B74" s="454"/>
      <c r="C74" s="454"/>
      <c r="D74" s="454"/>
      <c r="E74" s="454"/>
      <c r="F74" s="40"/>
      <c r="G74" s="40"/>
      <c r="H74" s="41"/>
      <c r="I74" s="41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F74" s="53"/>
    </row>
    <row r="75" spans="1:32" ht="23.25" thickBot="1">
      <c r="A75" s="477" t="s">
        <v>118</v>
      </c>
      <c r="B75" s="478"/>
      <c r="C75" s="332" t="s">
        <v>2</v>
      </c>
      <c r="D75" s="332" t="s">
        <v>38</v>
      </c>
      <c r="E75" s="332" t="s">
        <v>3</v>
      </c>
      <c r="F75" s="478" t="s">
        <v>39</v>
      </c>
      <c r="G75" s="478"/>
      <c r="H75" s="478"/>
      <c r="I75" s="478"/>
      <c r="J75" s="478"/>
      <c r="K75" s="479" t="s">
        <v>60</v>
      </c>
      <c r="L75" s="480"/>
      <c r="M75" s="480"/>
      <c r="N75" s="480"/>
      <c r="O75" s="480"/>
      <c r="P75" s="480"/>
      <c r="Q75" s="480"/>
      <c r="R75" s="480"/>
      <c r="S75" s="481"/>
      <c r="T75" s="478" t="s">
        <v>50</v>
      </c>
      <c r="U75" s="478"/>
      <c r="V75" s="479" t="s">
        <v>51</v>
      </c>
      <c r="W75" s="481"/>
      <c r="X75" s="480" t="s">
        <v>52</v>
      </c>
      <c r="Y75" s="480"/>
      <c r="Z75" s="480"/>
      <c r="AA75" s="480"/>
      <c r="AB75" s="480"/>
      <c r="AC75" s="480"/>
      <c r="AD75" s="482"/>
      <c r="AF75" s="53"/>
    </row>
    <row r="76" spans="1:32" ht="33.75" customHeight="1">
      <c r="A76" s="462">
        <v>1</v>
      </c>
      <c r="B76" s="463"/>
      <c r="C76" s="334" t="s">
        <v>62</v>
      </c>
      <c r="D76" s="334"/>
      <c r="E76" s="71" t="s">
        <v>58</v>
      </c>
      <c r="F76" s="464" t="s">
        <v>63</v>
      </c>
      <c r="G76" s="465"/>
      <c r="H76" s="465"/>
      <c r="I76" s="465"/>
      <c r="J76" s="466"/>
      <c r="K76" s="467" t="s">
        <v>61</v>
      </c>
      <c r="L76" s="468"/>
      <c r="M76" s="468"/>
      <c r="N76" s="468"/>
      <c r="O76" s="468"/>
      <c r="P76" s="468"/>
      <c r="Q76" s="468"/>
      <c r="R76" s="468"/>
      <c r="S76" s="469"/>
      <c r="T76" s="470">
        <v>41791</v>
      </c>
      <c r="U76" s="471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46">
        <f>A76+1</f>
        <v>2</v>
      </c>
      <c r="B77" s="447"/>
      <c r="C77" s="333" t="s">
        <v>128</v>
      </c>
      <c r="D77" s="333"/>
      <c r="E77" s="35" t="s">
        <v>121</v>
      </c>
      <c r="F77" s="447" t="s">
        <v>132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42779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ref="A78:A84" si="20">A77+1</f>
        <v>3</v>
      </c>
      <c r="B78" s="447"/>
      <c r="C78" s="333" t="s">
        <v>62</v>
      </c>
      <c r="D78" s="333"/>
      <c r="E78" s="35" t="s">
        <v>121</v>
      </c>
      <c r="F78" s="447" t="s">
        <v>125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4</v>
      </c>
      <c r="B79" s="447"/>
      <c r="C79" s="333" t="s">
        <v>62</v>
      </c>
      <c r="D79" s="333"/>
      <c r="E79" s="35" t="s">
        <v>121</v>
      </c>
      <c r="F79" s="447" t="s">
        <v>265</v>
      </c>
      <c r="G79" s="447"/>
      <c r="H79" s="447"/>
      <c r="I79" s="447"/>
      <c r="J79" s="447"/>
      <c r="K79" s="456" t="s">
        <v>288</v>
      </c>
      <c r="L79" s="457"/>
      <c r="M79" s="457"/>
      <c r="N79" s="457"/>
      <c r="O79" s="457"/>
      <c r="P79" s="457"/>
      <c r="Q79" s="457"/>
      <c r="R79" s="457"/>
      <c r="S79" s="458"/>
      <c r="T79" s="459">
        <v>42829</v>
      </c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5</v>
      </c>
      <c r="B80" s="447"/>
      <c r="C80" s="333" t="s">
        <v>62</v>
      </c>
      <c r="D80" s="333"/>
      <c r="E80" s="35" t="s">
        <v>58</v>
      </c>
      <c r="F80" s="447" t="s">
        <v>126</v>
      </c>
      <c r="G80" s="447"/>
      <c r="H80" s="447"/>
      <c r="I80" s="447"/>
      <c r="J80" s="447"/>
      <c r="K80" s="456" t="s">
        <v>61</v>
      </c>
      <c r="L80" s="457"/>
      <c r="M80" s="457"/>
      <c r="N80" s="457"/>
      <c r="O80" s="457"/>
      <c r="P80" s="457"/>
      <c r="Q80" s="457"/>
      <c r="R80" s="457"/>
      <c r="S80" s="458"/>
      <c r="T80" s="459">
        <v>42667</v>
      </c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6</v>
      </c>
      <c r="B81" s="447"/>
      <c r="C81" s="333"/>
      <c r="D81" s="333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7</v>
      </c>
      <c r="B82" s="447"/>
      <c r="C82" s="333"/>
      <c r="D82" s="333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0" customHeight="1">
      <c r="A83" s="446">
        <f t="shared" si="20"/>
        <v>8</v>
      </c>
      <c r="B83" s="447"/>
      <c r="C83" s="333"/>
      <c r="D83" s="333"/>
      <c r="E83" s="35"/>
      <c r="F83" s="447"/>
      <c r="G83" s="447"/>
      <c r="H83" s="447"/>
      <c r="I83" s="447"/>
      <c r="J83" s="447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3"/>
    </row>
    <row r="84" spans="1:32" ht="30" customHeight="1">
      <c r="A84" s="446">
        <f t="shared" si="20"/>
        <v>9</v>
      </c>
      <c r="B84" s="447"/>
      <c r="C84" s="333"/>
      <c r="D84" s="333"/>
      <c r="E84" s="35"/>
      <c r="F84" s="447"/>
      <c r="G84" s="447"/>
      <c r="H84" s="447"/>
      <c r="I84" s="447"/>
      <c r="J84" s="447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3"/>
    </row>
    <row r="85" spans="1:32" ht="36" thickBot="1">
      <c r="A85" s="454" t="s">
        <v>821</v>
      </c>
      <c r="B85" s="454"/>
      <c r="C85" s="454"/>
      <c r="D85" s="454"/>
      <c r="E85" s="454"/>
      <c r="F85" s="40"/>
      <c r="G85" s="40"/>
      <c r="H85" s="41"/>
      <c r="I85" s="41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F85" s="53"/>
    </row>
    <row r="86" spans="1:32" ht="30.75" customHeight="1" thickBot="1">
      <c r="A86" s="455" t="s">
        <v>37</v>
      </c>
      <c r="B86" s="450"/>
      <c r="C86" s="450" t="s">
        <v>53</v>
      </c>
      <c r="D86" s="450"/>
      <c r="E86" s="450" t="s">
        <v>54</v>
      </c>
      <c r="F86" s="450"/>
      <c r="G86" s="450"/>
      <c r="H86" s="450"/>
      <c r="I86" s="450"/>
      <c r="J86" s="450"/>
      <c r="K86" s="450" t="s">
        <v>55</v>
      </c>
      <c r="L86" s="450"/>
      <c r="M86" s="450"/>
      <c r="N86" s="450"/>
      <c r="O86" s="450"/>
      <c r="P86" s="450"/>
      <c r="Q86" s="450"/>
      <c r="R86" s="450"/>
      <c r="S86" s="450"/>
      <c r="T86" s="450" t="s">
        <v>56</v>
      </c>
      <c r="U86" s="450"/>
      <c r="V86" s="450" t="s">
        <v>57</v>
      </c>
      <c r="W86" s="450"/>
      <c r="X86" s="450"/>
      <c r="Y86" s="450" t="s">
        <v>52</v>
      </c>
      <c r="Z86" s="450"/>
      <c r="AA86" s="450"/>
      <c r="AB86" s="450"/>
      <c r="AC86" s="450"/>
      <c r="AD86" s="451"/>
      <c r="AF86" s="53"/>
    </row>
    <row r="87" spans="1:32" ht="30.75" customHeight="1">
      <c r="A87" s="452">
        <v>1</v>
      </c>
      <c r="B87" s="453"/>
      <c r="C87" s="448"/>
      <c r="D87" s="448"/>
      <c r="E87" s="448"/>
      <c r="F87" s="448"/>
      <c r="G87" s="448"/>
      <c r="H87" s="448"/>
      <c r="I87" s="448"/>
      <c r="J87" s="448"/>
      <c r="K87" s="448"/>
      <c r="L87" s="448"/>
      <c r="M87" s="448"/>
      <c r="N87" s="448"/>
      <c r="O87" s="448"/>
      <c r="P87" s="448"/>
      <c r="Q87" s="448"/>
      <c r="R87" s="448"/>
      <c r="S87" s="448"/>
      <c r="T87" s="448"/>
      <c r="U87" s="448"/>
      <c r="V87" s="449"/>
      <c r="W87" s="449"/>
      <c r="X87" s="449"/>
      <c r="Y87" s="440"/>
      <c r="Z87" s="440"/>
      <c r="AA87" s="440"/>
      <c r="AB87" s="440"/>
      <c r="AC87" s="440"/>
      <c r="AD87" s="441"/>
      <c r="AF87" s="53"/>
    </row>
    <row r="88" spans="1:32" ht="30.75" customHeight="1">
      <c r="A88" s="446">
        <v>2</v>
      </c>
      <c r="B88" s="447"/>
      <c r="C88" s="448"/>
      <c r="D88" s="448"/>
      <c r="E88" s="448"/>
      <c r="F88" s="448"/>
      <c r="G88" s="448"/>
      <c r="H88" s="448"/>
      <c r="I88" s="448"/>
      <c r="J88" s="448"/>
      <c r="K88" s="448"/>
      <c r="L88" s="448"/>
      <c r="M88" s="448"/>
      <c r="N88" s="448"/>
      <c r="O88" s="448"/>
      <c r="P88" s="448"/>
      <c r="Q88" s="448"/>
      <c r="R88" s="448"/>
      <c r="S88" s="448"/>
      <c r="T88" s="448"/>
      <c r="U88" s="448"/>
      <c r="V88" s="449"/>
      <c r="W88" s="449"/>
      <c r="X88" s="449"/>
      <c r="Y88" s="440"/>
      <c r="Z88" s="440"/>
      <c r="AA88" s="440"/>
      <c r="AB88" s="440"/>
      <c r="AC88" s="440"/>
      <c r="AD88" s="441"/>
      <c r="AF88" s="53"/>
    </row>
    <row r="89" spans="1:32" ht="30.75" customHeight="1" thickBot="1">
      <c r="A89" s="442">
        <v>3</v>
      </c>
      <c r="B89" s="443"/>
      <c r="C89" s="443"/>
      <c r="D89" s="443"/>
      <c r="E89" s="443"/>
      <c r="F89" s="443"/>
      <c r="G89" s="443"/>
      <c r="H89" s="443"/>
      <c r="I89" s="443"/>
      <c r="J89" s="443"/>
      <c r="K89" s="443"/>
      <c r="L89" s="443"/>
      <c r="M89" s="443"/>
      <c r="N89" s="443"/>
      <c r="O89" s="443"/>
      <c r="P89" s="443"/>
      <c r="Q89" s="443"/>
      <c r="R89" s="443"/>
      <c r="S89" s="443"/>
      <c r="T89" s="443"/>
      <c r="U89" s="443"/>
      <c r="V89" s="443"/>
      <c r="W89" s="443"/>
      <c r="X89" s="443"/>
      <c r="Y89" s="444"/>
      <c r="Z89" s="444"/>
      <c r="AA89" s="444"/>
      <c r="AB89" s="444"/>
      <c r="AC89" s="444"/>
      <c r="AD89" s="445"/>
      <c r="AF89" s="53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50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0" zoomScale="72" zoomScaleNormal="72" zoomScaleSheetLayoutView="70" workbookViewId="0">
      <selection activeCell="A65" sqref="A65:XFD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822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47" t="s">
        <v>17</v>
      </c>
      <c r="L5" s="347" t="s">
        <v>18</v>
      </c>
      <c r="M5" s="347" t="s">
        <v>19</v>
      </c>
      <c r="N5" s="3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4490</v>
      </c>
      <c r="K6" s="15">
        <f>L6+2812+4517+4587+4470+4488</f>
        <v>25357</v>
      </c>
      <c r="L6" s="15">
        <f>2327+2156</f>
        <v>4483</v>
      </c>
      <c r="M6" s="16">
        <f t="shared" ref="M6:M21" si="0">L6-N6</f>
        <v>4483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0.99844097995545655</v>
      </c>
      <c r="AC6" s="9">
        <f t="shared" ref="AC6:AC21" si="5">IF(P6=0,"0",(P6/24))</f>
        <v>1</v>
      </c>
      <c r="AD6" s="10">
        <f t="shared" ref="AD6:AD21" si="6">AC6*AB6*(1-O6)</f>
        <v>0.99844097995545655</v>
      </c>
      <c r="AE6" s="39">
        <f t="shared" ref="AE6:AE19" si="7">$AD$22</f>
        <v>0.55777140566026751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131</v>
      </c>
      <c r="E7" s="56" t="s">
        <v>823</v>
      </c>
      <c r="F7" s="12" t="s">
        <v>824</v>
      </c>
      <c r="G7" s="36">
        <v>2</v>
      </c>
      <c r="H7" s="38">
        <v>25</v>
      </c>
      <c r="I7" s="7">
        <v>4000</v>
      </c>
      <c r="J7" s="14">
        <v>8510</v>
      </c>
      <c r="K7" s="15">
        <f>L7</f>
        <v>8504</v>
      </c>
      <c r="L7" s="15">
        <f>2821*2+1431*2</f>
        <v>8504</v>
      </c>
      <c r="M7" s="16">
        <f t="shared" si="0"/>
        <v>8504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/>
      <c r="T7" s="17">
        <v>3</v>
      </c>
      <c r="U7" s="17"/>
      <c r="V7" s="18"/>
      <c r="W7" s="19"/>
      <c r="X7" s="17"/>
      <c r="Y7" s="20"/>
      <c r="Z7" s="20"/>
      <c r="AA7" s="21"/>
      <c r="AB7" s="8">
        <f t="shared" si="4"/>
        <v>0.99929494712103406</v>
      </c>
      <c r="AC7" s="9">
        <f t="shared" si="5"/>
        <v>0.875</v>
      </c>
      <c r="AD7" s="10">
        <f t="shared" si="6"/>
        <v>0.87438307873090482</v>
      </c>
      <c r="AE7" s="39">
        <f t="shared" si="7"/>
        <v>0.55777140566026751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448</v>
      </c>
      <c r="G8" s="36">
        <v>2</v>
      </c>
      <c r="H8" s="38">
        <v>25</v>
      </c>
      <c r="I8" s="7">
        <v>50000</v>
      </c>
      <c r="J8" s="14">
        <v>10740</v>
      </c>
      <c r="K8" s="15">
        <f>L8+428+5928+9732+6966+9958+3348+7302+10628+10740</f>
        <v>65030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0.55777140566026751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5880</v>
      </c>
      <c r="K9" s="15">
        <f>L9+2886+4343</f>
        <v>13109</v>
      </c>
      <c r="L9" s="15">
        <f>3014+2866</f>
        <v>5880</v>
      </c>
      <c r="M9" s="16">
        <f t="shared" si="0"/>
        <v>5880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0.55777140566026751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264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6710</v>
      </c>
      <c r="K10" s="15">
        <f>L10+7510+8800+7448+10498+7300+10522+10338+5436+8842+10604</f>
        <v>94008</v>
      </c>
      <c r="L10" s="15">
        <f>2744*2+611*2</f>
        <v>6710</v>
      </c>
      <c r="M10" s="16">
        <f t="shared" si="0"/>
        <v>6710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0.55777140566026751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2000</v>
      </c>
      <c r="J11" s="14">
        <v>5190</v>
      </c>
      <c r="K11" s="15">
        <f>L11+2718+5189</f>
        <v>7907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0.55777140566026751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2300</v>
      </c>
      <c r="K12" s="15">
        <f>L12+2002+2471+4364+1737</f>
        <v>12866</v>
      </c>
      <c r="L12" s="15">
        <f>2292</f>
        <v>2292</v>
      </c>
      <c r="M12" s="16">
        <f t="shared" si="0"/>
        <v>2292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>
        <v>12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0.99652173913043474</v>
      </c>
      <c r="AC12" s="9">
        <f t="shared" si="5"/>
        <v>0.5</v>
      </c>
      <c r="AD12" s="10">
        <f t="shared" si="6"/>
        <v>0.49826086956521737</v>
      </c>
      <c r="AE12" s="39">
        <f t="shared" si="7"/>
        <v>0.55777140566026751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659</v>
      </c>
      <c r="D13" s="55" t="s">
        <v>684</v>
      </c>
      <c r="E13" s="57" t="s">
        <v>685</v>
      </c>
      <c r="F13" s="12" t="s">
        <v>686</v>
      </c>
      <c r="G13" s="12">
        <v>1</v>
      </c>
      <c r="H13" s="13">
        <v>25</v>
      </c>
      <c r="I13" s="7">
        <v>20000</v>
      </c>
      <c r="J13" s="14">
        <v>4810</v>
      </c>
      <c r="K13" s="15">
        <f>L13+4189+2822+5087+2193</f>
        <v>19098</v>
      </c>
      <c r="L13" s="15">
        <f>2273+2534</f>
        <v>4807</v>
      </c>
      <c r="M13" s="16">
        <f t="shared" si="0"/>
        <v>4807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0.99937629937629935</v>
      </c>
      <c r="AC13" s="9">
        <f t="shared" si="5"/>
        <v>1</v>
      </c>
      <c r="AD13" s="10">
        <f t="shared" si="6"/>
        <v>0.99937629937629935</v>
      </c>
      <c r="AE13" s="39">
        <f t="shared" si="7"/>
        <v>0.55777140566026751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233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0.55777140566026751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0.55777140566026751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135</v>
      </c>
      <c r="E16" s="57" t="s">
        <v>721</v>
      </c>
      <c r="F16" s="12">
        <v>7301</v>
      </c>
      <c r="G16" s="36">
        <v>1</v>
      </c>
      <c r="H16" s="38">
        <v>25</v>
      </c>
      <c r="I16" s="7">
        <v>18000</v>
      </c>
      <c r="J16" s="14">
        <v>1960</v>
      </c>
      <c r="K16" s="15">
        <f>L16+2860+4752+4808</f>
        <v>14377</v>
      </c>
      <c r="L16" s="15">
        <v>1957</v>
      </c>
      <c r="M16" s="16">
        <f t="shared" si="0"/>
        <v>1957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/>
      <c r="W16" s="19">
        <v>14</v>
      </c>
      <c r="X16" s="17"/>
      <c r="Y16" s="20"/>
      <c r="Z16" s="20"/>
      <c r="AA16" s="21"/>
      <c r="AB16" s="8">
        <f t="shared" si="4"/>
        <v>0.99846938775510208</v>
      </c>
      <c r="AC16" s="9">
        <f t="shared" si="5"/>
        <v>0.41666666666666669</v>
      </c>
      <c r="AD16" s="10">
        <f t="shared" si="6"/>
        <v>0.4160289115646259</v>
      </c>
      <c r="AE16" s="39">
        <f t="shared" si="7"/>
        <v>0.55777140566026751</v>
      </c>
      <c r="AF16" s="94">
        <f t="shared" si="8"/>
        <v>11</v>
      </c>
    </row>
    <row r="17" spans="1:32" ht="27" customHeight="1">
      <c r="A17" s="109">
        <v>11</v>
      </c>
      <c r="B17" s="11" t="s">
        <v>59</v>
      </c>
      <c r="C17" s="11" t="s">
        <v>825</v>
      </c>
      <c r="D17" s="55" t="s">
        <v>826</v>
      </c>
      <c r="E17" s="57" t="s">
        <v>827</v>
      </c>
      <c r="F17" s="12">
        <v>7301</v>
      </c>
      <c r="G17" s="36">
        <v>1</v>
      </c>
      <c r="H17" s="38">
        <v>25</v>
      </c>
      <c r="I17" s="7">
        <v>30000</v>
      </c>
      <c r="J17" s="14">
        <v>2880</v>
      </c>
      <c r="K17" s="15">
        <f>L17</f>
        <v>2878</v>
      </c>
      <c r="L17" s="15">
        <f>2878</f>
        <v>2878</v>
      </c>
      <c r="M17" s="16">
        <f t="shared" ref="M17" si="10">L17-N17</f>
        <v>2878</v>
      </c>
      <c r="N17" s="16">
        <v>0</v>
      </c>
      <c r="O17" s="62">
        <f t="shared" ref="O17" si="11">IF(L17=0,"0",N17/L17)</f>
        <v>0</v>
      </c>
      <c r="P17" s="42">
        <f t="shared" ref="P17" si="12">IF(L17=0,"0",(24-Q17))</f>
        <v>12</v>
      </c>
      <c r="Q17" s="43">
        <f t="shared" ref="Q17" si="13">SUM(R17:AA17)</f>
        <v>12</v>
      </c>
      <c r="R17" s="7"/>
      <c r="S17" s="6"/>
      <c r="T17" s="17">
        <v>12</v>
      </c>
      <c r="U17" s="17"/>
      <c r="V17" s="18"/>
      <c r="W17" s="19"/>
      <c r="X17" s="17"/>
      <c r="Y17" s="20"/>
      <c r="Z17" s="20"/>
      <c r="AA17" s="21"/>
      <c r="AB17" s="8">
        <f t="shared" ref="AB17" si="14">IF(J17=0,"0",(L17/J17))</f>
        <v>0.99930555555555556</v>
      </c>
      <c r="AC17" s="9">
        <f t="shared" ref="AC17" si="15">IF(P17=0,"0",(P17/24))</f>
        <v>0.5</v>
      </c>
      <c r="AD17" s="10">
        <f t="shared" ref="AD17" si="16">AC17*AB17*(1-O17)</f>
        <v>0.49965277777777778</v>
      </c>
      <c r="AE17" s="39">
        <f t="shared" si="7"/>
        <v>0.55777140566026751</v>
      </c>
      <c r="AF17" s="94">
        <f t="shared" ref="AF17" si="17">A17</f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789</v>
      </c>
      <c r="E18" s="56" t="s">
        <v>790</v>
      </c>
      <c r="F18" s="12">
        <v>8301</v>
      </c>
      <c r="G18" s="12">
        <v>1</v>
      </c>
      <c r="H18" s="13">
        <v>25</v>
      </c>
      <c r="I18" s="34">
        <v>13000</v>
      </c>
      <c r="J18" s="5">
        <v>2330</v>
      </c>
      <c r="K18" s="15">
        <f>L18+4217</f>
        <v>6542</v>
      </c>
      <c r="L18" s="15">
        <f>2325</f>
        <v>2325</v>
      </c>
      <c r="M18" s="16">
        <f t="shared" si="0"/>
        <v>2325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>
        <v>13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0.99785407725321884</v>
      </c>
      <c r="AC18" s="9">
        <f t="shared" si="5"/>
        <v>0.45833333333333331</v>
      </c>
      <c r="AD18" s="10">
        <f t="shared" si="6"/>
        <v>0.45734978540772531</v>
      </c>
      <c r="AE18" s="39">
        <f t="shared" si="7"/>
        <v>0.55777140566026751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659</v>
      </c>
      <c r="D19" s="55" t="s">
        <v>121</v>
      </c>
      <c r="E19" s="57" t="s">
        <v>668</v>
      </c>
      <c r="F19" s="12" t="s">
        <v>185</v>
      </c>
      <c r="G19" s="12">
        <v>1</v>
      </c>
      <c r="H19" s="13">
        <v>25</v>
      </c>
      <c r="I19" s="34">
        <v>26000</v>
      </c>
      <c r="J19" s="5">
        <v>3630</v>
      </c>
      <c r="K19" s="15">
        <f>L19+316+3622+4343+4263</f>
        <v>16166</v>
      </c>
      <c r="L19" s="15">
        <f>2290+1332</f>
        <v>3622</v>
      </c>
      <c r="M19" s="16">
        <f t="shared" si="0"/>
        <v>3622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0.99779614325068866</v>
      </c>
      <c r="AC19" s="9">
        <f t="shared" si="5"/>
        <v>0.83333333333333337</v>
      </c>
      <c r="AD19" s="10">
        <f t="shared" si="6"/>
        <v>0.83149678604224053</v>
      </c>
      <c r="AE19" s="39">
        <f t="shared" si="7"/>
        <v>0.55777140566026751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459</v>
      </c>
      <c r="E20" s="57" t="s">
        <v>431</v>
      </c>
      <c r="F20" s="33" t="s">
        <v>448</v>
      </c>
      <c r="G20" s="36">
        <v>2</v>
      </c>
      <c r="H20" s="38">
        <v>25</v>
      </c>
      <c r="I20" s="34">
        <v>100000</v>
      </c>
      <c r="J20" s="5">
        <v>10300</v>
      </c>
      <c r="K20" s="15">
        <f>L20+6264+10600+6250+2340+4019+9772+10444+10316+10500+10234</f>
        <v>80739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/>
      <c r="X20" s="17"/>
      <c r="Y20" s="20"/>
      <c r="Z20" s="20"/>
      <c r="AA20" s="21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>$AD$22</f>
        <v>0.55777140566026751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779</v>
      </c>
      <c r="F21" s="12" t="s">
        <v>120</v>
      </c>
      <c r="G21" s="12">
        <v>4</v>
      </c>
      <c r="H21" s="38">
        <v>20</v>
      </c>
      <c r="I21" s="7">
        <v>200000</v>
      </c>
      <c r="J21" s="14">
        <v>47020</v>
      </c>
      <c r="K21" s="15">
        <f>L21+36748+47368</f>
        <v>131132</v>
      </c>
      <c r="L21" s="15">
        <f>6129*4+5625*4</f>
        <v>47016</v>
      </c>
      <c r="M21" s="16">
        <f t="shared" si="0"/>
        <v>47016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0.99991492981709906</v>
      </c>
      <c r="AC21" s="9">
        <f t="shared" si="5"/>
        <v>1</v>
      </c>
      <c r="AD21" s="10">
        <f t="shared" si="6"/>
        <v>0.99991492981709906</v>
      </c>
      <c r="AE21" s="39">
        <f>$AD$22</f>
        <v>0.55777140566026751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8">SUM(I6:I21)</f>
        <v>647500</v>
      </c>
      <c r="J22" s="22">
        <f t="shared" si="18"/>
        <v>125520</v>
      </c>
      <c r="K22" s="23">
        <f t="shared" si="18"/>
        <v>516224</v>
      </c>
      <c r="L22" s="24">
        <f t="shared" si="18"/>
        <v>90474</v>
      </c>
      <c r="M22" s="23">
        <f t="shared" si="18"/>
        <v>90474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201</v>
      </c>
      <c r="Q22" s="46">
        <f t="shared" si="19"/>
        <v>183</v>
      </c>
      <c r="R22" s="26">
        <f t="shared" si="19"/>
        <v>0</v>
      </c>
      <c r="S22" s="27">
        <f t="shared" si="19"/>
        <v>58</v>
      </c>
      <c r="T22" s="27">
        <f t="shared" si="19"/>
        <v>15</v>
      </c>
      <c r="U22" s="27">
        <f t="shared" si="19"/>
        <v>0</v>
      </c>
      <c r="V22" s="28">
        <f t="shared" si="19"/>
        <v>0</v>
      </c>
      <c r="W22" s="29">
        <f t="shared" si="19"/>
        <v>86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0.7324649372809926</v>
      </c>
      <c r="AC22" s="4">
        <f>SUM(AC6:AC21)/15</f>
        <v>0.55833333333333335</v>
      </c>
      <c r="AD22" s="4">
        <f>SUM(AD6:AD21)/15</f>
        <v>0.55777140566026751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828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837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346" t="s">
        <v>47</v>
      </c>
      <c r="D51" s="346" t="s">
        <v>48</v>
      </c>
      <c r="E51" s="346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346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659</v>
      </c>
      <c r="B52" s="506"/>
      <c r="C52" s="345" t="s">
        <v>697</v>
      </c>
      <c r="D52" s="342" t="s">
        <v>698</v>
      </c>
      <c r="E52" s="345" t="s">
        <v>668</v>
      </c>
      <c r="F52" s="487" t="s">
        <v>829</v>
      </c>
      <c r="G52" s="487"/>
      <c r="H52" s="487"/>
      <c r="I52" s="487"/>
      <c r="J52" s="487"/>
      <c r="K52" s="487"/>
      <c r="L52" s="487"/>
      <c r="M52" s="498"/>
      <c r="N52" s="341" t="s">
        <v>128</v>
      </c>
      <c r="O52" s="74" t="s">
        <v>143</v>
      </c>
      <c r="P52" s="503" t="s">
        <v>793</v>
      </c>
      <c r="Q52" s="504"/>
      <c r="R52" s="497" t="s">
        <v>794</v>
      </c>
      <c r="S52" s="497"/>
      <c r="T52" s="497"/>
      <c r="U52" s="497"/>
      <c r="V52" s="487" t="s">
        <v>763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659</v>
      </c>
      <c r="B53" s="506"/>
      <c r="C53" s="345" t="s">
        <v>796</v>
      </c>
      <c r="D53" s="342" t="s">
        <v>797</v>
      </c>
      <c r="E53" s="345" t="s">
        <v>798</v>
      </c>
      <c r="F53" s="487" t="s">
        <v>830</v>
      </c>
      <c r="G53" s="487"/>
      <c r="H53" s="487"/>
      <c r="I53" s="487"/>
      <c r="J53" s="487"/>
      <c r="K53" s="487"/>
      <c r="L53" s="487"/>
      <c r="M53" s="498"/>
      <c r="N53" s="341" t="s">
        <v>206</v>
      </c>
      <c r="O53" s="74" t="s">
        <v>817</v>
      </c>
      <c r="P53" s="503" t="s">
        <v>803</v>
      </c>
      <c r="Q53" s="504"/>
      <c r="R53" s="497" t="s">
        <v>816</v>
      </c>
      <c r="S53" s="497"/>
      <c r="T53" s="497"/>
      <c r="U53" s="497"/>
      <c r="V53" s="487" t="s">
        <v>813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659</v>
      </c>
      <c r="B54" s="506"/>
      <c r="C54" s="345" t="s">
        <v>831</v>
      </c>
      <c r="D54" s="342" t="s">
        <v>806</v>
      </c>
      <c r="E54" s="345" t="s">
        <v>782</v>
      </c>
      <c r="F54" s="487" t="s">
        <v>807</v>
      </c>
      <c r="G54" s="487"/>
      <c r="H54" s="487"/>
      <c r="I54" s="487"/>
      <c r="J54" s="487"/>
      <c r="K54" s="487"/>
      <c r="L54" s="487"/>
      <c r="M54" s="498"/>
      <c r="N54" s="341" t="s">
        <v>810</v>
      </c>
      <c r="O54" s="74" t="s">
        <v>220</v>
      </c>
      <c r="P54" s="503" t="s">
        <v>797</v>
      </c>
      <c r="Q54" s="504"/>
      <c r="R54" s="497" t="s">
        <v>812</v>
      </c>
      <c r="S54" s="497"/>
      <c r="T54" s="497"/>
      <c r="U54" s="497"/>
      <c r="V54" s="487" t="s">
        <v>813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122</v>
      </c>
      <c r="B55" s="506"/>
      <c r="C55" s="345" t="s">
        <v>809</v>
      </c>
      <c r="D55" s="342" t="s">
        <v>789</v>
      </c>
      <c r="E55" s="345" t="s">
        <v>790</v>
      </c>
      <c r="F55" s="487" t="s">
        <v>832</v>
      </c>
      <c r="G55" s="487"/>
      <c r="H55" s="487"/>
      <c r="I55" s="487"/>
      <c r="J55" s="487"/>
      <c r="K55" s="487"/>
      <c r="L55" s="487"/>
      <c r="M55" s="498"/>
      <c r="N55" s="341" t="s">
        <v>206</v>
      </c>
      <c r="O55" s="74" t="s">
        <v>139</v>
      </c>
      <c r="P55" s="503" t="s">
        <v>814</v>
      </c>
      <c r="Q55" s="504"/>
      <c r="R55" s="497" t="s">
        <v>815</v>
      </c>
      <c r="S55" s="497"/>
      <c r="T55" s="497"/>
      <c r="U55" s="497"/>
      <c r="V55" s="487" t="s">
        <v>813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833</v>
      </c>
      <c r="B56" s="506"/>
      <c r="C56" s="345" t="s">
        <v>139</v>
      </c>
      <c r="D56" s="342" t="s">
        <v>834</v>
      </c>
      <c r="E56" s="345" t="s">
        <v>835</v>
      </c>
      <c r="F56" s="487" t="s">
        <v>836</v>
      </c>
      <c r="G56" s="487"/>
      <c r="H56" s="487"/>
      <c r="I56" s="487"/>
      <c r="J56" s="487"/>
      <c r="K56" s="487"/>
      <c r="L56" s="487"/>
      <c r="M56" s="498"/>
      <c r="N56" s="341" t="s">
        <v>825</v>
      </c>
      <c r="O56" s="74" t="s">
        <v>586</v>
      </c>
      <c r="P56" s="503" t="s">
        <v>838</v>
      </c>
      <c r="Q56" s="504"/>
      <c r="R56" s="497" t="s">
        <v>839</v>
      </c>
      <c r="S56" s="497"/>
      <c r="T56" s="497"/>
      <c r="U56" s="497"/>
      <c r="V56" s="487" t="s">
        <v>840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342"/>
      <c r="D57" s="342"/>
      <c r="E57" s="345"/>
      <c r="F57" s="487"/>
      <c r="G57" s="487"/>
      <c r="H57" s="487"/>
      <c r="I57" s="487"/>
      <c r="J57" s="487"/>
      <c r="K57" s="487"/>
      <c r="L57" s="487"/>
      <c r="M57" s="498"/>
      <c r="N57" s="341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342"/>
      <c r="D58" s="342"/>
      <c r="E58" s="345"/>
      <c r="F58" s="487"/>
      <c r="G58" s="487"/>
      <c r="H58" s="487"/>
      <c r="I58" s="487"/>
      <c r="J58" s="487"/>
      <c r="K58" s="487"/>
      <c r="L58" s="487"/>
      <c r="M58" s="498"/>
      <c r="N58" s="341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345"/>
      <c r="D59" s="342"/>
      <c r="E59" s="345"/>
      <c r="F59" s="487"/>
      <c r="G59" s="487"/>
      <c r="H59" s="487"/>
      <c r="I59" s="487"/>
      <c r="J59" s="487"/>
      <c r="K59" s="487"/>
      <c r="L59" s="487"/>
      <c r="M59" s="498"/>
      <c r="N59" s="341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342"/>
      <c r="D60" s="342"/>
      <c r="E60" s="342"/>
      <c r="F60" s="487"/>
      <c r="G60" s="487"/>
      <c r="H60" s="487"/>
      <c r="I60" s="487"/>
      <c r="J60" s="487"/>
      <c r="K60" s="487"/>
      <c r="L60" s="487"/>
      <c r="M60" s="498"/>
      <c r="N60" s="341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344"/>
      <c r="D61" s="344"/>
      <c r="E61" s="344"/>
      <c r="F61" s="501"/>
      <c r="G61" s="501"/>
      <c r="H61" s="501"/>
      <c r="I61" s="501"/>
      <c r="J61" s="501"/>
      <c r="K61" s="501"/>
      <c r="L61" s="501"/>
      <c r="M61" s="502"/>
      <c r="N61" s="343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841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340" t="s">
        <v>2</v>
      </c>
      <c r="D63" s="340" t="s">
        <v>38</v>
      </c>
      <c r="E63" s="340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340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339" t="s">
        <v>842</v>
      </c>
      <c r="D64" s="335"/>
      <c r="E64" s="337" t="s">
        <v>843</v>
      </c>
      <c r="F64" s="485" t="s">
        <v>844</v>
      </c>
      <c r="G64" s="475"/>
      <c r="H64" s="475"/>
      <c r="I64" s="475"/>
      <c r="J64" s="475"/>
      <c r="K64" s="475" t="s">
        <v>847</v>
      </c>
      <c r="L64" s="475"/>
      <c r="M64" s="54" t="s">
        <v>848</v>
      </c>
      <c r="N64" s="475">
        <v>14</v>
      </c>
      <c r="O64" s="47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339" t="s">
        <v>846</v>
      </c>
      <c r="D65" s="335"/>
      <c r="E65" s="337" t="s">
        <v>834</v>
      </c>
      <c r="F65" s="485" t="s">
        <v>845</v>
      </c>
      <c r="G65" s="475"/>
      <c r="H65" s="475"/>
      <c r="I65" s="475"/>
      <c r="J65" s="475"/>
      <c r="K65" s="475" t="s">
        <v>853</v>
      </c>
      <c r="L65" s="475"/>
      <c r="M65" s="54" t="s">
        <v>848</v>
      </c>
      <c r="N65" s="475">
        <v>14</v>
      </c>
      <c r="O65" s="47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339" t="s">
        <v>849</v>
      </c>
      <c r="D66" s="335"/>
      <c r="E66" s="337" t="s">
        <v>850</v>
      </c>
      <c r="F66" s="485" t="s">
        <v>851</v>
      </c>
      <c r="G66" s="475"/>
      <c r="H66" s="475"/>
      <c r="I66" s="475"/>
      <c r="J66" s="475"/>
      <c r="K66" s="488" t="s">
        <v>852</v>
      </c>
      <c r="L66" s="488"/>
      <c r="M66" s="54" t="s">
        <v>848</v>
      </c>
      <c r="N66" s="475">
        <v>14</v>
      </c>
      <c r="O66" s="47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339" t="s">
        <v>825</v>
      </c>
      <c r="D67" s="335"/>
      <c r="E67" s="337" t="s">
        <v>834</v>
      </c>
      <c r="F67" s="475" t="s">
        <v>854</v>
      </c>
      <c r="G67" s="475"/>
      <c r="H67" s="475"/>
      <c r="I67" s="475"/>
      <c r="J67" s="475"/>
      <c r="K67" s="475" t="s">
        <v>856</v>
      </c>
      <c r="L67" s="475"/>
      <c r="M67" s="54" t="s">
        <v>848</v>
      </c>
      <c r="N67" s="475">
        <v>14</v>
      </c>
      <c r="O67" s="475"/>
      <c r="P67" s="486">
        <v>10</v>
      </c>
      <c r="Q67" s="486"/>
      <c r="R67" s="487" t="s">
        <v>855</v>
      </c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339"/>
      <c r="D68" s="335"/>
      <c r="E68" s="337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339"/>
      <c r="D69" s="335"/>
      <c r="E69" s="337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339"/>
      <c r="D70" s="335"/>
      <c r="E70" s="337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339"/>
      <c r="D71" s="335"/>
      <c r="E71" s="337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857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338" t="s">
        <v>2</v>
      </c>
      <c r="D73" s="338" t="s">
        <v>38</v>
      </c>
      <c r="E73" s="338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336" t="s">
        <v>62</v>
      </c>
      <c r="D74" s="336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335" t="s">
        <v>128</v>
      </c>
      <c r="D75" s="335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0">A75+1</f>
        <v>3</v>
      </c>
      <c r="B76" s="447"/>
      <c r="C76" s="335" t="s">
        <v>62</v>
      </c>
      <c r="D76" s="335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0"/>
        <v>4</v>
      </c>
      <c r="B77" s="447"/>
      <c r="C77" s="335" t="s">
        <v>62</v>
      </c>
      <c r="D77" s="335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5</v>
      </c>
      <c r="B78" s="447"/>
      <c r="C78" s="335" t="s">
        <v>62</v>
      </c>
      <c r="D78" s="335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6</v>
      </c>
      <c r="B79" s="447"/>
      <c r="C79" s="335"/>
      <c r="D79" s="335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7</v>
      </c>
      <c r="B80" s="447"/>
      <c r="C80" s="335"/>
      <c r="D80" s="335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8</v>
      </c>
      <c r="B81" s="447"/>
      <c r="C81" s="335"/>
      <c r="D81" s="335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9</v>
      </c>
      <c r="B82" s="447"/>
      <c r="C82" s="335"/>
      <c r="D82" s="335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858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topLeftCell="A46" zoomScale="72" zoomScaleNormal="72" zoomScaleSheetLayoutView="70" workbookViewId="0">
      <selection activeCell="A65" sqref="A65:XFD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859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48" t="s">
        <v>17</v>
      </c>
      <c r="L5" s="348" t="s">
        <v>18</v>
      </c>
      <c r="M5" s="348" t="s">
        <v>19</v>
      </c>
      <c r="N5" s="3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469</v>
      </c>
      <c r="E6" s="56" t="s">
        <v>648</v>
      </c>
      <c r="F6" s="12" t="s">
        <v>523</v>
      </c>
      <c r="G6" s="36">
        <v>1</v>
      </c>
      <c r="H6" s="38">
        <v>25</v>
      </c>
      <c r="I6" s="7">
        <v>26000</v>
      </c>
      <c r="J6" s="14">
        <v>4490</v>
      </c>
      <c r="K6" s="15">
        <f>L6+2812+4517+4587+4470+4488+4483</f>
        <v>29839</v>
      </c>
      <c r="L6" s="15">
        <f>2328+2154</f>
        <v>4482</v>
      </c>
      <c r="M6" s="16">
        <f t="shared" ref="M6:M22" si="0">L6-N6</f>
        <v>4482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0.99821826280623605</v>
      </c>
      <c r="AC6" s="9">
        <f t="shared" ref="AC6:AC22" si="5">IF(P6=0,"0",(P6/24))</f>
        <v>1</v>
      </c>
      <c r="AD6" s="10">
        <f t="shared" ref="AD6:AD22" si="6">AC6*AB6*(1-O6)</f>
        <v>0.99821826280623605</v>
      </c>
      <c r="AE6" s="39">
        <f t="shared" ref="AE6:AE22" si="7">$AD$23</f>
        <v>0.67419824460713351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4080</v>
      </c>
      <c r="K7" s="15">
        <f>L7</f>
        <v>4080</v>
      </c>
      <c r="L7" s="15">
        <f>2557+1523</f>
        <v>4080</v>
      </c>
      <c r="M7" s="16">
        <f t="shared" si="0"/>
        <v>4080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/>
      <c r="T7" s="17">
        <v>2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9">
        <f t="shared" si="7"/>
        <v>0.67419824460713351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320</v>
      </c>
      <c r="G8" s="36">
        <v>2</v>
      </c>
      <c r="H8" s="38">
        <v>25</v>
      </c>
      <c r="I8" s="7">
        <v>50000</v>
      </c>
      <c r="J8" s="14">
        <v>8380</v>
      </c>
      <c r="K8" s="15">
        <f>L8+428+5928+9732+6966+9958+3348+7302+10628+10740</f>
        <v>73402</v>
      </c>
      <c r="L8" s="15">
        <f>2771*2+1415*2</f>
        <v>8372</v>
      </c>
      <c r="M8" s="16">
        <f t="shared" si="0"/>
        <v>8372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>
        <v>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0.99904534606205253</v>
      </c>
      <c r="AC8" s="9">
        <f t="shared" si="5"/>
        <v>0.875</v>
      </c>
      <c r="AD8" s="10">
        <f t="shared" si="6"/>
        <v>0.87416467780429596</v>
      </c>
      <c r="AE8" s="39">
        <f t="shared" si="7"/>
        <v>0.67419824460713351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6120</v>
      </c>
      <c r="K9" s="15">
        <f>L9+2886+4343+5880</f>
        <v>19222</v>
      </c>
      <c r="L9" s="15">
        <f>3133+2980</f>
        <v>6113</v>
      </c>
      <c r="M9" s="16">
        <f t="shared" si="0"/>
        <v>6113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0.9988562091503268</v>
      </c>
      <c r="AC9" s="9">
        <f t="shared" si="5"/>
        <v>1</v>
      </c>
      <c r="AD9" s="10">
        <f t="shared" si="6"/>
        <v>0.9988562091503268</v>
      </c>
      <c r="AE9" s="39">
        <f t="shared" si="7"/>
        <v>0.67419824460713351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10550</v>
      </c>
      <c r="K10" s="15">
        <f>L10+7510+8800+7448+10498+7300+10522+10338+5436+8842+10604+6710</f>
        <v>104554</v>
      </c>
      <c r="L10" s="15">
        <f>2721*2+2552*2</f>
        <v>10546</v>
      </c>
      <c r="M10" s="16">
        <f t="shared" si="0"/>
        <v>10546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0.99962085308056869</v>
      </c>
      <c r="AC10" s="9">
        <f t="shared" si="5"/>
        <v>1</v>
      </c>
      <c r="AD10" s="10">
        <f t="shared" si="6"/>
        <v>0.99962085308056869</v>
      </c>
      <c r="AE10" s="39">
        <f t="shared" si="7"/>
        <v>0.67419824460713351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2000</v>
      </c>
      <c r="J11" s="14">
        <v>5190</v>
      </c>
      <c r="K11" s="15">
        <f>L11+2718+5189</f>
        <v>7907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0.67419824460713351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5150</v>
      </c>
      <c r="K12" s="15">
        <f>L12+2002+2471+4364+1737+2292</f>
        <v>18013</v>
      </c>
      <c r="L12" s="15">
        <f>2671+2476</f>
        <v>5147</v>
      </c>
      <c r="M12" s="16">
        <f t="shared" si="0"/>
        <v>5147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0.99941747572815531</v>
      </c>
      <c r="AC12" s="9">
        <f t="shared" si="5"/>
        <v>1</v>
      </c>
      <c r="AD12" s="10">
        <f t="shared" si="6"/>
        <v>0.99941747572815531</v>
      </c>
      <c r="AE12" s="39">
        <f t="shared" si="7"/>
        <v>0.67419824460713351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659</v>
      </c>
      <c r="D13" s="55" t="s">
        <v>684</v>
      </c>
      <c r="E13" s="57" t="s">
        <v>685</v>
      </c>
      <c r="F13" s="12" t="s">
        <v>686</v>
      </c>
      <c r="G13" s="12">
        <v>1</v>
      </c>
      <c r="H13" s="13">
        <v>25</v>
      </c>
      <c r="I13" s="7">
        <v>20000</v>
      </c>
      <c r="J13" s="14">
        <v>1940</v>
      </c>
      <c r="K13" s="15">
        <f>L13+4189+2822+5087+2193+4807</f>
        <v>21035</v>
      </c>
      <c r="L13" s="15">
        <f>1937</f>
        <v>1937</v>
      </c>
      <c r="M13" s="16">
        <f t="shared" si="0"/>
        <v>1937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/>
      <c r="T13" s="17"/>
      <c r="U13" s="17"/>
      <c r="V13" s="18"/>
      <c r="W13" s="19">
        <v>15</v>
      </c>
      <c r="X13" s="17"/>
      <c r="Y13" s="20"/>
      <c r="Z13" s="20"/>
      <c r="AA13" s="21"/>
      <c r="AB13" s="8">
        <f t="shared" si="4"/>
        <v>0.99845360824742269</v>
      </c>
      <c r="AC13" s="9">
        <f t="shared" si="5"/>
        <v>0.375</v>
      </c>
      <c r="AD13" s="10">
        <f t="shared" si="6"/>
        <v>0.37442010309278351</v>
      </c>
      <c r="AE13" s="39">
        <f t="shared" si="7"/>
        <v>0.67419824460713351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861</v>
      </c>
      <c r="D14" s="55" t="s">
        <v>862</v>
      </c>
      <c r="E14" s="57" t="s">
        <v>863</v>
      </c>
      <c r="F14" s="12" t="s">
        <v>864</v>
      </c>
      <c r="G14" s="12">
        <v>1</v>
      </c>
      <c r="H14" s="13">
        <v>25</v>
      </c>
      <c r="I14" s="7">
        <v>300</v>
      </c>
      <c r="J14" s="14">
        <v>470</v>
      </c>
      <c r="K14" s="15">
        <f>L14</f>
        <v>466</v>
      </c>
      <c r="L14" s="15">
        <f>466</f>
        <v>466</v>
      </c>
      <c r="M14" s="16">
        <f t="shared" ref="M14:M15" si="10">L14-N14</f>
        <v>466</v>
      </c>
      <c r="N14" s="16">
        <v>0</v>
      </c>
      <c r="O14" s="62">
        <f t="shared" ref="O14:O15" si="11">IF(L14=0,"0",N14/L14)</f>
        <v>0</v>
      </c>
      <c r="P14" s="42">
        <f t="shared" ref="P14:P15" si="12">IF(L14=0,"0",(24-Q14))</f>
        <v>3</v>
      </c>
      <c r="Q14" s="43">
        <f t="shared" ref="Q14:Q15" si="13">SUM(R14:AA14)</f>
        <v>21</v>
      </c>
      <c r="R14" s="7"/>
      <c r="S14" s="6">
        <v>21</v>
      </c>
      <c r="T14" s="17"/>
      <c r="U14" s="17"/>
      <c r="V14" s="18"/>
      <c r="W14" s="19"/>
      <c r="X14" s="17"/>
      <c r="Y14" s="20"/>
      <c r="Z14" s="20"/>
      <c r="AA14" s="21"/>
      <c r="AB14" s="8">
        <f t="shared" ref="AB14:AB15" si="14">IF(J14=0,"0",(L14/J14))</f>
        <v>0.99148936170212765</v>
      </c>
      <c r="AC14" s="9">
        <f t="shared" ref="AC14:AC15" si="15">IF(P14=0,"0",(P14/24))</f>
        <v>0.125</v>
      </c>
      <c r="AD14" s="10">
        <f t="shared" ref="AD14:AD15" si="16">AC14*AB14*(1-O14)</f>
        <v>0.12393617021276596</v>
      </c>
      <c r="AE14" s="39">
        <f t="shared" si="7"/>
        <v>0.67419824460713351</v>
      </c>
      <c r="AF14" s="94">
        <f t="shared" ref="AF14:AF15" si="17">A14</f>
        <v>8</v>
      </c>
    </row>
    <row r="15" spans="1:32" ht="27" customHeight="1">
      <c r="A15" s="110">
        <v>8</v>
      </c>
      <c r="B15" s="11" t="s">
        <v>59</v>
      </c>
      <c r="C15" s="11" t="s">
        <v>122</v>
      </c>
      <c r="D15" s="55" t="s">
        <v>684</v>
      </c>
      <c r="E15" s="57" t="s">
        <v>866</v>
      </c>
      <c r="F15" s="12" t="s">
        <v>865</v>
      </c>
      <c r="G15" s="12">
        <v>1</v>
      </c>
      <c r="H15" s="13">
        <v>25</v>
      </c>
      <c r="I15" s="7">
        <v>400</v>
      </c>
      <c r="J15" s="14">
        <v>530</v>
      </c>
      <c r="K15" s="15">
        <f>L15</f>
        <v>522</v>
      </c>
      <c r="L15" s="15">
        <v>522</v>
      </c>
      <c r="M15" s="16">
        <f t="shared" si="10"/>
        <v>522</v>
      </c>
      <c r="N15" s="16">
        <v>0</v>
      </c>
      <c r="O15" s="62">
        <f t="shared" si="11"/>
        <v>0</v>
      </c>
      <c r="P15" s="42">
        <f t="shared" si="12"/>
        <v>4</v>
      </c>
      <c r="Q15" s="43">
        <f t="shared" si="13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14"/>
        <v>0.98490566037735849</v>
      </c>
      <c r="AC15" s="9">
        <f t="shared" si="15"/>
        <v>0.16666666666666666</v>
      </c>
      <c r="AD15" s="10">
        <f t="shared" si="16"/>
        <v>0.16415094339622641</v>
      </c>
      <c r="AE15" s="39">
        <f t="shared" si="7"/>
        <v>0.67419824460713351</v>
      </c>
      <c r="AF15" s="94">
        <f t="shared" si="17"/>
        <v>8</v>
      </c>
    </row>
    <row r="16" spans="1:32" ht="27" customHeight="1">
      <c r="A16" s="109">
        <v>9</v>
      </c>
      <c r="B16" s="11" t="s">
        <v>59</v>
      </c>
      <c r="C16" s="37" t="s">
        <v>233</v>
      </c>
      <c r="D16" s="55" t="s">
        <v>499</v>
      </c>
      <c r="E16" s="57" t="s">
        <v>720</v>
      </c>
      <c r="F16" s="33" t="s">
        <v>625</v>
      </c>
      <c r="G16" s="36">
        <v>1</v>
      </c>
      <c r="H16" s="38">
        <v>25</v>
      </c>
      <c r="I16" s="7">
        <v>10000</v>
      </c>
      <c r="J16" s="5">
        <v>4790</v>
      </c>
      <c r="K16" s="15">
        <f>L16+2472+5133+4788</f>
        <v>12393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0.67419824460713351</v>
      </c>
      <c r="AF16" s="94">
        <f t="shared" si="8"/>
        <v>9</v>
      </c>
    </row>
    <row r="17" spans="1:32" ht="27" customHeight="1">
      <c r="A17" s="109">
        <v>10</v>
      </c>
      <c r="B17" s="11" t="s">
        <v>59</v>
      </c>
      <c r="C17" s="37" t="s">
        <v>122</v>
      </c>
      <c r="D17" s="55" t="s">
        <v>747</v>
      </c>
      <c r="E17" s="57" t="s">
        <v>748</v>
      </c>
      <c r="F17" s="12">
        <v>8301</v>
      </c>
      <c r="G17" s="12">
        <v>1</v>
      </c>
      <c r="H17" s="13">
        <v>25</v>
      </c>
      <c r="I17" s="34">
        <v>2500</v>
      </c>
      <c r="J17" s="5">
        <v>3980</v>
      </c>
      <c r="K17" s="15">
        <f>L17+2138+3980</f>
        <v>6118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0.67419824460713351</v>
      </c>
      <c r="AF17" s="94">
        <f t="shared" si="8"/>
        <v>10</v>
      </c>
    </row>
    <row r="18" spans="1:32" ht="27" customHeight="1">
      <c r="A18" s="109">
        <v>11</v>
      </c>
      <c r="B18" s="11" t="s">
        <v>59</v>
      </c>
      <c r="C18" s="11" t="s">
        <v>825</v>
      </c>
      <c r="D18" s="55" t="s">
        <v>423</v>
      </c>
      <c r="E18" s="57" t="s">
        <v>827</v>
      </c>
      <c r="F18" s="12">
        <v>7301</v>
      </c>
      <c r="G18" s="36">
        <v>1</v>
      </c>
      <c r="H18" s="38">
        <v>25</v>
      </c>
      <c r="I18" s="7">
        <v>30000</v>
      </c>
      <c r="J18" s="14">
        <v>5820</v>
      </c>
      <c r="K18" s="15">
        <f>L18+2878</f>
        <v>8697</v>
      </c>
      <c r="L18" s="15">
        <f>3016+2803</f>
        <v>5819</v>
      </c>
      <c r="M18" s="16">
        <f t="shared" si="0"/>
        <v>5819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0.99982817869415808</v>
      </c>
      <c r="AC18" s="9">
        <f t="shared" si="5"/>
        <v>1</v>
      </c>
      <c r="AD18" s="10">
        <f t="shared" si="6"/>
        <v>0.99982817869415808</v>
      </c>
      <c r="AE18" s="39">
        <f t="shared" si="7"/>
        <v>0.67419824460713351</v>
      </c>
      <c r="AF18" s="94">
        <f t="shared" si="8"/>
        <v>11</v>
      </c>
    </row>
    <row r="19" spans="1:32" ht="27" customHeight="1">
      <c r="A19" s="109">
        <v>12</v>
      </c>
      <c r="B19" s="11" t="s">
        <v>59</v>
      </c>
      <c r="C19" s="37" t="s">
        <v>122</v>
      </c>
      <c r="D19" s="55" t="s">
        <v>789</v>
      </c>
      <c r="E19" s="56" t="s">
        <v>790</v>
      </c>
      <c r="F19" s="12">
        <v>8301</v>
      </c>
      <c r="G19" s="12">
        <v>1</v>
      </c>
      <c r="H19" s="13">
        <v>25</v>
      </c>
      <c r="I19" s="34">
        <v>13000</v>
      </c>
      <c r="J19" s="5">
        <v>4040</v>
      </c>
      <c r="K19" s="15">
        <f>L19+4217+2325</f>
        <v>10576</v>
      </c>
      <c r="L19" s="15">
        <f>2874+1160</f>
        <v>4034</v>
      </c>
      <c r="M19" s="16">
        <f t="shared" si="0"/>
        <v>4034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0.99851485148514851</v>
      </c>
      <c r="AC19" s="9">
        <f t="shared" si="5"/>
        <v>0.83333333333333337</v>
      </c>
      <c r="AD19" s="10">
        <f t="shared" si="6"/>
        <v>0.83209570957095713</v>
      </c>
      <c r="AE19" s="39">
        <f t="shared" si="7"/>
        <v>0.67419824460713351</v>
      </c>
      <c r="AF19" s="94">
        <f t="shared" si="8"/>
        <v>12</v>
      </c>
    </row>
    <row r="20" spans="1:32" ht="27" customHeight="1">
      <c r="A20" s="110">
        <v>13</v>
      </c>
      <c r="B20" s="11" t="s">
        <v>59</v>
      </c>
      <c r="C20" s="37" t="s">
        <v>659</v>
      </c>
      <c r="D20" s="55" t="s">
        <v>121</v>
      </c>
      <c r="E20" s="57" t="s">
        <v>668</v>
      </c>
      <c r="F20" s="12" t="s">
        <v>185</v>
      </c>
      <c r="G20" s="12">
        <v>1</v>
      </c>
      <c r="H20" s="13">
        <v>25</v>
      </c>
      <c r="I20" s="34">
        <v>26000</v>
      </c>
      <c r="J20" s="5">
        <v>3580</v>
      </c>
      <c r="K20" s="15">
        <f>L20+316+3622+4343+4263+3622</f>
        <v>19740</v>
      </c>
      <c r="L20" s="15">
        <f>2561+1013</f>
        <v>3574</v>
      </c>
      <c r="M20" s="16">
        <f t="shared" si="0"/>
        <v>3574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0.99832402234636874</v>
      </c>
      <c r="AC20" s="9">
        <f t="shared" si="5"/>
        <v>0.83333333333333337</v>
      </c>
      <c r="AD20" s="10">
        <f t="shared" si="6"/>
        <v>0.83193668528864062</v>
      </c>
      <c r="AE20" s="39">
        <f t="shared" si="7"/>
        <v>0.67419824460713351</v>
      </c>
      <c r="AF20" s="94">
        <f t="shared" si="8"/>
        <v>13</v>
      </c>
    </row>
    <row r="21" spans="1:32" ht="27" customHeight="1">
      <c r="A21" s="110">
        <v>14</v>
      </c>
      <c r="B21" s="11" t="s">
        <v>59</v>
      </c>
      <c r="C21" s="37" t="s">
        <v>62</v>
      </c>
      <c r="D21" s="55" t="s">
        <v>459</v>
      </c>
      <c r="E21" s="57" t="s">
        <v>431</v>
      </c>
      <c r="F21" s="33" t="s">
        <v>320</v>
      </c>
      <c r="G21" s="36">
        <v>2</v>
      </c>
      <c r="H21" s="38">
        <v>25</v>
      </c>
      <c r="I21" s="34">
        <v>100000</v>
      </c>
      <c r="J21" s="5">
        <v>10300</v>
      </c>
      <c r="K21" s="15">
        <f>L21+6264+10600+6250+2340+4019+9772+10444+10316+10500+10234</f>
        <v>80739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0.67419824460713351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/>
      <c r="E22" s="56" t="s">
        <v>779</v>
      </c>
      <c r="F22" s="12" t="s">
        <v>120</v>
      </c>
      <c r="G22" s="12">
        <v>4</v>
      </c>
      <c r="H22" s="38">
        <v>20</v>
      </c>
      <c r="I22" s="7">
        <v>200000</v>
      </c>
      <c r="J22" s="14">
        <v>47300</v>
      </c>
      <c r="K22" s="15">
        <f>L22+36748+47368+47016</f>
        <v>178416</v>
      </c>
      <c r="L22" s="15">
        <f>6140*4+5681*4</f>
        <v>47284</v>
      </c>
      <c r="M22" s="16">
        <f t="shared" si="0"/>
        <v>47284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0.99966173361522204</v>
      </c>
      <c r="AC22" s="9">
        <f t="shared" si="5"/>
        <v>1</v>
      </c>
      <c r="AD22" s="10">
        <f t="shared" si="6"/>
        <v>0.99966173361522204</v>
      </c>
      <c r="AE22" s="39">
        <f t="shared" si="7"/>
        <v>0.67419824460713351</v>
      </c>
      <c r="AF22" s="94">
        <f t="shared" si="8"/>
        <v>15</v>
      </c>
    </row>
    <row r="23" spans="1:32" ht="31.5" customHeight="1" thickBot="1">
      <c r="A23" s="509" t="s">
        <v>34</v>
      </c>
      <c r="B23" s="510"/>
      <c r="C23" s="510"/>
      <c r="D23" s="510"/>
      <c r="E23" s="510"/>
      <c r="F23" s="510"/>
      <c r="G23" s="510"/>
      <c r="H23" s="511"/>
      <c r="I23" s="25">
        <f t="shared" ref="I23:N23" si="18">SUM(I6:I22)</f>
        <v>636200</v>
      </c>
      <c r="J23" s="22">
        <f t="shared" si="18"/>
        <v>126710</v>
      </c>
      <c r="K23" s="23">
        <f t="shared" si="18"/>
        <v>595719</v>
      </c>
      <c r="L23" s="24">
        <f t="shared" si="18"/>
        <v>102376</v>
      </c>
      <c r="M23" s="23">
        <f t="shared" si="18"/>
        <v>102376</v>
      </c>
      <c r="N23" s="24">
        <f t="shared" si="18"/>
        <v>0</v>
      </c>
      <c r="O23" s="44">
        <f t="shared" si="1"/>
        <v>0</v>
      </c>
      <c r="P23" s="45">
        <f t="shared" ref="P23:AA23" si="19">SUM(P6:P22)</f>
        <v>243</v>
      </c>
      <c r="Q23" s="46">
        <f t="shared" si="19"/>
        <v>165</v>
      </c>
      <c r="R23" s="26">
        <f t="shared" si="19"/>
        <v>0</v>
      </c>
      <c r="S23" s="27">
        <f t="shared" si="19"/>
        <v>56</v>
      </c>
      <c r="T23" s="27">
        <f t="shared" si="19"/>
        <v>2</v>
      </c>
      <c r="U23" s="27">
        <f t="shared" si="19"/>
        <v>0</v>
      </c>
      <c r="V23" s="28">
        <f t="shared" si="19"/>
        <v>0</v>
      </c>
      <c r="W23" s="29">
        <f t="shared" si="19"/>
        <v>107</v>
      </c>
      <c r="X23" s="30">
        <f t="shared" si="19"/>
        <v>0</v>
      </c>
      <c r="Y23" s="30">
        <f t="shared" si="19"/>
        <v>0</v>
      </c>
      <c r="Z23" s="30">
        <f t="shared" si="19"/>
        <v>0</v>
      </c>
      <c r="AA23" s="30">
        <f t="shared" si="19"/>
        <v>0</v>
      </c>
      <c r="AB23" s="31">
        <f>SUM(AB6:AB22)/15</f>
        <v>0.86442237088634299</v>
      </c>
      <c r="AC23" s="4">
        <f>SUM(AC6:AC22)/15</f>
        <v>0.67500000000000004</v>
      </c>
      <c r="AD23" s="4">
        <f>SUM(AD6:AD22)/15</f>
        <v>0.67419824460713351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512" t="s">
        <v>46</v>
      </c>
      <c r="B50" s="512"/>
      <c r="C50" s="512"/>
      <c r="D50" s="512"/>
      <c r="E50" s="51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513" t="s">
        <v>867</v>
      </c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5"/>
      <c r="N51" s="516" t="s">
        <v>882</v>
      </c>
      <c r="O51" s="517"/>
      <c r="P51" s="517"/>
      <c r="Q51" s="517"/>
      <c r="R51" s="517"/>
      <c r="S51" s="517"/>
      <c r="T51" s="517"/>
      <c r="U51" s="517"/>
      <c r="V51" s="517"/>
      <c r="W51" s="517"/>
      <c r="X51" s="517"/>
      <c r="Y51" s="517"/>
      <c r="Z51" s="517"/>
      <c r="AA51" s="517"/>
      <c r="AB51" s="517"/>
      <c r="AC51" s="517"/>
      <c r="AD51" s="518"/>
    </row>
    <row r="52" spans="1:32" ht="27" customHeight="1">
      <c r="A52" s="519" t="s">
        <v>2</v>
      </c>
      <c r="B52" s="520"/>
      <c r="C52" s="349" t="s">
        <v>47</v>
      </c>
      <c r="D52" s="349" t="s">
        <v>48</v>
      </c>
      <c r="E52" s="349" t="s">
        <v>113</v>
      </c>
      <c r="F52" s="520" t="s">
        <v>112</v>
      </c>
      <c r="G52" s="520"/>
      <c r="H52" s="520"/>
      <c r="I52" s="520"/>
      <c r="J52" s="520"/>
      <c r="K52" s="520"/>
      <c r="L52" s="520"/>
      <c r="M52" s="521"/>
      <c r="N52" s="73" t="s">
        <v>117</v>
      </c>
      <c r="O52" s="349" t="s">
        <v>47</v>
      </c>
      <c r="P52" s="522" t="s">
        <v>48</v>
      </c>
      <c r="Q52" s="523"/>
      <c r="R52" s="522" t="s">
        <v>39</v>
      </c>
      <c r="S52" s="524"/>
      <c r="T52" s="524"/>
      <c r="U52" s="523"/>
      <c r="V52" s="522" t="s">
        <v>49</v>
      </c>
      <c r="W52" s="524"/>
      <c r="X52" s="524"/>
      <c r="Y52" s="524"/>
      <c r="Z52" s="524"/>
      <c r="AA52" s="524"/>
      <c r="AB52" s="524"/>
      <c r="AC52" s="524"/>
      <c r="AD52" s="525"/>
    </row>
    <row r="53" spans="1:32" ht="27" customHeight="1">
      <c r="A53" s="505" t="s">
        <v>659</v>
      </c>
      <c r="B53" s="506"/>
      <c r="C53" s="350" t="s">
        <v>697</v>
      </c>
      <c r="D53" s="351" t="s">
        <v>698</v>
      </c>
      <c r="E53" s="350" t="s">
        <v>668</v>
      </c>
      <c r="F53" s="487" t="s">
        <v>868</v>
      </c>
      <c r="G53" s="487"/>
      <c r="H53" s="487"/>
      <c r="I53" s="487"/>
      <c r="J53" s="487"/>
      <c r="K53" s="487"/>
      <c r="L53" s="487"/>
      <c r="M53" s="498"/>
      <c r="N53" s="352" t="s">
        <v>206</v>
      </c>
      <c r="O53" s="74" t="s">
        <v>817</v>
      </c>
      <c r="P53" s="503" t="s">
        <v>365</v>
      </c>
      <c r="Q53" s="504"/>
      <c r="R53" s="497" t="s">
        <v>816</v>
      </c>
      <c r="S53" s="497"/>
      <c r="T53" s="497"/>
      <c r="U53" s="497"/>
      <c r="V53" s="487" t="s">
        <v>868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122</v>
      </c>
      <c r="B54" s="506"/>
      <c r="C54" s="350" t="s">
        <v>339</v>
      </c>
      <c r="D54" s="351" t="s">
        <v>789</v>
      </c>
      <c r="E54" s="350" t="s">
        <v>790</v>
      </c>
      <c r="F54" s="487" t="s">
        <v>869</v>
      </c>
      <c r="G54" s="487"/>
      <c r="H54" s="487"/>
      <c r="I54" s="487"/>
      <c r="J54" s="487"/>
      <c r="K54" s="487"/>
      <c r="L54" s="487"/>
      <c r="M54" s="498"/>
      <c r="N54" s="352" t="s">
        <v>122</v>
      </c>
      <c r="O54" s="74" t="s">
        <v>875</v>
      </c>
      <c r="P54" s="503" t="s">
        <v>885</v>
      </c>
      <c r="Q54" s="504"/>
      <c r="R54" s="497" t="s">
        <v>886</v>
      </c>
      <c r="S54" s="497"/>
      <c r="T54" s="497"/>
      <c r="U54" s="497"/>
      <c r="V54" s="487" t="s">
        <v>887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870</v>
      </c>
      <c r="B55" s="506"/>
      <c r="C55" s="350" t="s">
        <v>871</v>
      </c>
      <c r="D55" s="351" t="s">
        <v>872</v>
      </c>
      <c r="E55" s="350" t="s">
        <v>873</v>
      </c>
      <c r="F55" s="487" t="s">
        <v>805</v>
      </c>
      <c r="G55" s="487"/>
      <c r="H55" s="487"/>
      <c r="I55" s="487"/>
      <c r="J55" s="487"/>
      <c r="K55" s="487"/>
      <c r="L55" s="487"/>
      <c r="M55" s="498"/>
      <c r="N55" s="352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874</v>
      </c>
      <c r="B56" s="506"/>
      <c r="C56" s="350" t="s">
        <v>875</v>
      </c>
      <c r="D56" s="351" t="s">
        <v>876</v>
      </c>
      <c r="E56" s="350" t="s">
        <v>866</v>
      </c>
      <c r="F56" s="487" t="s">
        <v>877</v>
      </c>
      <c r="G56" s="487"/>
      <c r="H56" s="487"/>
      <c r="I56" s="487"/>
      <c r="J56" s="487"/>
      <c r="K56" s="487"/>
      <c r="L56" s="487"/>
      <c r="M56" s="498"/>
      <c r="N56" s="352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505" t="s">
        <v>122</v>
      </c>
      <c r="B57" s="506"/>
      <c r="C57" s="350" t="s">
        <v>875</v>
      </c>
      <c r="D57" s="351" t="s">
        <v>878</v>
      </c>
      <c r="E57" s="350" t="s">
        <v>863</v>
      </c>
      <c r="F57" s="487" t="s">
        <v>879</v>
      </c>
      <c r="G57" s="487"/>
      <c r="H57" s="487"/>
      <c r="I57" s="487"/>
      <c r="J57" s="487"/>
      <c r="K57" s="487"/>
      <c r="L57" s="487"/>
      <c r="M57" s="498"/>
      <c r="N57" s="352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 t="s">
        <v>228</v>
      </c>
      <c r="B58" s="497"/>
      <c r="C58" s="351" t="s">
        <v>880</v>
      </c>
      <c r="D58" s="351" t="s">
        <v>881</v>
      </c>
      <c r="E58" s="350" t="s">
        <v>860</v>
      </c>
      <c r="F58" s="487" t="s">
        <v>877</v>
      </c>
      <c r="G58" s="487"/>
      <c r="H58" s="487"/>
      <c r="I58" s="487"/>
      <c r="J58" s="487"/>
      <c r="K58" s="487"/>
      <c r="L58" s="487"/>
      <c r="M58" s="498"/>
      <c r="N58" s="352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 t="s">
        <v>870</v>
      </c>
      <c r="B59" s="497"/>
      <c r="C59" s="351" t="s">
        <v>298</v>
      </c>
      <c r="D59" s="351" t="s">
        <v>58</v>
      </c>
      <c r="E59" s="350" t="s">
        <v>883</v>
      </c>
      <c r="F59" s="487" t="s">
        <v>884</v>
      </c>
      <c r="G59" s="487"/>
      <c r="H59" s="487"/>
      <c r="I59" s="487"/>
      <c r="J59" s="487"/>
      <c r="K59" s="487"/>
      <c r="L59" s="487"/>
      <c r="M59" s="498"/>
      <c r="N59" s="352"/>
      <c r="O59" s="74"/>
      <c r="P59" s="503"/>
      <c r="Q59" s="504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505"/>
      <c r="B60" s="506"/>
      <c r="C60" s="350"/>
      <c r="D60" s="351"/>
      <c r="E60" s="350"/>
      <c r="F60" s="487"/>
      <c r="G60" s="487"/>
      <c r="H60" s="487"/>
      <c r="I60" s="487"/>
      <c r="J60" s="487"/>
      <c r="K60" s="487"/>
      <c r="L60" s="487"/>
      <c r="M60" s="498"/>
      <c r="N60" s="352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</row>
    <row r="61" spans="1:32" ht="27" customHeight="1">
      <c r="A61" s="496"/>
      <c r="B61" s="497"/>
      <c r="C61" s="351"/>
      <c r="D61" s="351"/>
      <c r="E61" s="351"/>
      <c r="F61" s="487"/>
      <c r="G61" s="487"/>
      <c r="H61" s="487"/>
      <c r="I61" s="487"/>
      <c r="J61" s="487"/>
      <c r="K61" s="487"/>
      <c r="L61" s="487"/>
      <c r="M61" s="498"/>
      <c r="N61" s="352"/>
      <c r="O61" s="74"/>
      <c r="P61" s="497"/>
      <c r="Q61" s="497"/>
      <c r="R61" s="497"/>
      <c r="S61" s="497"/>
      <c r="T61" s="497"/>
      <c r="U61" s="497"/>
      <c r="V61" s="487"/>
      <c r="W61" s="487"/>
      <c r="X61" s="487"/>
      <c r="Y61" s="487"/>
      <c r="Z61" s="487"/>
      <c r="AA61" s="487"/>
      <c r="AB61" s="487"/>
      <c r="AC61" s="487"/>
      <c r="AD61" s="498"/>
      <c r="AF61" s="94">
        <f>8*3000</f>
        <v>24000</v>
      </c>
    </row>
    <row r="62" spans="1:32" ht="27" customHeight="1" thickBot="1">
      <c r="A62" s="499"/>
      <c r="B62" s="500"/>
      <c r="C62" s="354"/>
      <c r="D62" s="354"/>
      <c r="E62" s="354"/>
      <c r="F62" s="501"/>
      <c r="G62" s="501"/>
      <c r="H62" s="501"/>
      <c r="I62" s="501"/>
      <c r="J62" s="501"/>
      <c r="K62" s="501"/>
      <c r="L62" s="501"/>
      <c r="M62" s="502"/>
      <c r="N62" s="353"/>
      <c r="O62" s="121"/>
      <c r="P62" s="500"/>
      <c r="Q62" s="500"/>
      <c r="R62" s="500"/>
      <c r="S62" s="500"/>
      <c r="T62" s="500"/>
      <c r="U62" s="500"/>
      <c r="V62" s="501"/>
      <c r="W62" s="501"/>
      <c r="X62" s="501"/>
      <c r="Y62" s="501"/>
      <c r="Z62" s="501"/>
      <c r="AA62" s="501"/>
      <c r="AB62" s="501"/>
      <c r="AC62" s="501"/>
      <c r="AD62" s="502"/>
      <c r="AF62" s="94">
        <f>16*3000</f>
        <v>48000</v>
      </c>
    </row>
    <row r="63" spans="1:32" ht="27.75" thickBot="1">
      <c r="A63" s="494" t="s">
        <v>888</v>
      </c>
      <c r="B63" s="494"/>
      <c r="C63" s="494"/>
      <c r="D63" s="494"/>
      <c r="E63" s="494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95" t="s">
        <v>118</v>
      </c>
      <c r="B64" s="492"/>
      <c r="C64" s="355" t="s">
        <v>2</v>
      </c>
      <c r="D64" s="355" t="s">
        <v>38</v>
      </c>
      <c r="E64" s="355" t="s">
        <v>3</v>
      </c>
      <c r="F64" s="492" t="s">
        <v>115</v>
      </c>
      <c r="G64" s="492"/>
      <c r="H64" s="492"/>
      <c r="I64" s="492"/>
      <c r="J64" s="492"/>
      <c r="K64" s="492" t="s">
        <v>40</v>
      </c>
      <c r="L64" s="492"/>
      <c r="M64" s="355" t="s">
        <v>41</v>
      </c>
      <c r="N64" s="492" t="s">
        <v>42</v>
      </c>
      <c r="O64" s="492"/>
      <c r="P64" s="489" t="s">
        <v>43</v>
      </c>
      <c r="Q64" s="491"/>
      <c r="R64" s="489" t="s">
        <v>44</v>
      </c>
      <c r="S64" s="490"/>
      <c r="T64" s="490"/>
      <c r="U64" s="490"/>
      <c r="V64" s="490"/>
      <c r="W64" s="490"/>
      <c r="X64" s="490"/>
      <c r="Y64" s="490"/>
      <c r="Z64" s="490"/>
      <c r="AA64" s="491"/>
      <c r="AB64" s="492" t="s">
        <v>45</v>
      </c>
      <c r="AC64" s="492"/>
      <c r="AD64" s="493"/>
      <c r="AF64" s="94">
        <f>SUM(AF61:AF63)</f>
        <v>96000</v>
      </c>
    </row>
    <row r="65" spans="1:32" ht="25.5" customHeight="1">
      <c r="A65" s="483">
        <v>1</v>
      </c>
      <c r="B65" s="484"/>
      <c r="C65" s="357" t="s">
        <v>842</v>
      </c>
      <c r="D65" s="359"/>
      <c r="E65" s="356" t="s">
        <v>58</v>
      </c>
      <c r="F65" s="485" t="s">
        <v>889</v>
      </c>
      <c r="G65" s="475"/>
      <c r="H65" s="475"/>
      <c r="I65" s="475"/>
      <c r="J65" s="475"/>
      <c r="K65" s="475" t="s">
        <v>890</v>
      </c>
      <c r="L65" s="475"/>
      <c r="M65" s="54" t="s">
        <v>848</v>
      </c>
      <c r="N65" s="475">
        <v>14</v>
      </c>
      <c r="O65" s="47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2</v>
      </c>
      <c r="B66" s="484"/>
      <c r="C66" s="357" t="s">
        <v>825</v>
      </c>
      <c r="D66" s="359"/>
      <c r="E66" s="356" t="s">
        <v>58</v>
      </c>
      <c r="F66" s="475" t="s">
        <v>891</v>
      </c>
      <c r="G66" s="475"/>
      <c r="H66" s="475"/>
      <c r="I66" s="475"/>
      <c r="J66" s="475"/>
      <c r="K66" s="475" t="s">
        <v>892</v>
      </c>
      <c r="L66" s="475"/>
      <c r="M66" s="54" t="s">
        <v>848</v>
      </c>
      <c r="N66" s="475">
        <v>14</v>
      </c>
      <c r="O66" s="475"/>
      <c r="P66" s="486"/>
      <c r="Q66" s="486"/>
      <c r="R66" s="487" t="s">
        <v>893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</row>
    <row r="67" spans="1:32" ht="25.5" customHeight="1">
      <c r="A67" s="483">
        <v>3</v>
      </c>
      <c r="B67" s="484"/>
      <c r="C67" s="357"/>
      <c r="D67" s="359"/>
      <c r="E67" s="356"/>
      <c r="F67" s="485"/>
      <c r="G67" s="475"/>
      <c r="H67" s="475"/>
      <c r="I67" s="475"/>
      <c r="J67" s="475"/>
      <c r="K67" s="488"/>
      <c r="L67" s="488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4</v>
      </c>
      <c r="B68" s="484"/>
      <c r="C68" s="357"/>
      <c r="D68" s="359"/>
      <c r="E68" s="356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5</v>
      </c>
      <c r="B69" s="484"/>
      <c r="C69" s="357"/>
      <c r="D69" s="359"/>
      <c r="E69" s="356"/>
      <c r="F69" s="47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6</v>
      </c>
      <c r="B70" s="484"/>
      <c r="C70" s="357"/>
      <c r="D70" s="359"/>
      <c r="E70" s="356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7</v>
      </c>
      <c r="B71" s="484"/>
      <c r="C71" s="357"/>
      <c r="D71" s="359"/>
      <c r="E71" s="356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5.5" customHeight="1">
      <c r="A72" s="483">
        <v>8</v>
      </c>
      <c r="B72" s="484"/>
      <c r="C72" s="357"/>
      <c r="D72" s="359"/>
      <c r="E72" s="356"/>
      <c r="F72" s="485"/>
      <c r="G72" s="475"/>
      <c r="H72" s="475"/>
      <c r="I72" s="475"/>
      <c r="J72" s="475"/>
      <c r="K72" s="475"/>
      <c r="L72" s="475"/>
      <c r="M72" s="54"/>
      <c r="N72" s="475"/>
      <c r="O72" s="47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5"/>
      <c r="AC72" s="475"/>
      <c r="AD72" s="476"/>
      <c r="AF72" s="53"/>
    </row>
    <row r="73" spans="1:32" ht="26.25" customHeight="1" thickBot="1">
      <c r="A73" s="454" t="s">
        <v>894</v>
      </c>
      <c r="B73" s="454"/>
      <c r="C73" s="454"/>
      <c r="D73" s="454"/>
      <c r="E73" s="454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77" t="s">
        <v>118</v>
      </c>
      <c r="B74" s="478"/>
      <c r="C74" s="358" t="s">
        <v>2</v>
      </c>
      <c r="D74" s="358" t="s">
        <v>38</v>
      </c>
      <c r="E74" s="358" t="s">
        <v>3</v>
      </c>
      <c r="F74" s="478" t="s">
        <v>39</v>
      </c>
      <c r="G74" s="478"/>
      <c r="H74" s="478"/>
      <c r="I74" s="478"/>
      <c r="J74" s="478"/>
      <c r="K74" s="479" t="s">
        <v>60</v>
      </c>
      <c r="L74" s="480"/>
      <c r="M74" s="480"/>
      <c r="N74" s="480"/>
      <c r="O74" s="480"/>
      <c r="P74" s="480"/>
      <c r="Q74" s="480"/>
      <c r="R74" s="480"/>
      <c r="S74" s="481"/>
      <c r="T74" s="478" t="s">
        <v>50</v>
      </c>
      <c r="U74" s="478"/>
      <c r="V74" s="479" t="s">
        <v>51</v>
      </c>
      <c r="W74" s="481"/>
      <c r="X74" s="480" t="s">
        <v>52</v>
      </c>
      <c r="Y74" s="480"/>
      <c r="Z74" s="480"/>
      <c r="AA74" s="480"/>
      <c r="AB74" s="480"/>
      <c r="AC74" s="480"/>
      <c r="AD74" s="482"/>
      <c r="AF74" s="53"/>
    </row>
    <row r="75" spans="1:32" ht="33.75" customHeight="1">
      <c r="A75" s="462">
        <v>1</v>
      </c>
      <c r="B75" s="463"/>
      <c r="C75" s="360" t="s">
        <v>62</v>
      </c>
      <c r="D75" s="360"/>
      <c r="E75" s="71" t="s">
        <v>58</v>
      </c>
      <c r="F75" s="464" t="s">
        <v>63</v>
      </c>
      <c r="G75" s="465"/>
      <c r="H75" s="465"/>
      <c r="I75" s="465"/>
      <c r="J75" s="466"/>
      <c r="K75" s="467" t="s">
        <v>61</v>
      </c>
      <c r="L75" s="468"/>
      <c r="M75" s="468"/>
      <c r="N75" s="468"/>
      <c r="O75" s="468"/>
      <c r="P75" s="468"/>
      <c r="Q75" s="468"/>
      <c r="R75" s="468"/>
      <c r="S75" s="469"/>
      <c r="T75" s="470">
        <v>41791</v>
      </c>
      <c r="U75" s="471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46">
        <f>A75+1</f>
        <v>2</v>
      </c>
      <c r="B76" s="447"/>
      <c r="C76" s="359" t="s">
        <v>128</v>
      </c>
      <c r="D76" s="359"/>
      <c r="E76" s="35" t="s">
        <v>121</v>
      </c>
      <c r="F76" s="447" t="s">
        <v>132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42779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ref="A77:A83" si="20">A76+1</f>
        <v>3</v>
      </c>
      <c r="B77" s="447"/>
      <c r="C77" s="359" t="s">
        <v>62</v>
      </c>
      <c r="D77" s="359"/>
      <c r="E77" s="35" t="s">
        <v>121</v>
      </c>
      <c r="F77" s="447" t="s">
        <v>125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4</v>
      </c>
      <c r="B78" s="447"/>
      <c r="C78" s="359" t="s">
        <v>62</v>
      </c>
      <c r="D78" s="359"/>
      <c r="E78" s="35" t="s">
        <v>121</v>
      </c>
      <c r="F78" s="447" t="s">
        <v>265</v>
      </c>
      <c r="G78" s="447"/>
      <c r="H78" s="447"/>
      <c r="I78" s="447"/>
      <c r="J78" s="447"/>
      <c r="K78" s="456" t="s">
        <v>288</v>
      </c>
      <c r="L78" s="457"/>
      <c r="M78" s="457"/>
      <c r="N78" s="457"/>
      <c r="O78" s="457"/>
      <c r="P78" s="457"/>
      <c r="Q78" s="457"/>
      <c r="R78" s="457"/>
      <c r="S78" s="458"/>
      <c r="T78" s="459">
        <v>42829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5</v>
      </c>
      <c r="B79" s="447"/>
      <c r="C79" s="359" t="s">
        <v>62</v>
      </c>
      <c r="D79" s="359"/>
      <c r="E79" s="35" t="s">
        <v>58</v>
      </c>
      <c r="F79" s="447" t="s">
        <v>126</v>
      </c>
      <c r="G79" s="447"/>
      <c r="H79" s="447"/>
      <c r="I79" s="447"/>
      <c r="J79" s="447"/>
      <c r="K79" s="456" t="s">
        <v>61</v>
      </c>
      <c r="L79" s="457"/>
      <c r="M79" s="457"/>
      <c r="N79" s="457"/>
      <c r="O79" s="457"/>
      <c r="P79" s="457"/>
      <c r="Q79" s="457"/>
      <c r="R79" s="457"/>
      <c r="S79" s="458"/>
      <c r="T79" s="459">
        <v>42667</v>
      </c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6</v>
      </c>
      <c r="B80" s="447"/>
      <c r="C80" s="359"/>
      <c r="D80" s="359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7</v>
      </c>
      <c r="B81" s="447"/>
      <c r="C81" s="359"/>
      <c r="D81" s="359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8</v>
      </c>
      <c r="B82" s="447"/>
      <c r="C82" s="359"/>
      <c r="D82" s="359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0" customHeight="1">
      <c r="A83" s="446">
        <f t="shared" si="20"/>
        <v>9</v>
      </c>
      <c r="B83" s="447"/>
      <c r="C83" s="359"/>
      <c r="D83" s="359"/>
      <c r="E83" s="35"/>
      <c r="F83" s="447"/>
      <c r="G83" s="447"/>
      <c r="H83" s="447"/>
      <c r="I83" s="447"/>
      <c r="J83" s="447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3"/>
    </row>
    <row r="84" spans="1:32" ht="36" thickBot="1">
      <c r="A84" s="454" t="s">
        <v>895</v>
      </c>
      <c r="B84" s="454"/>
      <c r="C84" s="454"/>
      <c r="D84" s="454"/>
      <c r="E84" s="454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55" t="s">
        <v>37</v>
      </c>
      <c r="B85" s="450"/>
      <c r="C85" s="450" t="s">
        <v>53</v>
      </c>
      <c r="D85" s="450"/>
      <c r="E85" s="450" t="s">
        <v>54</v>
      </c>
      <c r="F85" s="450"/>
      <c r="G85" s="450"/>
      <c r="H85" s="450"/>
      <c r="I85" s="450"/>
      <c r="J85" s="450"/>
      <c r="K85" s="450" t="s">
        <v>55</v>
      </c>
      <c r="L85" s="450"/>
      <c r="M85" s="450"/>
      <c r="N85" s="450"/>
      <c r="O85" s="450"/>
      <c r="P85" s="450"/>
      <c r="Q85" s="450"/>
      <c r="R85" s="450"/>
      <c r="S85" s="450"/>
      <c r="T85" s="450" t="s">
        <v>56</v>
      </c>
      <c r="U85" s="450"/>
      <c r="V85" s="450" t="s">
        <v>57</v>
      </c>
      <c r="W85" s="450"/>
      <c r="X85" s="450"/>
      <c r="Y85" s="450" t="s">
        <v>52</v>
      </c>
      <c r="Z85" s="450"/>
      <c r="AA85" s="450"/>
      <c r="AB85" s="450"/>
      <c r="AC85" s="450"/>
      <c r="AD85" s="451"/>
      <c r="AF85" s="53"/>
    </row>
    <row r="86" spans="1:32" ht="30.75" customHeight="1">
      <c r="A86" s="452">
        <v>1</v>
      </c>
      <c r="B86" s="453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>
      <c r="A87" s="446">
        <v>2</v>
      </c>
      <c r="B87" s="447"/>
      <c r="C87" s="448"/>
      <c r="D87" s="448"/>
      <c r="E87" s="448"/>
      <c r="F87" s="448"/>
      <c r="G87" s="448"/>
      <c r="H87" s="448"/>
      <c r="I87" s="448"/>
      <c r="J87" s="448"/>
      <c r="K87" s="448"/>
      <c r="L87" s="448"/>
      <c r="M87" s="448"/>
      <c r="N87" s="448"/>
      <c r="O87" s="448"/>
      <c r="P87" s="448"/>
      <c r="Q87" s="448"/>
      <c r="R87" s="448"/>
      <c r="S87" s="448"/>
      <c r="T87" s="448"/>
      <c r="U87" s="448"/>
      <c r="V87" s="449"/>
      <c r="W87" s="449"/>
      <c r="X87" s="449"/>
      <c r="Y87" s="440"/>
      <c r="Z87" s="440"/>
      <c r="AA87" s="440"/>
      <c r="AB87" s="440"/>
      <c r="AC87" s="440"/>
      <c r="AD87" s="441"/>
      <c r="AF87" s="53"/>
    </row>
    <row r="88" spans="1:32" ht="30.75" customHeight="1" thickBot="1">
      <c r="A88" s="442">
        <v>3</v>
      </c>
      <c r="B88" s="443"/>
      <c r="C88" s="443"/>
      <c r="D88" s="443"/>
      <c r="E88" s="443"/>
      <c r="F88" s="443"/>
      <c r="G88" s="443"/>
      <c r="H88" s="443"/>
      <c r="I88" s="443"/>
      <c r="J88" s="443"/>
      <c r="K88" s="443"/>
      <c r="L88" s="443"/>
      <c r="M88" s="443"/>
      <c r="N88" s="443"/>
      <c r="O88" s="443"/>
      <c r="P88" s="443"/>
      <c r="Q88" s="443"/>
      <c r="R88" s="443"/>
      <c r="S88" s="443"/>
      <c r="T88" s="443"/>
      <c r="U88" s="443"/>
      <c r="V88" s="443"/>
      <c r="W88" s="443"/>
      <c r="X88" s="443"/>
      <c r="Y88" s="444"/>
      <c r="Z88" s="444"/>
      <c r="AA88" s="444"/>
      <c r="AB88" s="444"/>
      <c r="AC88" s="444"/>
      <c r="AD88" s="445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F68" sqref="F68:J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896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73" t="s">
        <v>17</v>
      </c>
      <c r="L5" s="373" t="s">
        <v>18</v>
      </c>
      <c r="M5" s="373" t="s">
        <v>19</v>
      </c>
      <c r="N5" s="3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128</v>
      </c>
      <c r="D6" s="55" t="s">
        <v>221</v>
      </c>
      <c r="E6" s="56" t="s">
        <v>648</v>
      </c>
      <c r="F6" s="12" t="s">
        <v>133</v>
      </c>
      <c r="G6" s="36">
        <v>1</v>
      </c>
      <c r="H6" s="38">
        <v>25</v>
      </c>
      <c r="I6" s="7">
        <v>26000</v>
      </c>
      <c r="J6" s="14">
        <v>2050</v>
      </c>
      <c r="K6" s="15">
        <f>L6+2812+4517+4587+4470+4488+4483+4482</f>
        <v>31887</v>
      </c>
      <c r="L6" s="15">
        <f>1873+175</f>
        <v>2048</v>
      </c>
      <c r="M6" s="16">
        <f t="shared" ref="M6:M20" si="0">L6-N6</f>
        <v>2048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12</v>
      </c>
      <c r="Q6" s="43">
        <f t="shared" ref="Q6:Q20" si="3">SUM(R6:AA6)</f>
        <v>12</v>
      </c>
      <c r="R6" s="7"/>
      <c r="S6" s="6"/>
      <c r="T6" s="17"/>
      <c r="U6" s="17"/>
      <c r="V6" s="18"/>
      <c r="W6" s="19">
        <v>12</v>
      </c>
      <c r="X6" s="17"/>
      <c r="Y6" s="20"/>
      <c r="Z6" s="20"/>
      <c r="AA6" s="21"/>
      <c r="AB6" s="8">
        <f t="shared" ref="AB6:AB20" si="4">IF(J6=0,"0",(L6/J6))</f>
        <v>0.99902439024390244</v>
      </c>
      <c r="AC6" s="9">
        <f t="shared" ref="AC6:AC20" si="5">IF(P6=0,"0",(P6/24))</f>
        <v>0.5</v>
      </c>
      <c r="AD6" s="10">
        <f t="shared" ref="AD6:AD20" si="6">AC6*AB6*(1-O6)</f>
        <v>0.49951219512195122</v>
      </c>
      <c r="AE6" s="39">
        <f t="shared" ref="AE6:AE20" si="7">$AD$21</f>
        <v>0.59390451974504477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4960</v>
      </c>
      <c r="K7" s="15">
        <f>L7+4080</f>
        <v>9039</v>
      </c>
      <c r="L7" s="15">
        <f>2889+2070</f>
        <v>4959</v>
      </c>
      <c r="M7" s="16">
        <f t="shared" si="0"/>
        <v>4959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0.99979838709677415</v>
      </c>
      <c r="AC7" s="9">
        <f t="shared" si="5"/>
        <v>1</v>
      </c>
      <c r="AD7" s="10">
        <f t="shared" si="6"/>
        <v>0.99979838709677415</v>
      </c>
      <c r="AE7" s="39">
        <f t="shared" si="7"/>
        <v>0.59390451974504477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320</v>
      </c>
      <c r="G8" s="36">
        <v>2</v>
      </c>
      <c r="H8" s="38">
        <v>25</v>
      </c>
      <c r="I8" s="7">
        <v>50000</v>
      </c>
      <c r="J8" s="14">
        <v>10660</v>
      </c>
      <c r="K8" s="15">
        <f>L8+428+5928+9732+6966+9958+3348+7302+10628+10740+8372</f>
        <v>84054</v>
      </c>
      <c r="L8" s="15">
        <f>3100*2+2226*2</f>
        <v>10652</v>
      </c>
      <c r="M8" s="16">
        <f t="shared" si="0"/>
        <v>10652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0.99924953095684799</v>
      </c>
      <c r="AC8" s="9">
        <f t="shared" si="5"/>
        <v>1</v>
      </c>
      <c r="AD8" s="10">
        <f t="shared" si="6"/>
        <v>0.99924953095684799</v>
      </c>
      <c r="AE8" s="39">
        <f t="shared" si="7"/>
        <v>0.59390451974504477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5860</v>
      </c>
      <c r="K9" s="15">
        <f>L9+2886+4343+5880+6113</f>
        <v>25081</v>
      </c>
      <c r="L9" s="15">
        <f>4085+1774</f>
        <v>5859</v>
      </c>
      <c r="M9" s="16">
        <f t="shared" si="0"/>
        <v>5859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0.99982935153583619</v>
      </c>
      <c r="AC9" s="9">
        <f t="shared" si="5"/>
        <v>1</v>
      </c>
      <c r="AD9" s="10">
        <f t="shared" si="6"/>
        <v>0.99982935153583619</v>
      </c>
      <c r="AE9" s="39">
        <f t="shared" si="7"/>
        <v>0.59390451974504477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10080</v>
      </c>
      <c r="K10" s="15">
        <f>L10+7510+8800+7448+10498+7300+10522+10338+5436+8842+10604+6710+10546</f>
        <v>114632</v>
      </c>
      <c r="L10" s="15">
        <f>2824*2+2215*2</f>
        <v>10078</v>
      </c>
      <c r="M10" s="16">
        <f t="shared" si="0"/>
        <v>10078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0.9998015873015873</v>
      </c>
      <c r="AC10" s="9">
        <f t="shared" si="5"/>
        <v>1</v>
      </c>
      <c r="AD10" s="10">
        <f t="shared" si="6"/>
        <v>0.9998015873015873</v>
      </c>
      <c r="AE10" s="39">
        <f t="shared" si="7"/>
        <v>0.59390451974504477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2000</v>
      </c>
      <c r="J11" s="14">
        <v>5190</v>
      </c>
      <c r="K11" s="15">
        <f>L11+2718+5189</f>
        <v>7907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0.59390451974504477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233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1280</v>
      </c>
      <c r="K12" s="15">
        <f>L12+2002+2471+4364+1737+2292+5147</f>
        <v>19291</v>
      </c>
      <c r="L12" s="15">
        <v>1278</v>
      </c>
      <c r="M12" s="16">
        <f t="shared" si="0"/>
        <v>1278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>
        <v>16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0.99843749999999998</v>
      </c>
      <c r="AC12" s="9">
        <f t="shared" si="5"/>
        <v>0.33333333333333331</v>
      </c>
      <c r="AD12" s="10">
        <f t="shared" si="6"/>
        <v>0.33281249999999996</v>
      </c>
      <c r="AE12" s="39">
        <f t="shared" si="7"/>
        <v>0.59390451974504477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297</v>
      </c>
      <c r="D13" s="55" t="s">
        <v>165</v>
      </c>
      <c r="E13" s="57" t="s">
        <v>897</v>
      </c>
      <c r="F13" s="12" t="s">
        <v>898</v>
      </c>
      <c r="G13" s="12">
        <v>1</v>
      </c>
      <c r="H13" s="13">
        <v>25</v>
      </c>
      <c r="I13" s="7">
        <v>1000</v>
      </c>
      <c r="J13" s="14">
        <v>1940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0.59390451974504477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233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0.59390451974504477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0.59390451974504477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5780</v>
      </c>
      <c r="K16" s="15">
        <f>L16+2878+5819</f>
        <v>14462</v>
      </c>
      <c r="L16" s="15">
        <f>2437+3328</f>
        <v>5765</v>
      </c>
      <c r="M16" s="16">
        <f t="shared" si="0"/>
        <v>5765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0.99740484429065746</v>
      </c>
      <c r="AC16" s="9">
        <f t="shared" si="5"/>
        <v>1</v>
      </c>
      <c r="AD16" s="10">
        <f t="shared" si="6"/>
        <v>0.99740484429065746</v>
      </c>
      <c r="AE16" s="39">
        <f t="shared" si="7"/>
        <v>0.59390451974504477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789</v>
      </c>
      <c r="E17" s="56" t="s">
        <v>203</v>
      </c>
      <c r="F17" s="12">
        <v>8301</v>
      </c>
      <c r="G17" s="12">
        <v>1</v>
      </c>
      <c r="H17" s="13">
        <v>25</v>
      </c>
      <c r="I17" s="34">
        <v>13000</v>
      </c>
      <c r="J17" s="5">
        <v>4830</v>
      </c>
      <c r="K17" s="15">
        <f>L17+4217+2325+4034</f>
        <v>15404</v>
      </c>
      <c r="L17" s="15">
        <f>1609+3219</f>
        <v>4828</v>
      </c>
      <c r="M17" s="16">
        <f t="shared" si="0"/>
        <v>4828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/>
      <c r="T17" s="17"/>
      <c r="U17" s="17"/>
      <c r="V17" s="18">
        <v>2</v>
      </c>
      <c r="W17" s="19"/>
      <c r="X17" s="17"/>
      <c r="Y17" s="20"/>
      <c r="Z17" s="20"/>
      <c r="AA17" s="21"/>
      <c r="AB17" s="8">
        <f t="shared" si="4"/>
        <v>0.99958592132505175</v>
      </c>
      <c r="AC17" s="9">
        <f t="shared" si="5"/>
        <v>0.91666666666666663</v>
      </c>
      <c r="AD17" s="10">
        <f t="shared" si="6"/>
        <v>0.91628709454796409</v>
      </c>
      <c r="AE17" s="39">
        <f t="shared" si="7"/>
        <v>0.59390451974504477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121</v>
      </c>
      <c r="E18" s="57" t="s">
        <v>668</v>
      </c>
      <c r="F18" s="12" t="s">
        <v>185</v>
      </c>
      <c r="G18" s="12">
        <v>1</v>
      </c>
      <c r="H18" s="13">
        <v>25</v>
      </c>
      <c r="I18" s="34">
        <v>26000</v>
      </c>
      <c r="J18" s="5">
        <v>1090</v>
      </c>
      <c r="K18" s="15">
        <f>L18+316+3622+4343+4263+3622+3574</f>
        <v>20825</v>
      </c>
      <c r="L18" s="15">
        <v>1085</v>
      </c>
      <c r="M18" s="16">
        <f t="shared" si="0"/>
        <v>1085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>
        <v>16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0.99541284403669728</v>
      </c>
      <c r="AC18" s="9">
        <f t="shared" si="5"/>
        <v>0.33333333333333331</v>
      </c>
      <c r="AD18" s="10">
        <f t="shared" si="6"/>
        <v>0.33180428134556572</v>
      </c>
      <c r="AE18" s="39">
        <f t="shared" si="7"/>
        <v>0.59390451974504477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431</v>
      </c>
      <c r="F19" s="33" t="s">
        <v>320</v>
      </c>
      <c r="G19" s="36">
        <v>2</v>
      </c>
      <c r="H19" s="38">
        <v>25</v>
      </c>
      <c r="I19" s="34">
        <v>100000</v>
      </c>
      <c r="J19" s="5">
        <v>7390</v>
      </c>
      <c r="K19" s="15">
        <f>L19+6264+10600+6250+2340+4019+9772+10444+10316+10500+10234</f>
        <v>88125</v>
      </c>
      <c r="L19" s="15">
        <f>2865*2+828*2</f>
        <v>7386</v>
      </c>
      <c r="M19" s="16">
        <f t="shared" si="0"/>
        <v>7386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0.99945872801082547</v>
      </c>
      <c r="AC19" s="9">
        <f t="shared" si="5"/>
        <v>0.83333333333333337</v>
      </c>
      <c r="AD19" s="10">
        <f t="shared" si="6"/>
        <v>0.83288227334235465</v>
      </c>
      <c r="AE19" s="39">
        <f t="shared" si="7"/>
        <v>0.59390451974504477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779</v>
      </c>
      <c r="F20" s="12" t="s">
        <v>120</v>
      </c>
      <c r="G20" s="12">
        <v>4</v>
      </c>
      <c r="H20" s="38">
        <v>20</v>
      </c>
      <c r="I20" s="7">
        <v>200000</v>
      </c>
      <c r="J20" s="14">
        <v>39300</v>
      </c>
      <c r="K20" s="15">
        <f>L20+36748+47368+47016+47284</f>
        <v>217684</v>
      </c>
      <c r="L20" s="15">
        <f>4936*4+4881*4</f>
        <v>39268</v>
      </c>
      <c r="M20" s="16">
        <f t="shared" si="0"/>
        <v>39268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0.99918575063613235</v>
      </c>
      <c r="AC20" s="9">
        <f t="shared" si="5"/>
        <v>1</v>
      </c>
      <c r="AD20" s="10">
        <f t="shared" si="6"/>
        <v>0.99918575063613235</v>
      </c>
      <c r="AE20" s="39">
        <f t="shared" si="7"/>
        <v>0.59390451974504477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0">SUM(I6:I20)</f>
        <v>616500</v>
      </c>
      <c r="J21" s="22">
        <f t="shared" si="10"/>
        <v>109180</v>
      </c>
      <c r="K21" s="23">
        <f t="shared" si="10"/>
        <v>666902</v>
      </c>
      <c r="L21" s="24">
        <f t="shared" si="10"/>
        <v>93206</v>
      </c>
      <c r="M21" s="23">
        <f t="shared" si="10"/>
        <v>93206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214</v>
      </c>
      <c r="Q21" s="46">
        <f t="shared" si="11"/>
        <v>146</v>
      </c>
      <c r="R21" s="26">
        <f t="shared" si="11"/>
        <v>0</v>
      </c>
      <c r="S21" s="27">
        <f t="shared" si="11"/>
        <v>60</v>
      </c>
      <c r="T21" s="27">
        <f t="shared" si="11"/>
        <v>0</v>
      </c>
      <c r="U21" s="27">
        <f t="shared" si="11"/>
        <v>0</v>
      </c>
      <c r="V21" s="28">
        <f t="shared" si="11"/>
        <v>2</v>
      </c>
      <c r="W21" s="29">
        <f t="shared" si="11"/>
        <v>84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0.73247925569562067</v>
      </c>
      <c r="AC21" s="4">
        <f>SUM(AC6:AC20)/15</f>
        <v>0.59444444444444444</v>
      </c>
      <c r="AD21" s="4">
        <f>SUM(AD6:AD20)/15</f>
        <v>0.59390451974504477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899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910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372" t="s">
        <v>47</v>
      </c>
      <c r="D50" s="372" t="s">
        <v>48</v>
      </c>
      <c r="E50" s="372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372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659</v>
      </c>
      <c r="B51" s="506"/>
      <c r="C51" s="371" t="s">
        <v>439</v>
      </c>
      <c r="D51" s="368" t="s">
        <v>558</v>
      </c>
      <c r="E51" s="371" t="s">
        <v>668</v>
      </c>
      <c r="F51" s="487" t="s">
        <v>900</v>
      </c>
      <c r="G51" s="487"/>
      <c r="H51" s="487"/>
      <c r="I51" s="487"/>
      <c r="J51" s="487"/>
      <c r="K51" s="487"/>
      <c r="L51" s="487"/>
      <c r="M51" s="498"/>
      <c r="N51" s="367" t="s">
        <v>659</v>
      </c>
      <c r="O51" s="74" t="s">
        <v>439</v>
      </c>
      <c r="P51" s="503" t="s">
        <v>121</v>
      </c>
      <c r="Q51" s="504"/>
      <c r="R51" s="497" t="s">
        <v>907</v>
      </c>
      <c r="S51" s="497"/>
      <c r="T51" s="497"/>
      <c r="U51" s="497"/>
      <c r="V51" s="487" t="s">
        <v>868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901</v>
      </c>
      <c r="B52" s="506"/>
      <c r="C52" s="371" t="s">
        <v>902</v>
      </c>
      <c r="D52" s="368" t="s">
        <v>903</v>
      </c>
      <c r="E52" s="371" t="s">
        <v>897</v>
      </c>
      <c r="F52" s="487" t="s">
        <v>900</v>
      </c>
      <c r="G52" s="487"/>
      <c r="H52" s="487"/>
      <c r="I52" s="487"/>
      <c r="J52" s="487"/>
      <c r="K52" s="487"/>
      <c r="L52" s="487"/>
      <c r="M52" s="498"/>
      <c r="N52" s="367" t="s">
        <v>122</v>
      </c>
      <c r="O52" s="74" t="s">
        <v>875</v>
      </c>
      <c r="P52" s="503" t="s">
        <v>885</v>
      </c>
      <c r="Q52" s="504"/>
      <c r="R52" s="497" t="s">
        <v>886</v>
      </c>
      <c r="S52" s="497"/>
      <c r="T52" s="497"/>
      <c r="U52" s="497"/>
      <c r="V52" s="487" t="s">
        <v>887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659</v>
      </c>
      <c r="B53" s="506"/>
      <c r="C53" s="371" t="s">
        <v>904</v>
      </c>
      <c r="D53" s="368" t="s">
        <v>905</v>
      </c>
      <c r="E53" s="371" t="s">
        <v>906</v>
      </c>
      <c r="F53" s="487" t="s">
        <v>900</v>
      </c>
      <c r="G53" s="487"/>
      <c r="H53" s="487"/>
      <c r="I53" s="487"/>
      <c r="J53" s="487"/>
      <c r="K53" s="487"/>
      <c r="L53" s="487"/>
      <c r="M53" s="498"/>
      <c r="N53" s="367" t="s">
        <v>659</v>
      </c>
      <c r="O53" s="74" t="s">
        <v>700</v>
      </c>
      <c r="P53" s="503" t="s">
        <v>908</v>
      </c>
      <c r="Q53" s="504"/>
      <c r="R53" s="497" t="s">
        <v>909</v>
      </c>
      <c r="S53" s="497"/>
      <c r="T53" s="497"/>
      <c r="U53" s="497"/>
      <c r="V53" s="487" t="s">
        <v>268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659</v>
      </c>
      <c r="B54" s="506"/>
      <c r="C54" s="371" t="s">
        <v>700</v>
      </c>
      <c r="D54" s="368" t="s">
        <v>908</v>
      </c>
      <c r="E54" s="371" t="s">
        <v>909</v>
      </c>
      <c r="F54" s="487" t="s">
        <v>911</v>
      </c>
      <c r="G54" s="487"/>
      <c r="H54" s="487"/>
      <c r="I54" s="487"/>
      <c r="J54" s="487"/>
      <c r="K54" s="487"/>
      <c r="L54" s="487"/>
      <c r="M54" s="498"/>
      <c r="N54" s="367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/>
      <c r="B55" s="506"/>
      <c r="C55" s="371"/>
      <c r="D55" s="368"/>
      <c r="E55" s="371"/>
      <c r="F55" s="487"/>
      <c r="G55" s="487"/>
      <c r="H55" s="487"/>
      <c r="I55" s="487"/>
      <c r="J55" s="487"/>
      <c r="K55" s="487"/>
      <c r="L55" s="487"/>
      <c r="M55" s="498"/>
      <c r="N55" s="367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368"/>
      <c r="D56" s="368"/>
      <c r="E56" s="371"/>
      <c r="F56" s="487"/>
      <c r="G56" s="487"/>
      <c r="H56" s="487"/>
      <c r="I56" s="487"/>
      <c r="J56" s="487"/>
      <c r="K56" s="487"/>
      <c r="L56" s="487"/>
      <c r="M56" s="498"/>
      <c r="N56" s="367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368"/>
      <c r="D57" s="368"/>
      <c r="E57" s="371"/>
      <c r="F57" s="487"/>
      <c r="G57" s="487"/>
      <c r="H57" s="487"/>
      <c r="I57" s="487"/>
      <c r="J57" s="487"/>
      <c r="K57" s="487"/>
      <c r="L57" s="487"/>
      <c r="M57" s="498"/>
      <c r="N57" s="367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371"/>
      <c r="D58" s="368"/>
      <c r="E58" s="371"/>
      <c r="F58" s="487"/>
      <c r="G58" s="487"/>
      <c r="H58" s="487"/>
      <c r="I58" s="487"/>
      <c r="J58" s="487"/>
      <c r="K58" s="487"/>
      <c r="L58" s="487"/>
      <c r="M58" s="498"/>
      <c r="N58" s="367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368"/>
      <c r="D59" s="368"/>
      <c r="E59" s="368"/>
      <c r="F59" s="487"/>
      <c r="G59" s="487"/>
      <c r="H59" s="487"/>
      <c r="I59" s="487"/>
      <c r="J59" s="487"/>
      <c r="K59" s="487"/>
      <c r="L59" s="487"/>
      <c r="M59" s="498"/>
      <c r="N59" s="367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370"/>
      <c r="D60" s="370"/>
      <c r="E60" s="370"/>
      <c r="F60" s="501"/>
      <c r="G60" s="501"/>
      <c r="H60" s="501"/>
      <c r="I60" s="501"/>
      <c r="J60" s="501"/>
      <c r="K60" s="501"/>
      <c r="L60" s="501"/>
      <c r="M60" s="502"/>
      <c r="N60" s="369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912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366" t="s">
        <v>2</v>
      </c>
      <c r="D62" s="366" t="s">
        <v>38</v>
      </c>
      <c r="E62" s="366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366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365"/>
      <c r="D63" s="361"/>
      <c r="E63" s="363"/>
      <c r="F63" s="485"/>
      <c r="G63" s="475"/>
      <c r="H63" s="475"/>
      <c r="I63" s="475"/>
      <c r="J63" s="475"/>
      <c r="K63" s="475"/>
      <c r="L63" s="475"/>
      <c r="M63" s="54"/>
      <c r="N63" s="475"/>
      <c r="O63" s="475"/>
      <c r="P63" s="486"/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365"/>
      <c r="D64" s="361"/>
      <c r="E64" s="363"/>
      <c r="F64" s="47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365"/>
      <c r="D65" s="361"/>
      <c r="E65" s="363"/>
      <c r="F65" s="485"/>
      <c r="G65" s="475"/>
      <c r="H65" s="475"/>
      <c r="I65" s="475"/>
      <c r="J65" s="475"/>
      <c r="K65" s="488"/>
      <c r="L65" s="488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365"/>
      <c r="D66" s="361"/>
      <c r="E66" s="363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365"/>
      <c r="D67" s="361"/>
      <c r="E67" s="363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365"/>
      <c r="D68" s="361"/>
      <c r="E68" s="363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365"/>
      <c r="D69" s="361"/>
      <c r="E69" s="363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365"/>
      <c r="D70" s="361"/>
      <c r="E70" s="363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913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364" t="s">
        <v>2</v>
      </c>
      <c r="D72" s="364" t="s">
        <v>38</v>
      </c>
      <c r="E72" s="364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362" t="s">
        <v>62</v>
      </c>
      <c r="D73" s="362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361" t="s">
        <v>128</v>
      </c>
      <c r="D74" s="361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2">A74+1</f>
        <v>3</v>
      </c>
      <c r="B75" s="447"/>
      <c r="C75" s="361" t="s">
        <v>62</v>
      </c>
      <c r="D75" s="361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2"/>
        <v>4</v>
      </c>
      <c r="B76" s="447"/>
      <c r="C76" s="361" t="s">
        <v>62</v>
      </c>
      <c r="D76" s="361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2"/>
        <v>5</v>
      </c>
      <c r="B77" s="447"/>
      <c r="C77" s="361" t="s">
        <v>62</v>
      </c>
      <c r="D77" s="361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2"/>
        <v>6</v>
      </c>
      <c r="B78" s="447"/>
      <c r="C78" s="361"/>
      <c r="D78" s="361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2"/>
        <v>7</v>
      </c>
      <c r="B79" s="447"/>
      <c r="C79" s="361"/>
      <c r="D79" s="361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2"/>
        <v>8</v>
      </c>
      <c r="B80" s="447"/>
      <c r="C80" s="361"/>
      <c r="D80" s="361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2"/>
        <v>9</v>
      </c>
      <c r="B81" s="447"/>
      <c r="C81" s="361"/>
      <c r="D81" s="361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914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7"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915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74" t="s">
        <v>17</v>
      </c>
      <c r="L5" s="374" t="s">
        <v>18</v>
      </c>
      <c r="M5" s="374" t="s">
        <v>19</v>
      </c>
      <c r="N5" s="3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916</v>
      </c>
      <c r="D6" s="55"/>
      <c r="E6" s="56" t="s">
        <v>917</v>
      </c>
      <c r="F6" s="12" t="s">
        <v>918</v>
      </c>
      <c r="G6" s="36">
        <v>1</v>
      </c>
      <c r="H6" s="38">
        <v>35</v>
      </c>
      <c r="I6" s="7">
        <v>1000</v>
      </c>
      <c r="J6" s="14">
        <v>2280</v>
      </c>
      <c r="K6" s="15">
        <f>L6</f>
        <v>2272</v>
      </c>
      <c r="L6" s="15">
        <f>513+1759</f>
        <v>2272</v>
      </c>
      <c r="M6" s="16">
        <f t="shared" ref="M6:M21" si="0">L6-N6</f>
        <v>2272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18</v>
      </c>
      <c r="Q6" s="43">
        <f t="shared" ref="Q6:Q21" si="3">SUM(R6:AA6)</f>
        <v>6</v>
      </c>
      <c r="R6" s="7"/>
      <c r="S6" s="6"/>
      <c r="T6" s="17">
        <v>6</v>
      </c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0.99649122807017543</v>
      </c>
      <c r="AC6" s="9">
        <f t="shared" ref="AC6:AC21" si="5">IF(P6=0,"0",(P6/24))</f>
        <v>0.75</v>
      </c>
      <c r="AD6" s="10">
        <f t="shared" ref="AD6:AD21" si="6">AC6*AB6*(1-O6)</f>
        <v>0.74736842105263157</v>
      </c>
      <c r="AE6" s="39">
        <f t="shared" ref="AE6:AE21" si="7">$AD$22</f>
        <v>0.4492272450606063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3995</v>
      </c>
      <c r="K7" s="15">
        <f>L7+4080+4959</f>
        <v>13033</v>
      </c>
      <c r="L7" s="15">
        <f>2571+1423</f>
        <v>3994</v>
      </c>
      <c r="M7" s="16">
        <f t="shared" si="0"/>
        <v>3994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/>
      <c r="T7" s="17"/>
      <c r="U7" s="17"/>
      <c r="V7" s="18">
        <v>3</v>
      </c>
      <c r="W7" s="19"/>
      <c r="X7" s="17"/>
      <c r="Y7" s="20"/>
      <c r="Z7" s="20"/>
      <c r="AA7" s="21"/>
      <c r="AB7" s="8">
        <f t="shared" si="4"/>
        <v>0.99974968710888612</v>
      </c>
      <c r="AC7" s="9">
        <f t="shared" si="5"/>
        <v>0.875</v>
      </c>
      <c r="AD7" s="10">
        <f t="shared" si="6"/>
        <v>0.8747809762202754</v>
      </c>
      <c r="AE7" s="39">
        <f t="shared" si="7"/>
        <v>0.4492272450606063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320</v>
      </c>
      <c r="G8" s="36">
        <v>2</v>
      </c>
      <c r="H8" s="38">
        <v>25</v>
      </c>
      <c r="I8" s="7">
        <v>50000</v>
      </c>
      <c r="J8" s="14">
        <v>9590</v>
      </c>
      <c r="K8" s="15">
        <f>L8+428+5928+9732+6966+9958+3348+7302+10628+10740+8372+10652</f>
        <v>93636</v>
      </c>
      <c r="L8" s="15">
        <f>2788*2+2003*2</f>
        <v>9582</v>
      </c>
      <c r="M8" s="16">
        <f t="shared" si="0"/>
        <v>9582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/>
      <c r="U8" s="17"/>
      <c r="V8" s="18">
        <v>1</v>
      </c>
      <c r="W8" s="19"/>
      <c r="X8" s="17"/>
      <c r="Y8" s="20"/>
      <c r="Z8" s="20"/>
      <c r="AA8" s="21"/>
      <c r="AB8" s="8">
        <f t="shared" si="4"/>
        <v>0.99916579770594371</v>
      </c>
      <c r="AC8" s="9">
        <f t="shared" si="5"/>
        <v>0.95833333333333337</v>
      </c>
      <c r="AD8" s="10">
        <f t="shared" si="6"/>
        <v>0.95753388946819606</v>
      </c>
      <c r="AE8" s="39">
        <f t="shared" si="7"/>
        <v>0.4492272450606063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744</v>
      </c>
      <c r="E9" s="57" t="s">
        <v>745</v>
      </c>
      <c r="F9" s="12" t="s">
        <v>746</v>
      </c>
      <c r="G9" s="12">
        <v>1</v>
      </c>
      <c r="H9" s="13">
        <v>25</v>
      </c>
      <c r="I9" s="34">
        <v>23000</v>
      </c>
      <c r="J9" s="5">
        <v>2310</v>
      </c>
      <c r="K9" s="15">
        <f>L9+2886+4343+5880+6113+5859</f>
        <v>27386</v>
      </c>
      <c r="L9" s="15">
        <v>2305</v>
      </c>
      <c r="M9" s="16">
        <f t="shared" si="0"/>
        <v>2305</v>
      </c>
      <c r="N9" s="16">
        <v>0</v>
      </c>
      <c r="O9" s="62">
        <f t="shared" si="1"/>
        <v>0</v>
      </c>
      <c r="P9" s="42">
        <f t="shared" si="2"/>
        <v>13</v>
      </c>
      <c r="Q9" s="43">
        <f t="shared" si="3"/>
        <v>11</v>
      </c>
      <c r="R9" s="7"/>
      <c r="S9" s="6"/>
      <c r="T9" s="17"/>
      <c r="U9" s="17"/>
      <c r="V9" s="18"/>
      <c r="W9" s="19">
        <v>11</v>
      </c>
      <c r="X9" s="17"/>
      <c r="Y9" s="20"/>
      <c r="Z9" s="20"/>
      <c r="AA9" s="21"/>
      <c r="AB9" s="8">
        <f t="shared" si="4"/>
        <v>0.99783549783549785</v>
      </c>
      <c r="AC9" s="9">
        <f t="shared" si="5"/>
        <v>0.54166666666666663</v>
      </c>
      <c r="AD9" s="10">
        <f t="shared" si="6"/>
        <v>0.54049422799422797</v>
      </c>
      <c r="AE9" s="39">
        <f t="shared" si="7"/>
        <v>0.4492272450606063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659</v>
      </c>
      <c r="D10" s="55" t="s">
        <v>121</v>
      </c>
      <c r="E10" s="57" t="s">
        <v>668</v>
      </c>
      <c r="F10" s="12" t="s">
        <v>185</v>
      </c>
      <c r="G10" s="12">
        <v>1</v>
      </c>
      <c r="H10" s="13">
        <v>25</v>
      </c>
      <c r="I10" s="34">
        <v>26000</v>
      </c>
      <c r="J10" s="5">
        <v>2540</v>
      </c>
      <c r="K10" s="15">
        <f>L10+316+3622+4343+4263+3622+3574+1085</f>
        <v>23357</v>
      </c>
      <c r="L10" s="15">
        <f>2532</f>
        <v>2532</v>
      </c>
      <c r="M10" s="16">
        <f t="shared" ref="M10" si="10">L10-N10</f>
        <v>2532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10</v>
      </c>
      <c r="Q10" s="43">
        <f t="shared" ref="Q10" si="13">SUM(R10:AA10)</f>
        <v>14</v>
      </c>
      <c r="R10" s="7"/>
      <c r="S10" s="6">
        <v>14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4">IF(J10=0,"0",(L10/J10))</f>
        <v>0.99685039370078743</v>
      </c>
      <c r="AC10" s="9">
        <f t="shared" ref="AC10" si="15">IF(P10=0,"0",(P10/24))</f>
        <v>0.41666666666666669</v>
      </c>
      <c r="AD10" s="10">
        <f t="shared" ref="AD10" si="16">AC10*AB10*(1-O10)</f>
        <v>0.41535433070866146</v>
      </c>
      <c r="AE10" s="39">
        <f t="shared" si="7"/>
        <v>0.4492272450606063</v>
      </c>
      <c r="AF10" s="94">
        <f t="shared" ref="AF10" si="17">A10</f>
        <v>4</v>
      </c>
    </row>
    <row r="11" spans="1:32" ht="27" customHeight="1">
      <c r="A11" s="110">
        <v>5</v>
      </c>
      <c r="B11" s="11" t="s">
        <v>59</v>
      </c>
      <c r="C11" s="11" t="s">
        <v>62</v>
      </c>
      <c r="D11" s="55" t="s">
        <v>121</v>
      </c>
      <c r="E11" s="57" t="s">
        <v>428</v>
      </c>
      <c r="F11" s="12" t="s">
        <v>212</v>
      </c>
      <c r="G11" s="12">
        <v>1</v>
      </c>
      <c r="H11" s="13">
        <v>25</v>
      </c>
      <c r="I11" s="34">
        <v>100000</v>
      </c>
      <c r="J11" s="14">
        <v>10080</v>
      </c>
      <c r="K11" s="15">
        <f>L11+7510+8800+7448+10498+7300+10522+10338+5436+8842+10604+6710+10546+10078</f>
        <v>114632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0.4492272450606063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122</v>
      </c>
      <c r="D12" s="55" t="s">
        <v>504</v>
      </c>
      <c r="E12" s="57" t="s">
        <v>501</v>
      </c>
      <c r="F12" s="12" t="s">
        <v>538</v>
      </c>
      <c r="G12" s="12">
        <v>1</v>
      </c>
      <c r="H12" s="13">
        <v>25</v>
      </c>
      <c r="I12" s="34">
        <v>2000</v>
      </c>
      <c r="J12" s="14">
        <v>5190</v>
      </c>
      <c r="K12" s="15">
        <f>L12+2718+5189</f>
        <v>7907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0.4492272450606063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228</v>
      </c>
      <c r="D13" s="55" t="s">
        <v>123</v>
      </c>
      <c r="E13" s="57" t="s">
        <v>594</v>
      </c>
      <c r="F13" s="12" t="s">
        <v>127</v>
      </c>
      <c r="G13" s="12">
        <v>1</v>
      </c>
      <c r="H13" s="13">
        <v>25</v>
      </c>
      <c r="I13" s="34">
        <v>23000</v>
      </c>
      <c r="J13" s="5">
        <v>3130</v>
      </c>
      <c r="K13" s="15">
        <f>L13+2002+2471+4364+1737+2292+5147+1278</f>
        <v>22418</v>
      </c>
      <c r="L13" s="15">
        <f>2676+451</f>
        <v>3127</v>
      </c>
      <c r="M13" s="16">
        <f t="shared" si="0"/>
        <v>3127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0.99904153354632586</v>
      </c>
      <c r="AC13" s="9">
        <f t="shared" si="5"/>
        <v>0.75</v>
      </c>
      <c r="AD13" s="10">
        <f t="shared" si="6"/>
        <v>0.74928115015974439</v>
      </c>
      <c r="AE13" s="39">
        <f t="shared" si="7"/>
        <v>0.4492272450606063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297</v>
      </c>
      <c r="D14" s="55" t="s">
        <v>165</v>
      </c>
      <c r="E14" s="57" t="s">
        <v>897</v>
      </c>
      <c r="F14" s="12" t="s">
        <v>898</v>
      </c>
      <c r="G14" s="12">
        <v>1</v>
      </c>
      <c r="H14" s="13">
        <v>25</v>
      </c>
      <c r="I14" s="7">
        <v>1000</v>
      </c>
      <c r="J14" s="14">
        <v>1540</v>
      </c>
      <c r="K14" s="15">
        <f>L14</f>
        <v>1536</v>
      </c>
      <c r="L14" s="15">
        <v>1536</v>
      </c>
      <c r="M14" s="16">
        <f t="shared" si="0"/>
        <v>1536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>
        <v>11</v>
      </c>
      <c r="T14" s="17"/>
      <c r="U14" s="17"/>
      <c r="V14" s="18"/>
      <c r="W14" s="19">
        <v>3</v>
      </c>
      <c r="X14" s="17"/>
      <c r="Y14" s="20"/>
      <c r="Z14" s="20"/>
      <c r="AA14" s="21"/>
      <c r="AB14" s="8">
        <f t="shared" si="4"/>
        <v>0.9974025974025974</v>
      </c>
      <c r="AC14" s="9">
        <f t="shared" si="5"/>
        <v>0.41666666666666669</v>
      </c>
      <c r="AD14" s="10">
        <f t="shared" si="6"/>
        <v>0.41558441558441561</v>
      </c>
      <c r="AE14" s="39">
        <f t="shared" si="7"/>
        <v>0.4492272450606063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228</v>
      </c>
      <c r="D15" s="55" t="s">
        <v>499</v>
      </c>
      <c r="E15" s="57" t="s">
        <v>720</v>
      </c>
      <c r="F15" s="33" t="s">
        <v>625</v>
      </c>
      <c r="G15" s="36">
        <v>1</v>
      </c>
      <c r="H15" s="38">
        <v>25</v>
      </c>
      <c r="I15" s="7">
        <v>10000</v>
      </c>
      <c r="J15" s="5">
        <v>4790</v>
      </c>
      <c r="K15" s="15">
        <f>L15+2472+5133+4788</f>
        <v>12393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0.4492272450606063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122</v>
      </c>
      <c r="D16" s="55" t="s">
        <v>747</v>
      </c>
      <c r="E16" s="57" t="s">
        <v>748</v>
      </c>
      <c r="F16" s="12">
        <v>8301</v>
      </c>
      <c r="G16" s="12">
        <v>1</v>
      </c>
      <c r="H16" s="13">
        <v>25</v>
      </c>
      <c r="I16" s="34">
        <v>2500</v>
      </c>
      <c r="J16" s="5">
        <v>3980</v>
      </c>
      <c r="K16" s="15">
        <f>L16+2138+3980</f>
        <v>6118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0.4492272450606063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825</v>
      </c>
      <c r="D17" s="55" t="s">
        <v>423</v>
      </c>
      <c r="E17" s="57" t="s">
        <v>827</v>
      </c>
      <c r="F17" s="12">
        <v>7301</v>
      </c>
      <c r="G17" s="36">
        <v>1</v>
      </c>
      <c r="H17" s="38">
        <v>25</v>
      </c>
      <c r="I17" s="7">
        <v>30000</v>
      </c>
      <c r="J17" s="14">
        <v>4340</v>
      </c>
      <c r="K17" s="15">
        <f>L17+2878+5819+5765</f>
        <v>18794</v>
      </c>
      <c r="L17" s="15">
        <f>2430+1902</f>
        <v>4332</v>
      </c>
      <c r="M17" s="16">
        <f t="shared" si="0"/>
        <v>4332</v>
      </c>
      <c r="N17" s="16">
        <v>0</v>
      </c>
      <c r="O17" s="62">
        <f t="shared" si="1"/>
        <v>0</v>
      </c>
      <c r="P17" s="42">
        <f t="shared" si="2"/>
        <v>23</v>
      </c>
      <c r="Q17" s="43">
        <f t="shared" si="3"/>
        <v>1</v>
      </c>
      <c r="R17" s="7"/>
      <c r="S17" s="6"/>
      <c r="T17" s="17"/>
      <c r="U17" s="17"/>
      <c r="V17" s="18">
        <v>1</v>
      </c>
      <c r="W17" s="19"/>
      <c r="X17" s="17"/>
      <c r="Y17" s="20"/>
      <c r="Z17" s="20"/>
      <c r="AA17" s="21"/>
      <c r="AB17" s="8">
        <f t="shared" si="4"/>
        <v>0.99815668202764973</v>
      </c>
      <c r="AC17" s="9">
        <f t="shared" si="5"/>
        <v>0.95833333333333337</v>
      </c>
      <c r="AD17" s="10">
        <f t="shared" si="6"/>
        <v>0.95656682027649764</v>
      </c>
      <c r="AE17" s="39">
        <f t="shared" si="7"/>
        <v>0.4492272450606063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789</v>
      </c>
      <c r="E18" s="56" t="s">
        <v>203</v>
      </c>
      <c r="F18" s="12">
        <v>8301</v>
      </c>
      <c r="G18" s="12">
        <v>1</v>
      </c>
      <c r="H18" s="13">
        <v>25</v>
      </c>
      <c r="I18" s="34">
        <v>13000</v>
      </c>
      <c r="J18" s="5">
        <v>400</v>
      </c>
      <c r="K18" s="15">
        <f>L18+4217+2325+4034+4828</f>
        <v>15800</v>
      </c>
      <c r="L18" s="15">
        <v>396</v>
      </c>
      <c r="M18" s="16">
        <f t="shared" si="0"/>
        <v>396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20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</v>
      </c>
      <c r="AC18" s="9">
        <f t="shared" si="5"/>
        <v>0.16666666666666666</v>
      </c>
      <c r="AD18" s="10">
        <f t="shared" si="6"/>
        <v>0.16499999999999998</v>
      </c>
      <c r="AE18" s="39">
        <f t="shared" si="7"/>
        <v>0.4492272450606063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659</v>
      </c>
      <c r="D19" s="55" t="s">
        <v>121</v>
      </c>
      <c r="E19" s="57" t="s">
        <v>668</v>
      </c>
      <c r="F19" s="12" t="s">
        <v>185</v>
      </c>
      <c r="G19" s="12">
        <v>1</v>
      </c>
      <c r="H19" s="13">
        <v>25</v>
      </c>
      <c r="I19" s="34">
        <v>26000</v>
      </c>
      <c r="J19" s="5">
        <v>1090</v>
      </c>
      <c r="K19" s="15">
        <f>L19+316+3622+4343+4263+3622+3574+1085</f>
        <v>20825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/>
      <c r="X19" s="17"/>
      <c r="Y19" s="20"/>
      <c r="Z19" s="20"/>
      <c r="AA19" s="21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0.4492272450606063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459</v>
      </c>
      <c r="E20" s="57" t="s">
        <v>431</v>
      </c>
      <c r="F20" s="33" t="s">
        <v>320</v>
      </c>
      <c r="G20" s="36">
        <v>2</v>
      </c>
      <c r="H20" s="38">
        <v>25</v>
      </c>
      <c r="I20" s="34">
        <v>100000</v>
      </c>
      <c r="J20" s="5">
        <v>8250</v>
      </c>
      <c r="K20" s="15">
        <f>L20+6264+10600+6250+2340+4019+9772+10444+10316+10500+10234+7385</f>
        <v>96372</v>
      </c>
      <c r="L20" s="15">
        <f>2626*2+1498*2</f>
        <v>8248</v>
      </c>
      <c r="M20" s="16">
        <f t="shared" si="0"/>
        <v>8248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/>
      <c r="T20" s="17"/>
      <c r="U20" s="17"/>
      <c r="V20" s="18">
        <v>2</v>
      </c>
      <c r="W20" s="19"/>
      <c r="X20" s="17"/>
      <c r="Y20" s="20"/>
      <c r="Z20" s="20"/>
      <c r="AA20" s="21"/>
      <c r="AB20" s="8">
        <f t="shared" si="4"/>
        <v>0.99975757575757573</v>
      </c>
      <c r="AC20" s="9">
        <f t="shared" si="5"/>
        <v>0.91666666666666663</v>
      </c>
      <c r="AD20" s="10">
        <f t="shared" si="6"/>
        <v>0.91644444444444439</v>
      </c>
      <c r="AE20" s="39">
        <f t="shared" si="7"/>
        <v>0.4492272450606063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779</v>
      </c>
      <c r="F21" s="12" t="s">
        <v>120</v>
      </c>
      <c r="G21" s="12">
        <v>4</v>
      </c>
      <c r="H21" s="38">
        <v>20</v>
      </c>
      <c r="I21" s="7">
        <v>200000</v>
      </c>
      <c r="J21" s="14">
        <v>39300</v>
      </c>
      <c r="K21" s="15">
        <f>L21+36748+47368+47016+47284+39268</f>
        <v>217684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0.4492272450606063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8">SUM(I6:I21)</f>
        <v>617500</v>
      </c>
      <c r="J22" s="22">
        <f t="shared" si="18"/>
        <v>102805</v>
      </c>
      <c r="K22" s="23">
        <f t="shared" si="18"/>
        <v>694163</v>
      </c>
      <c r="L22" s="24">
        <f t="shared" si="18"/>
        <v>38324</v>
      </c>
      <c r="M22" s="23">
        <f t="shared" si="18"/>
        <v>38324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162</v>
      </c>
      <c r="Q22" s="46">
        <f t="shared" si="19"/>
        <v>222</v>
      </c>
      <c r="R22" s="26">
        <f t="shared" si="19"/>
        <v>0</v>
      </c>
      <c r="S22" s="27">
        <f t="shared" si="19"/>
        <v>75</v>
      </c>
      <c r="T22" s="27">
        <f t="shared" si="19"/>
        <v>6</v>
      </c>
      <c r="U22" s="27">
        <f t="shared" si="19"/>
        <v>0</v>
      </c>
      <c r="V22" s="28">
        <f t="shared" si="19"/>
        <v>7</v>
      </c>
      <c r="W22" s="29">
        <f t="shared" si="19"/>
        <v>110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0.66496339954369599</v>
      </c>
      <c r="AC22" s="4">
        <f>SUM(AC6:AC21)/15</f>
        <v>0.45</v>
      </c>
      <c r="AD22" s="4">
        <f>SUM(AD6:AD21)/15</f>
        <v>0.4492272450606063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919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926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375" t="s">
        <v>47</v>
      </c>
      <c r="D51" s="375" t="s">
        <v>48</v>
      </c>
      <c r="E51" s="375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375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228</v>
      </c>
      <c r="B52" s="506"/>
      <c r="C52" s="376" t="s">
        <v>920</v>
      </c>
      <c r="D52" s="377" t="s">
        <v>558</v>
      </c>
      <c r="E52" s="376" t="s">
        <v>668</v>
      </c>
      <c r="F52" s="487" t="s">
        <v>921</v>
      </c>
      <c r="G52" s="487"/>
      <c r="H52" s="487"/>
      <c r="I52" s="487"/>
      <c r="J52" s="487"/>
      <c r="K52" s="487"/>
      <c r="L52" s="487"/>
      <c r="M52" s="498"/>
      <c r="N52" s="378" t="s">
        <v>659</v>
      </c>
      <c r="O52" s="74" t="s">
        <v>439</v>
      </c>
      <c r="P52" s="503" t="s">
        <v>927</v>
      </c>
      <c r="Q52" s="504"/>
      <c r="R52" s="497" t="s">
        <v>928</v>
      </c>
      <c r="S52" s="497"/>
      <c r="T52" s="497"/>
      <c r="U52" s="497"/>
      <c r="V52" s="487" t="s">
        <v>868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901</v>
      </c>
      <c r="B53" s="506"/>
      <c r="C53" s="376" t="s">
        <v>902</v>
      </c>
      <c r="D53" s="377" t="s">
        <v>903</v>
      </c>
      <c r="E53" s="376" t="s">
        <v>897</v>
      </c>
      <c r="F53" s="487" t="s">
        <v>921</v>
      </c>
      <c r="G53" s="487"/>
      <c r="H53" s="487"/>
      <c r="I53" s="487"/>
      <c r="J53" s="487"/>
      <c r="K53" s="487"/>
      <c r="L53" s="487"/>
      <c r="M53" s="498"/>
      <c r="N53" s="378" t="s">
        <v>940</v>
      </c>
      <c r="O53" s="74" t="s">
        <v>941</v>
      </c>
      <c r="P53" s="503" t="s">
        <v>942</v>
      </c>
      <c r="Q53" s="504"/>
      <c r="R53" s="497" t="s">
        <v>939</v>
      </c>
      <c r="S53" s="497"/>
      <c r="T53" s="497"/>
      <c r="U53" s="497"/>
      <c r="V53" s="487" t="s">
        <v>226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922</v>
      </c>
      <c r="B54" s="506"/>
      <c r="C54" s="376" t="s">
        <v>923</v>
      </c>
      <c r="D54" s="377"/>
      <c r="E54" s="376" t="s">
        <v>924</v>
      </c>
      <c r="F54" s="487" t="s">
        <v>925</v>
      </c>
      <c r="G54" s="487"/>
      <c r="H54" s="487"/>
      <c r="I54" s="487"/>
      <c r="J54" s="487"/>
      <c r="K54" s="487"/>
      <c r="L54" s="487"/>
      <c r="M54" s="498"/>
      <c r="N54" s="378" t="s">
        <v>944</v>
      </c>
      <c r="O54" s="74" t="s">
        <v>945</v>
      </c>
      <c r="P54" s="503" t="s">
        <v>946</v>
      </c>
      <c r="Q54" s="504"/>
      <c r="R54" s="497" t="s">
        <v>943</v>
      </c>
      <c r="S54" s="497"/>
      <c r="T54" s="497"/>
      <c r="U54" s="497"/>
      <c r="V54" s="487" t="s">
        <v>925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659</v>
      </c>
      <c r="B55" s="506"/>
      <c r="C55" s="376" t="s">
        <v>700</v>
      </c>
      <c r="D55" s="377" t="s">
        <v>908</v>
      </c>
      <c r="E55" s="376" t="s">
        <v>909</v>
      </c>
      <c r="F55" s="487" t="s">
        <v>921</v>
      </c>
      <c r="G55" s="487"/>
      <c r="H55" s="487"/>
      <c r="I55" s="487"/>
      <c r="J55" s="487"/>
      <c r="K55" s="487"/>
      <c r="L55" s="487"/>
      <c r="M55" s="498"/>
      <c r="N55" s="378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/>
      <c r="B56" s="506"/>
      <c r="C56" s="376"/>
      <c r="D56" s="377"/>
      <c r="E56" s="376"/>
      <c r="F56" s="487"/>
      <c r="G56" s="487"/>
      <c r="H56" s="487"/>
      <c r="I56" s="487"/>
      <c r="J56" s="487"/>
      <c r="K56" s="487"/>
      <c r="L56" s="487"/>
      <c r="M56" s="498"/>
      <c r="N56" s="378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377"/>
      <c r="D57" s="377"/>
      <c r="E57" s="376"/>
      <c r="F57" s="487"/>
      <c r="G57" s="487"/>
      <c r="H57" s="487"/>
      <c r="I57" s="487"/>
      <c r="J57" s="487"/>
      <c r="K57" s="487"/>
      <c r="L57" s="487"/>
      <c r="M57" s="498"/>
      <c r="N57" s="378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377"/>
      <c r="D58" s="377"/>
      <c r="E58" s="376"/>
      <c r="F58" s="487"/>
      <c r="G58" s="487"/>
      <c r="H58" s="487"/>
      <c r="I58" s="487"/>
      <c r="J58" s="487"/>
      <c r="K58" s="487"/>
      <c r="L58" s="487"/>
      <c r="M58" s="498"/>
      <c r="N58" s="378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376"/>
      <c r="D59" s="377"/>
      <c r="E59" s="376"/>
      <c r="F59" s="487"/>
      <c r="G59" s="487"/>
      <c r="H59" s="487"/>
      <c r="I59" s="487"/>
      <c r="J59" s="487"/>
      <c r="K59" s="487"/>
      <c r="L59" s="487"/>
      <c r="M59" s="498"/>
      <c r="N59" s="378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377"/>
      <c r="D60" s="377"/>
      <c r="E60" s="377"/>
      <c r="F60" s="487"/>
      <c r="G60" s="487"/>
      <c r="H60" s="487"/>
      <c r="I60" s="487"/>
      <c r="J60" s="487"/>
      <c r="K60" s="487"/>
      <c r="L60" s="487"/>
      <c r="M60" s="498"/>
      <c r="N60" s="378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380"/>
      <c r="D61" s="380"/>
      <c r="E61" s="380"/>
      <c r="F61" s="501"/>
      <c r="G61" s="501"/>
      <c r="H61" s="501"/>
      <c r="I61" s="501"/>
      <c r="J61" s="501"/>
      <c r="K61" s="501"/>
      <c r="L61" s="501"/>
      <c r="M61" s="502"/>
      <c r="N61" s="379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929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381" t="s">
        <v>2</v>
      </c>
      <c r="D63" s="381" t="s">
        <v>38</v>
      </c>
      <c r="E63" s="381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381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383" t="s">
        <v>228</v>
      </c>
      <c r="D64" s="385"/>
      <c r="E64" s="382" t="s">
        <v>930</v>
      </c>
      <c r="F64" s="485" t="s">
        <v>931</v>
      </c>
      <c r="G64" s="475"/>
      <c r="H64" s="475"/>
      <c r="I64" s="475"/>
      <c r="J64" s="475"/>
      <c r="K64" s="475" t="s">
        <v>932</v>
      </c>
      <c r="L64" s="475"/>
      <c r="M64" s="54" t="s">
        <v>933</v>
      </c>
      <c r="N64" s="475">
        <v>13</v>
      </c>
      <c r="O64" s="475"/>
      <c r="P64" s="486"/>
      <c r="Q64" s="486"/>
      <c r="R64" s="487" t="s">
        <v>934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383" t="s">
        <v>228</v>
      </c>
      <c r="D65" s="385"/>
      <c r="E65" s="382" t="s">
        <v>935</v>
      </c>
      <c r="F65" s="475" t="s">
        <v>936</v>
      </c>
      <c r="G65" s="475"/>
      <c r="H65" s="475"/>
      <c r="I65" s="475"/>
      <c r="J65" s="475"/>
      <c r="K65" s="475" t="s">
        <v>937</v>
      </c>
      <c r="L65" s="475"/>
      <c r="M65" s="54" t="s">
        <v>938</v>
      </c>
      <c r="N65" s="475">
        <v>6</v>
      </c>
      <c r="O65" s="47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383"/>
      <c r="D66" s="385"/>
      <c r="E66" s="382"/>
      <c r="F66" s="485"/>
      <c r="G66" s="475"/>
      <c r="H66" s="475"/>
      <c r="I66" s="475"/>
      <c r="J66" s="475"/>
      <c r="K66" s="488"/>
      <c r="L66" s="488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383"/>
      <c r="D67" s="385"/>
      <c r="E67" s="382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383"/>
      <c r="D68" s="385"/>
      <c r="E68" s="382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383"/>
      <c r="D69" s="385"/>
      <c r="E69" s="382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383"/>
      <c r="D70" s="385"/>
      <c r="E70" s="382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383"/>
      <c r="D71" s="385"/>
      <c r="E71" s="382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947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384" t="s">
        <v>2</v>
      </c>
      <c r="D73" s="384" t="s">
        <v>38</v>
      </c>
      <c r="E73" s="384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386" t="s">
        <v>62</v>
      </c>
      <c r="D74" s="386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385" t="s">
        <v>128</v>
      </c>
      <c r="D75" s="385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0">A75+1</f>
        <v>3</v>
      </c>
      <c r="B76" s="447"/>
      <c r="C76" s="385" t="s">
        <v>62</v>
      </c>
      <c r="D76" s="385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0"/>
        <v>4</v>
      </c>
      <c r="B77" s="447"/>
      <c r="C77" s="385" t="s">
        <v>62</v>
      </c>
      <c r="D77" s="385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5</v>
      </c>
      <c r="B78" s="447"/>
      <c r="C78" s="385" t="s">
        <v>62</v>
      </c>
      <c r="D78" s="385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6</v>
      </c>
      <c r="B79" s="447"/>
      <c r="C79" s="385"/>
      <c r="D79" s="385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7</v>
      </c>
      <c r="B80" s="447"/>
      <c r="C80" s="385"/>
      <c r="D80" s="385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8</v>
      </c>
      <c r="B81" s="447"/>
      <c r="C81" s="385"/>
      <c r="D81" s="385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9</v>
      </c>
      <c r="B82" s="447"/>
      <c r="C82" s="385"/>
      <c r="D82" s="385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948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10" zoomScale="72" zoomScaleNormal="72" zoomScaleSheetLayoutView="70" workbookViewId="0">
      <selection activeCell="L13" sqref="L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949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399" t="s">
        <v>17</v>
      </c>
      <c r="L5" s="399" t="s">
        <v>18</v>
      </c>
      <c r="M5" s="399" t="s">
        <v>19</v>
      </c>
      <c r="N5" s="39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916</v>
      </c>
      <c r="D6" s="55"/>
      <c r="E6" s="56" t="s">
        <v>917</v>
      </c>
      <c r="F6" s="12" t="s">
        <v>120</v>
      </c>
      <c r="G6" s="36">
        <v>1</v>
      </c>
      <c r="H6" s="38">
        <v>35</v>
      </c>
      <c r="I6" s="7">
        <v>1000</v>
      </c>
      <c r="J6" s="14">
        <v>1970</v>
      </c>
      <c r="K6" s="15">
        <f>L6+2272</f>
        <v>4235</v>
      </c>
      <c r="L6" s="15">
        <f>1715+248</f>
        <v>1963</v>
      </c>
      <c r="M6" s="16">
        <f t="shared" ref="M6:M20" si="0">L6-N6</f>
        <v>1963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13</v>
      </c>
      <c r="Q6" s="43">
        <f t="shared" ref="Q6:Q20" si="3">SUM(R6:AA6)</f>
        <v>11</v>
      </c>
      <c r="R6" s="7"/>
      <c r="S6" s="6"/>
      <c r="T6" s="17"/>
      <c r="U6" s="17"/>
      <c r="V6" s="18"/>
      <c r="W6" s="19">
        <v>11</v>
      </c>
      <c r="X6" s="17"/>
      <c r="Y6" s="20"/>
      <c r="Z6" s="20"/>
      <c r="AA6" s="21"/>
      <c r="AB6" s="8">
        <f t="shared" ref="AB6:AB20" si="4">IF(J6=0,"0",(L6/J6))</f>
        <v>0.99644670050761419</v>
      </c>
      <c r="AC6" s="9">
        <f t="shared" ref="AC6:AC20" si="5">IF(P6=0,"0",(P6/24))</f>
        <v>0.54166666666666663</v>
      </c>
      <c r="AD6" s="10">
        <f t="shared" ref="AD6:AD20" si="6">AC6*AB6*(1-O6)</f>
        <v>0.53974196277495767</v>
      </c>
      <c r="AE6" s="39">
        <f t="shared" ref="AE6:AE20" si="7">$AD$21</f>
        <v>0.55501262681640973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4940</v>
      </c>
      <c r="K7" s="15">
        <f>L7+4080+4959+3994</f>
        <v>17969</v>
      </c>
      <c r="L7" s="15">
        <f>2569+2367</f>
        <v>4936</v>
      </c>
      <c r="M7" s="16">
        <f t="shared" si="0"/>
        <v>4936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0.99919028340080973</v>
      </c>
      <c r="AC7" s="9">
        <f t="shared" si="5"/>
        <v>1</v>
      </c>
      <c r="AD7" s="10">
        <f t="shared" si="6"/>
        <v>0.99919028340080973</v>
      </c>
      <c r="AE7" s="39">
        <f t="shared" si="7"/>
        <v>0.55501262681640973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320</v>
      </c>
      <c r="G8" s="36">
        <v>2</v>
      </c>
      <c r="H8" s="38">
        <v>25</v>
      </c>
      <c r="I8" s="7">
        <v>50000</v>
      </c>
      <c r="J8" s="14">
        <v>10970</v>
      </c>
      <c r="K8" s="15">
        <f>L8+428+5928+9732+6966+9958+3348+7302+10628+10740+8372+10652+9582</f>
        <v>104598</v>
      </c>
      <c r="L8" s="15">
        <f>2923*2+2558*2</f>
        <v>10962</v>
      </c>
      <c r="M8" s="16">
        <f t="shared" si="0"/>
        <v>10962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0.99927073837739289</v>
      </c>
      <c r="AC8" s="9">
        <f t="shared" si="5"/>
        <v>1</v>
      </c>
      <c r="AD8" s="10">
        <f t="shared" si="6"/>
        <v>0.99927073837739289</v>
      </c>
      <c r="AE8" s="39">
        <f t="shared" si="7"/>
        <v>0.55501262681640973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121</v>
      </c>
      <c r="E9" s="57" t="s">
        <v>668</v>
      </c>
      <c r="F9" s="12" t="s">
        <v>185</v>
      </c>
      <c r="G9" s="12">
        <v>1</v>
      </c>
      <c r="H9" s="13">
        <v>25</v>
      </c>
      <c r="I9" s="34">
        <v>26000</v>
      </c>
      <c r="J9" s="5">
        <v>4050</v>
      </c>
      <c r="K9" s="15">
        <f>L9+316+3622+4343+4263+3622+3574+1085+2532</f>
        <v>27405</v>
      </c>
      <c r="L9" s="15">
        <f>1870+2178</f>
        <v>4048</v>
      </c>
      <c r="M9" s="16">
        <f t="shared" si="0"/>
        <v>4048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0.99950617283950616</v>
      </c>
      <c r="AC9" s="9">
        <f t="shared" si="5"/>
        <v>0.91666666666666663</v>
      </c>
      <c r="AD9" s="10">
        <f t="shared" si="6"/>
        <v>0.91621399176954732</v>
      </c>
      <c r="AE9" s="39">
        <f t="shared" si="7"/>
        <v>0.55501262681640973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8390</v>
      </c>
      <c r="K10" s="15">
        <f>L10+7510+8800+7448+10498+7300+10522+10338+5436+8842+10604+6710+10546+10078</f>
        <v>123018</v>
      </c>
      <c r="L10" s="15">
        <f>2738*2+1455*2</f>
        <v>8386</v>
      </c>
      <c r="M10" s="16">
        <f t="shared" si="0"/>
        <v>8386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0.99952324195470799</v>
      </c>
      <c r="AC10" s="9">
        <f t="shared" si="5"/>
        <v>0.83333333333333337</v>
      </c>
      <c r="AD10" s="10">
        <f t="shared" si="6"/>
        <v>0.83293603496225666</v>
      </c>
      <c r="AE10" s="39">
        <f t="shared" si="7"/>
        <v>0.55501262681640973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3500</v>
      </c>
      <c r="J11" s="14">
        <v>3320</v>
      </c>
      <c r="K11" s="15">
        <f>L11</f>
        <v>3317</v>
      </c>
      <c r="L11" s="15">
        <f>2562+755</f>
        <v>3317</v>
      </c>
      <c r="M11" s="16">
        <f t="shared" si="0"/>
        <v>3317</v>
      </c>
      <c r="N11" s="16">
        <v>0</v>
      </c>
      <c r="O11" s="62">
        <f t="shared" si="1"/>
        <v>0</v>
      </c>
      <c r="P11" s="42">
        <f t="shared" si="2"/>
        <v>19</v>
      </c>
      <c r="Q11" s="43">
        <f t="shared" si="3"/>
        <v>5</v>
      </c>
      <c r="R11" s="7"/>
      <c r="S11" s="6">
        <v>5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0.99909638554216873</v>
      </c>
      <c r="AC11" s="9">
        <f t="shared" si="5"/>
        <v>0.79166666666666663</v>
      </c>
      <c r="AD11" s="10">
        <f t="shared" si="6"/>
        <v>0.79095130522088353</v>
      </c>
      <c r="AE11" s="39">
        <f t="shared" si="7"/>
        <v>0.55501262681640973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228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5140</v>
      </c>
      <c r="K12" s="15">
        <f>L12+2002+2471+4364+1737+2292+5147+1278+3127</f>
        <v>27553</v>
      </c>
      <c r="L12" s="15">
        <f>2663+2472</f>
        <v>5135</v>
      </c>
      <c r="M12" s="16">
        <f t="shared" si="0"/>
        <v>5135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0.99902723735408561</v>
      </c>
      <c r="AC12" s="9">
        <f t="shared" si="5"/>
        <v>1</v>
      </c>
      <c r="AD12" s="10">
        <f t="shared" si="6"/>
        <v>0.99902723735408561</v>
      </c>
      <c r="AE12" s="39">
        <f t="shared" si="7"/>
        <v>0.55501262681640973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297</v>
      </c>
      <c r="D13" s="55" t="s">
        <v>165</v>
      </c>
      <c r="E13" s="57" t="s">
        <v>897</v>
      </c>
      <c r="F13" s="12" t="s">
        <v>898</v>
      </c>
      <c r="G13" s="12">
        <v>1</v>
      </c>
      <c r="H13" s="13">
        <v>25</v>
      </c>
      <c r="I13" s="7">
        <v>1000</v>
      </c>
      <c r="J13" s="14">
        <v>1540</v>
      </c>
      <c r="K13" s="15">
        <f>L13+1536</f>
        <v>1536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0.55501262681640973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228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0.55501262681640973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0.55501262681640973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5830</v>
      </c>
      <c r="K16" s="15">
        <f>L16+2878+5819+5765+4332</f>
        <v>24622</v>
      </c>
      <c r="L16" s="15">
        <f>3015+2813</f>
        <v>5828</v>
      </c>
      <c r="M16" s="16">
        <f t="shared" si="0"/>
        <v>5828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0.9996569468267581</v>
      </c>
      <c r="AC16" s="9">
        <f t="shared" si="5"/>
        <v>1</v>
      </c>
      <c r="AD16" s="10">
        <f t="shared" si="6"/>
        <v>0.9996569468267581</v>
      </c>
      <c r="AE16" s="39">
        <f t="shared" si="7"/>
        <v>0.55501262681640973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789</v>
      </c>
      <c r="E17" s="56" t="s">
        <v>203</v>
      </c>
      <c r="F17" s="12">
        <v>8301</v>
      </c>
      <c r="G17" s="12">
        <v>1</v>
      </c>
      <c r="H17" s="13">
        <v>25</v>
      </c>
      <c r="I17" s="34">
        <v>13000</v>
      </c>
      <c r="J17" s="5">
        <v>400</v>
      </c>
      <c r="K17" s="15">
        <f>L17+4217+2325+4034+4828+396</f>
        <v>15800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0.55501262681640973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950</v>
      </c>
      <c r="E18" s="57" t="s">
        <v>951</v>
      </c>
      <c r="F18" s="12" t="s">
        <v>952</v>
      </c>
      <c r="G18" s="12">
        <v>1</v>
      </c>
      <c r="H18" s="13">
        <v>25</v>
      </c>
      <c r="I18" s="34">
        <f>9000+13000</f>
        <v>22000</v>
      </c>
      <c r="J18" s="5">
        <v>4000</v>
      </c>
      <c r="K18" s="15">
        <f>L18</f>
        <v>3993</v>
      </c>
      <c r="L18" s="15">
        <f>1022+2521+450</f>
        <v>3993</v>
      </c>
      <c r="M18" s="16">
        <f t="shared" si="0"/>
        <v>3993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/>
      <c r="T18" s="17">
        <v>2</v>
      </c>
      <c r="U18" s="17"/>
      <c r="V18" s="18"/>
      <c r="W18" s="19"/>
      <c r="X18" s="17"/>
      <c r="Y18" s="20"/>
      <c r="Z18" s="20"/>
      <c r="AA18" s="21"/>
      <c r="AB18" s="8">
        <f t="shared" si="4"/>
        <v>0.99824999999999997</v>
      </c>
      <c r="AC18" s="9">
        <f t="shared" si="5"/>
        <v>0.91666666666666663</v>
      </c>
      <c r="AD18" s="10">
        <f t="shared" si="6"/>
        <v>0.91506249999999989</v>
      </c>
      <c r="AE18" s="39">
        <f t="shared" si="7"/>
        <v>0.55501262681640973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431</v>
      </c>
      <c r="F19" s="33" t="s">
        <v>320</v>
      </c>
      <c r="G19" s="36">
        <v>2</v>
      </c>
      <c r="H19" s="38">
        <v>25</v>
      </c>
      <c r="I19" s="34">
        <v>100000</v>
      </c>
      <c r="J19" s="5">
        <v>3420</v>
      </c>
      <c r="K19" s="15">
        <f>L19+6264+10600+6250+2340+4019+9772+10444+10316+10500+10234+7385+8248</f>
        <v>99790</v>
      </c>
      <c r="L19" s="15">
        <f>1709*2</f>
        <v>3418</v>
      </c>
      <c r="M19" s="16">
        <f t="shared" si="0"/>
        <v>3418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/>
      <c r="T19" s="17"/>
      <c r="U19" s="17"/>
      <c r="V19" s="18"/>
      <c r="W19" s="19"/>
      <c r="X19" s="17"/>
      <c r="Y19" s="20"/>
      <c r="Z19" s="20"/>
      <c r="AA19" s="21">
        <v>16</v>
      </c>
      <c r="AB19" s="8">
        <f t="shared" si="4"/>
        <v>0.99941520467836253</v>
      </c>
      <c r="AC19" s="9">
        <f t="shared" si="5"/>
        <v>0.33333333333333331</v>
      </c>
      <c r="AD19" s="10">
        <f t="shared" si="6"/>
        <v>0.33313840155945418</v>
      </c>
      <c r="AE19" s="39">
        <f t="shared" si="7"/>
        <v>0.55501262681640973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779</v>
      </c>
      <c r="F20" s="12" t="s">
        <v>120</v>
      </c>
      <c r="G20" s="12">
        <v>4</v>
      </c>
      <c r="H20" s="38">
        <v>20</v>
      </c>
      <c r="I20" s="7">
        <v>200000</v>
      </c>
      <c r="J20" s="14">
        <v>39300</v>
      </c>
      <c r="K20" s="15">
        <f>L20+36748+47368+47016+47284+39268</f>
        <v>217684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0.55501262681640973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0">SUM(I6:I20)</f>
        <v>592000</v>
      </c>
      <c r="J21" s="22">
        <f t="shared" si="10"/>
        <v>102040</v>
      </c>
      <c r="K21" s="23">
        <f t="shared" si="10"/>
        <v>690031</v>
      </c>
      <c r="L21" s="24">
        <f t="shared" si="10"/>
        <v>51986</v>
      </c>
      <c r="M21" s="23">
        <f t="shared" si="10"/>
        <v>51986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200</v>
      </c>
      <c r="Q21" s="46">
        <f t="shared" si="11"/>
        <v>160</v>
      </c>
      <c r="R21" s="26">
        <f t="shared" si="11"/>
        <v>0</v>
      </c>
      <c r="S21" s="27">
        <f t="shared" si="11"/>
        <v>35</v>
      </c>
      <c r="T21" s="27">
        <f t="shared" si="11"/>
        <v>2</v>
      </c>
      <c r="U21" s="27">
        <f t="shared" si="11"/>
        <v>0</v>
      </c>
      <c r="V21" s="28">
        <f t="shared" si="11"/>
        <v>0</v>
      </c>
      <c r="W21" s="29">
        <f t="shared" si="11"/>
        <v>107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16</v>
      </c>
      <c r="AB21" s="31">
        <f>SUM(AB6:AB20)/15</f>
        <v>0.66595886076542699</v>
      </c>
      <c r="AC21" s="4">
        <f>SUM(AC6:AC20)/15</f>
        <v>0.55555555555555558</v>
      </c>
      <c r="AD21" s="4">
        <f>SUM(AD6:AD20)/15</f>
        <v>0.55501262681640973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953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966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398" t="s">
        <v>47</v>
      </c>
      <c r="D50" s="398" t="s">
        <v>48</v>
      </c>
      <c r="E50" s="398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398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228</v>
      </c>
      <c r="B51" s="506"/>
      <c r="C51" s="397" t="s">
        <v>920</v>
      </c>
      <c r="D51" s="394" t="s">
        <v>558</v>
      </c>
      <c r="E51" s="397" t="s">
        <v>668</v>
      </c>
      <c r="F51" s="487" t="s">
        <v>954</v>
      </c>
      <c r="G51" s="487"/>
      <c r="H51" s="487"/>
      <c r="I51" s="487"/>
      <c r="J51" s="487"/>
      <c r="K51" s="487"/>
      <c r="L51" s="487"/>
      <c r="M51" s="498"/>
      <c r="N51" s="393" t="s">
        <v>940</v>
      </c>
      <c r="O51" s="74" t="s">
        <v>967</v>
      </c>
      <c r="P51" s="503" t="s">
        <v>968</v>
      </c>
      <c r="Q51" s="504"/>
      <c r="R51" s="497" t="s">
        <v>969</v>
      </c>
      <c r="S51" s="497"/>
      <c r="T51" s="497"/>
      <c r="U51" s="497"/>
      <c r="V51" s="487" t="s">
        <v>970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955</v>
      </c>
      <c r="B52" s="506"/>
      <c r="C52" s="397" t="s">
        <v>956</v>
      </c>
      <c r="D52" s="394" t="s">
        <v>957</v>
      </c>
      <c r="E52" s="397" t="s">
        <v>958</v>
      </c>
      <c r="F52" s="487" t="s">
        <v>959</v>
      </c>
      <c r="G52" s="487"/>
      <c r="H52" s="487"/>
      <c r="I52" s="487"/>
      <c r="J52" s="487"/>
      <c r="K52" s="487"/>
      <c r="L52" s="487"/>
      <c r="M52" s="498"/>
      <c r="N52" s="393"/>
      <c r="O52" s="74"/>
      <c r="P52" s="503"/>
      <c r="Q52" s="504"/>
      <c r="R52" s="497"/>
      <c r="S52" s="497"/>
      <c r="T52" s="497"/>
      <c r="U52" s="497"/>
      <c r="V52" s="487"/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960</v>
      </c>
      <c r="B53" s="506"/>
      <c r="C53" s="397" t="s">
        <v>945</v>
      </c>
      <c r="D53" s="394" t="s">
        <v>961</v>
      </c>
      <c r="E53" s="397" t="s">
        <v>962</v>
      </c>
      <c r="F53" s="487" t="s">
        <v>963</v>
      </c>
      <c r="G53" s="487"/>
      <c r="H53" s="487"/>
      <c r="I53" s="487"/>
      <c r="J53" s="487"/>
      <c r="K53" s="487"/>
      <c r="L53" s="487"/>
      <c r="M53" s="498"/>
      <c r="N53" s="393"/>
      <c r="O53" s="74"/>
      <c r="P53" s="503"/>
      <c r="Q53" s="504"/>
      <c r="R53" s="497"/>
      <c r="S53" s="497"/>
      <c r="T53" s="497"/>
      <c r="U53" s="497"/>
      <c r="V53" s="487"/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964</v>
      </c>
      <c r="B54" s="506"/>
      <c r="C54" s="397" t="s">
        <v>965</v>
      </c>
      <c r="D54" s="394" t="s">
        <v>950</v>
      </c>
      <c r="E54" s="397" t="s">
        <v>951</v>
      </c>
      <c r="F54" s="487" t="s">
        <v>578</v>
      </c>
      <c r="G54" s="487"/>
      <c r="H54" s="487"/>
      <c r="I54" s="487"/>
      <c r="J54" s="487"/>
      <c r="K54" s="487"/>
      <c r="L54" s="487"/>
      <c r="M54" s="498"/>
      <c r="N54" s="393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/>
      <c r="B55" s="506"/>
      <c r="C55" s="397"/>
      <c r="D55" s="394"/>
      <c r="E55" s="397"/>
      <c r="F55" s="487"/>
      <c r="G55" s="487"/>
      <c r="H55" s="487"/>
      <c r="I55" s="487"/>
      <c r="J55" s="487"/>
      <c r="K55" s="487"/>
      <c r="L55" s="487"/>
      <c r="M55" s="498"/>
      <c r="N55" s="393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394"/>
      <c r="D56" s="394"/>
      <c r="E56" s="397"/>
      <c r="F56" s="487"/>
      <c r="G56" s="487"/>
      <c r="H56" s="487"/>
      <c r="I56" s="487"/>
      <c r="J56" s="487"/>
      <c r="K56" s="487"/>
      <c r="L56" s="487"/>
      <c r="M56" s="498"/>
      <c r="N56" s="393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394"/>
      <c r="D57" s="394"/>
      <c r="E57" s="397"/>
      <c r="F57" s="487"/>
      <c r="G57" s="487"/>
      <c r="H57" s="487"/>
      <c r="I57" s="487"/>
      <c r="J57" s="487"/>
      <c r="K57" s="487"/>
      <c r="L57" s="487"/>
      <c r="M57" s="498"/>
      <c r="N57" s="393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397"/>
      <c r="D58" s="394"/>
      <c r="E58" s="397"/>
      <c r="F58" s="487"/>
      <c r="G58" s="487"/>
      <c r="H58" s="487"/>
      <c r="I58" s="487"/>
      <c r="J58" s="487"/>
      <c r="K58" s="487"/>
      <c r="L58" s="487"/>
      <c r="M58" s="498"/>
      <c r="N58" s="393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394"/>
      <c r="D59" s="394"/>
      <c r="E59" s="394"/>
      <c r="F59" s="487"/>
      <c r="G59" s="487"/>
      <c r="H59" s="487"/>
      <c r="I59" s="487"/>
      <c r="J59" s="487"/>
      <c r="K59" s="487"/>
      <c r="L59" s="487"/>
      <c r="M59" s="498"/>
      <c r="N59" s="393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396"/>
      <c r="D60" s="396"/>
      <c r="E60" s="396"/>
      <c r="F60" s="501"/>
      <c r="G60" s="501"/>
      <c r="H60" s="501"/>
      <c r="I60" s="501"/>
      <c r="J60" s="501"/>
      <c r="K60" s="501"/>
      <c r="L60" s="501"/>
      <c r="M60" s="502"/>
      <c r="N60" s="395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971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392" t="s">
        <v>2</v>
      </c>
      <c r="D62" s="392" t="s">
        <v>38</v>
      </c>
      <c r="E62" s="392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392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391" t="s">
        <v>228</v>
      </c>
      <c r="D63" s="387"/>
      <c r="E63" s="389" t="s">
        <v>930</v>
      </c>
      <c r="F63" s="485" t="s">
        <v>931</v>
      </c>
      <c r="G63" s="475"/>
      <c r="H63" s="475"/>
      <c r="I63" s="475"/>
      <c r="J63" s="475"/>
      <c r="K63" s="475" t="s">
        <v>972</v>
      </c>
      <c r="L63" s="475"/>
      <c r="M63" s="54" t="s">
        <v>933</v>
      </c>
      <c r="N63" s="475">
        <v>8</v>
      </c>
      <c r="O63" s="475"/>
      <c r="P63" s="486">
        <v>50</v>
      </c>
      <c r="Q63" s="486"/>
      <c r="R63" s="487" t="s">
        <v>973</v>
      </c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391" t="s">
        <v>964</v>
      </c>
      <c r="D64" s="387"/>
      <c r="E64" s="389" t="s">
        <v>974</v>
      </c>
      <c r="F64" s="485" t="s">
        <v>975</v>
      </c>
      <c r="G64" s="475"/>
      <c r="H64" s="475"/>
      <c r="I64" s="475"/>
      <c r="J64" s="475"/>
      <c r="K64" s="475" t="s">
        <v>976</v>
      </c>
      <c r="L64" s="475"/>
      <c r="M64" s="54" t="s">
        <v>977</v>
      </c>
      <c r="N64" s="475">
        <v>8</v>
      </c>
      <c r="O64" s="47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391" t="s">
        <v>842</v>
      </c>
      <c r="D65" s="387"/>
      <c r="E65" s="389" t="s">
        <v>843</v>
      </c>
      <c r="F65" s="485" t="s">
        <v>844</v>
      </c>
      <c r="G65" s="475"/>
      <c r="H65" s="475"/>
      <c r="I65" s="475"/>
      <c r="J65" s="475"/>
      <c r="K65" s="475" t="s">
        <v>847</v>
      </c>
      <c r="L65" s="475"/>
      <c r="M65" s="54" t="s">
        <v>978</v>
      </c>
      <c r="N65" s="475">
        <v>8</v>
      </c>
      <c r="O65" s="475"/>
      <c r="P65" s="486">
        <v>100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391" t="s">
        <v>960</v>
      </c>
      <c r="D66" s="387"/>
      <c r="E66" s="389" t="s">
        <v>600</v>
      </c>
      <c r="F66" s="475" t="s">
        <v>979</v>
      </c>
      <c r="G66" s="475"/>
      <c r="H66" s="475"/>
      <c r="I66" s="475"/>
      <c r="J66" s="475"/>
      <c r="K66" s="475" t="s">
        <v>980</v>
      </c>
      <c r="L66" s="475"/>
      <c r="M66" s="54" t="s">
        <v>978</v>
      </c>
      <c r="N66" s="475">
        <v>14</v>
      </c>
      <c r="O66" s="475"/>
      <c r="P66" s="486">
        <v>400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391" t="s">
        <v>122</v>
      </c>
      <c r="D67" s="387"/>
      <c r="E67" s="389" t="s">
        <v>600</v>
      </c>
      <c r="F67" s="475" t="s">
        <v>981</v>
      </c>
      <c r="G67" s="475"/>
      <c r="H67" s="475"/>
      <c r="I67" s="475"/>
      <c r="J67" s="475"/>
      <c r="K67" s="475" t="s">
        <v>980</v>
      </c>
      <c r="L67" s="475"/>
      <c r="M67" s="54" t="s">
        <v>978</v>
      </c>
      <c r="N67" s="475">
        <v>14</v>
      </c>
      <c r="O67" s="475"/>
      <c r="P67" s="486">
        <v>50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391"/>
      <c r="D68" s="387"/>
      <c r="E68" s="389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391"/>
      <c r="D69" s="387"/>
      <c r="E69" s="389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391"/>
      <c r="D70" s="387"/>
      <c r="E70" s="389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982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390" t="s">
        <v>2</v>
      </c>
      <c r="D72" s="390" t="s">
        <v>38</v>
      </c>
      <c r="E72" s="390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388" t="s">
        <v>62</v>
      </c>
      <c r="D73" s="388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387" t="s">
        <v>128</v>
      </c>
      <c r="D74" s="387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2">A74+1</f>
        <v>3</v>
      </c>
      <c r="B75" s="447"/>
      <c r="C75" s="387" t="s">
        <v>62</v>
      </c>
      <c r="D75" s="387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2"/>
        <v>4</v>
      </c>
      <c r="B76" s="447"/>
      <c r="C76" s="387" t="s">
        <v>62</v>
      </c>
      <c r="D76" s="387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2"/>
        <v>5</v>
      </c>
      <c r="B77" s="447"/>
      <c r="C77" s="387" t="s">
        <v>62</v>
      </c>
      <c r="D77" s="387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2"/>
        <v>6</v>
      </c>
      <c r="B78" s="447"/>
      <c r="C78" s="387"/>
      <c r="D78" s="387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2"/>
        <v>7</v>
      </c>
      <c r="B79" s="447"/>
      <c r="C79" s="387"/>
      <c r="D79" s="387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2"/>
        <v>8</v>
      </c>
      <c r="B80" s="447"/>
      <c r="C80" s="387"/>
      <c r="D80" s="387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2"/>
        <v>9</v>
      </c>
      <c r="B81" s="447"/>
      <c r="C81" s="387"/>
      <c r="D81" s="387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983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6" zoomScale="72" zoomScaleNormal="72" zoomScaleSheetLayoutView="70" workbookViewId="0">
      <selection activeCell="C64" sqref="C64:AA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984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400" t="s">
        <v>17</v>
      </c>
      <c r="L5" s="400" t="s">
        <v>18</v>
      </c>
      <c r="M5" s="400" t="s">
        <v>19</v>
      </c>
      <c r="N5" s="40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916</v>
      </c>
      <c r="D6" s="55"/>
      <c r="E6" s="56" t="s">
        <v>917</v>
      </c>
      <c r="F6" s="12" t="s">
        <v>120</v>
      </c>
      <c r="G6" s="36">
        <v>1</v>
      </c>
      <c r="H6" s="38">
        <v>35</v>
      </c>
      <c r="I6" s="7">
        <v>1000</v>
      </c>
      <c r="J6" s="14">
        <v>1970</v>
      </c>
      <c r="K6" s="15">
        <f>L6+2272+1963</f>
        <v>4235</v>
      </c>
      <c r="L6" s="15">
        <v>0</v>
      </c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0.45802065688632737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4940</v>
      </c>
      <c r="K7" s="15">
        <f>L7+4080+4959+3994+4936</f>
        <v>22911</v>
      </c>
      <c r="L7" s="15">
        <f>2581+2361</f>
        <v>4942</v>
      </c>
      <c r="M7" s="16">
        <f t="shared" si="0"/>
        <v>4942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1.0004048582995952</v>
      </c>
      <c r="AC7" s="9">
        <f t="shared" si="5"/>
        <v>1</v>
      </c>
      <c r="AD7" s="10">
        <f t="shared" si="6"/>
        <v>1.0004048582995952</v>
      </c>
      <c r="AE7" s="39">
        <f t="shared" si="7"/>
        <v>0.45802065688632737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445</v>
      </c>
      <c r="D8" s="55" t="s">
        <v>123</v>
      </c>
      <c r="E8" s="57" t="s">
        <v>454</v>
      </c>
      <c r="F8" s="12" t="s">
        <v>320</v>
      </c>
      <c r="G8" s="36">
        <v>2</v>
      </c>
      <c r="H8" s="38">
        <v>25</v>
      </c>
      <c r="I8" s="7">
        <v>50000</v>
      </c>
      <c r="J8" s="14">
        <v>10970</v>
      </c>
      <c r="K8" s="15">
        <f>L8+428+5928+9732+6966+9958+3348+7302+10628+10740+8372+10652+9582+10962</f>
        <v>104598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0.45802065688632737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659</v>
      </c>
      <c r="D9" s="55" t="s">
        <v>121</v>
      </c>
      <c r="E9" s="57" t="s">
        <v>668</v>
      </c>
      <c r="F9" s="12" t="s">
        <v>127</v>
      </c>
      <c r="G9" s="12">
        <v>1</v>
      </c>
      <c r="H9" s="13">
        <v>25</v>
      </c>
      <c r="I9" s="34">
        <v>26000</v>
      </c>
      <c r="J9" s="5">
        <v>5280</v>
      </c>
      <c r="K9" s="15">
        <f>L9+316+3622+4343+4263+3622+3574+1085+2532+4048</f>
        <v>32683</v>
      </c>
      <c r="L9" s="15">
        <f>2811+2467</f>
        <v>5278</v>
      </c>
      <c r="M9" s="16">
        <f t="shared" si="0"/>
        <v>5278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0.99962121212121213</v>
      </c>
      <c r="AC9" s="9">
        <f t="shared" si="5"/>
        <v>1</v>
      </c>
      <c r="AD9" s="10">
        <f t="shared" si="6"/>
        <v>0.99962121212121213</v>
      </c>
      <c r="AE9" s="39">
        <f t="shared" si="7"/>
        <v>0.45802065688632737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10550</v>
      </c>
      <c r="K10" s="15">
        <f>L10+7510+8800+7448+10498+7300+10522+10338+5436+8842+10604+6710+10546+10078+8386</f>
        <v>133560</v>
      </c>
      <c r="L10" s="15">
        <f>2747*2+2524*2</f>
        <v>10542</v>
      </c>
      <c r="M10" s="16">
        <f t="shared" si="0"/>
        <v>10542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0.99924170616113739</v>
      </c>
      <c r="AC10" s="9">
        <f t="shared" si="5"/>
        <v>1</v>
      </c>
      <c r="AD10" s="10">
        <f t="shared" si="6"/>
        <v>0.99924170616113739</v>
      </c>
      <c r="AE10" s="39">
        <f t="shared" si="7"/>
        <v>0.45802065688632737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3500</v>
      </c>
      <c r="J11" s="14">
        <v>1360</v>
      </c>
      <c r="K11" s="15">
        <f>L11+3317</f>
        <v>4677</v>
      </c>
      <c r="L11" s="15">
        <v>1360</v>
      </c>
      <c r="M11" s="16">
        <f t="shared" si="0"/>
        <v>1360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>
        <v>18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0.45802065688632737</v>
      </c>
      <c r="AF11" s="94">
        <f t="shared" si="8"/>
        <v>6</v>
      </c>
    </row>
    <row r="12" spans="1:32" ht="27" customHeight="1">
      <c r="A12" s="110">
        <v>6</v>
      </c>
      <c r="B12" s="11" t="s">
        <v>59</v>
      </c>
      <c r="C12" s="11" t="s">
        <v>985</v>
      </c>
      <c r="D12" s="55"/>
      <c r="E12" s="57" t="s">
        <v>986</v>
      </c>
      <c r="F12" s="12">
        <v>8301</v>
      </c>
      <c r="G12" s="12" t="s">
        <v>987</v>
      </c>
      <c r="H12" s="13">
        <v>25</v>
      </c>
      <c r="I12" s="34">
        <v>1000</v>
      </c>
      <c r="J12" s="14">
        <v>3040</v>
      </c>
      <c r="K12" s="15">
        <f>L12</f>
        <v>3037</v>
      </c>
      <c r="L12" s="15">
        <f>505+2532</f>
        <v>3037</v>
      </c>
      <c r="M12" s="16">
        <f t="shared" ref="M12" si="10">L12-N12</f>
        <v>3037</v>
      </c>
      <c r="N12" s="16">
        <v>0</v>
      </c>
      <c r="O12" s="62">
        <f t="shared" ref="O12" si="11">IF(L12=0,"0",N12/L12)</f>
        <v>0</v>
      </c>
      <c r="P12" s="42">
        <f t="shared" ref="P12" si="12">IF(L12=0,"0",(24-Q12))</f>
        <v>16</v>
      </c>
      <c r="Q12" s="43">
        <f t="shared" ref="Q12" si="13">SUM(R12:AA12)</f>
        <v>8</v>
      </c>
      <c r="R12" s="7"/>
      <c r="S12" s="6"/>
      <c r="T12" s="17"/>
      <c r="U12" s="17"/>
      <c r="V12" s="18"/>
      <c r="W12" s="19">
        <v>8</v>
      </c>
      <c r="X12" s="17"/>
      <c r="Y12" s="20"/>
      <c r="Z12" s="20"/>
      <c r="AA12" s="21"/>
      <c r="AB12" s="8">
        <f t="shared" ref="AB12" si="14">IF(J12=0,"0",(L12/J12))</f>
        <v>0.99901315789473688</v>
      </c>
      <c r="AC12" s="9">
        <f t="shared" ref="AC12" si="15">IF(P12=0,"0",(P12/24))</f>
        <v>0.66666666666666663</v>
      </c>
      <c r="AD12" s="10">
        <f t="shared" ref="AD12" si="16">AC12*AB12*(1-O12)</f>
        <v>0.66600877192982455</v>
      </c>
      <c r="AE12" s="39">
        <f t="shared" si="7"/>
        <v>0.45802065688632737</v>
      </c>
      <c r="AF12" s="94">
        <f t="shared" ref="AF12" si="17">A12</f>
        <v>6</v>
      </c>
    </row>
    <row r="13" spans="1:32" ht="27" customHeight="1">
      <c r="A13" s="110">
        <v>7</v>
      </c>
      <c r="B13" s="11" t="s">
        <v>59</v>
      </c>
      <c r="C13" s="37" t="s">
        <v>228</v>
      </c>
      <c r="D13" s="55" t="s">
        <v>123</v>
      </c>
      <c r="E13" s="57" t="s">
        <v>594</v>
      </c>
      <c r="F13" s="12" t="s">
        <v>127</v>
      </c>
      <c r="G13" s="12">
        <v>1</v>
      </c>
      <c r="H13" s="13">
        <v>25</v>
      </c>
      <c r="I13" s="34">
        <v>23000</v>
      </c>
      <c r="J13" s="5">
        <v>5110</v>
      </c>
      <c r="K13" s="15">
        <f>L13+2002+2471+4364+1737+2292+5147+1278+3127</f>
        <v>27526</v>
      </c>
      <c r="L13" s="15">
        <f>2432+2676</f>
        <v>5108</v>
      </c>
      <c r="M13" s="16">
        <f t="shared" si="0"/>
        <v>5108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0.99960861056751471</v>
      </c>
      <c r="AC13" s="9">
        <f t="shared" si="5"/>
        <v>1</v>
      </c>
      <c r="AD13" s="10">
        <f t="shared" si="6"/>
        <v>0.99960861056751471</v>
      </c>
      <c r="AE13" s="39">
        <f t="shared" si="7"/>
        <v>0.45802065688632737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297</v>
      </c>
      <c r="D14" s="55" t="s">
        <v>165</v>
      </c>
      <c r="E14" s="57" t="s">
        <v>897</v>
      </c>
      <c r="F14" s="12" t="s">
        <v>785</v>
      </c>
      <c r="G14" s="12">
        <v>1</v>
      </c>
      <c r="H14" s="13">
        <v>25</v>
      </c>
      <c r="I14" s="7">
        <v>1000</v>
      </c>
      <c r="J14" s="14">
        <v>1540</v>
      </c>
      <c r="K14" s="15">
        <f>L14+1536</f>
        <v>1536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0.45802065688632737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228</v>
      </c>
      <c r="D15" s="55" t="s">
        <v>499</v>
      </c>
      <c r="E15" s="57" t="s">
        <v>720</v>
      </c>
      <c r="F15" s="33" t="s">
        <v>625</v>
      </c>
      <c r="G15" s="36">
        <v>1</v>
      </c>
      <c r="H15" s="38">
        <v>25</v>
      </c>
      <c r="I15" s="7">
        <v>10000</v>
      </c>
      <c r="J15" s="5">
        <v>4790</v>
      </c>
      <c r="K15" s="15">
        <f>L15+2472+5133+4788</f>
        <v>12393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0.45802065688632737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122</v>
      </c>
      <c r="D16" s="55" t="s">
        <v>747</v>
      </c>
      <c r="E16" s="57" t="s">
        <v>748</v>
      </c>
      <c r="F16" s="12">
        <v>8301</v>
      </c>
      <c r="G16" s="12">
        <v>1</v>
      </c>
      <c r="H16" s="13">
        <v>25</v>
      </c>
      <c r="I16" s="34">
        <v>2500</v>
      </c>
      <c r="J16" s="5">
        <v>3980</v>
      </c>
      <c r="K16" s="15">
        <f>L16+2138+3980</f>
        <v>6118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0.45802065688632737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825</v>
      </c>
      <c r="D17" s="55" t="s">
        <v>423</v>
      </c>
      <c r="E17" s="57" t="s">
        <v>827</v>
      </c>
      <c r="F17" s="12">
        <v>7301</v>
      </c>
      <c r="G17" s="36">
        <v>1</v>
      </c>
      <c r="H17" s="38">
        <v>25</v>
      </c>
      <c r="I17" s="7">
        <v>30000</v>
      </c>
      <c r="J17" s="14">
        <v>4680</v>
      </c>
      <c r="K17" s="15">
        <f>L17+2878+5819+5765+4332+5828</f>
        <v>29302</v>
      </c>
      <c r="L17" s="15">
        <f>2396+2284</f>
        <v>4680</v>
      </c>
      <c r="M17" s="16">
        <f t="shared" si="0"/>
        <v>4680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>
        <v>2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9">
        <f t="shared" si="7"/>
        <v>0.45802065688632737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789</v>
      </c>
      <c r="E18" s="56" t="s">
        <v>203</v>
      </c>
      <c r="F18" s="12">
        <v>8301</v>
      </c>
      <c r="G18" s="12">
        <v>1</v>
      </c>
      <c r="H18" s="13">
        <v>25</v>
      </c>
      <c r="I18" s="34">
        <v>13000</v>
      </c>
      <c r="J18" s="5">
        <v>400</v>
      </c>
      <c r="K18" s="15">
        <f>L18+4217+2325+4034+4828+396</f>
        <v>15800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0.45802065688632737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659</v>
      </c>
      <c r="D19" s="55" t="s">
        <v>207</v>
      </c>
      <c r="E19" s="57" t="s">
        <v>951</v>
      </c>
      <c r="F19" s="12" t="s">
        <v>952</v>
      </c>
      <c r="G19" s="12">
        <v>1</v>
      </c>
      <c r="H19" s="13">
        <v>25</v>
      </c>
      <c r="I19" s="34">
        <f>9000+13000</f>
        <v>22000</v>
      </c>
      <c r="J19" s="5">
        <v>740</v>
      </c>
      <c r="K19" s="15">
        <f>L19+3993</f>
        <v>4724</v>
      </c>
      <c r="L19" s="15">
        <f>731</f>
        <v>731</v>
      </c>
      <c r="M19" s="16">
        <f t="shared" si="0"/>
        <v>731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0.98783783783783785</v>
      </c>
      <c r="AC19" s="9">
        <f t="shared" si="5"/>
        <v>0.16666666666666666</v>
      </c>
      <c r="AD19" s="10">
        <f t="shared" si="6"/>
        <v>0.16463963963963962</v>
      </c>
      <c r="AE19" s="39">
        <f t="shared" si="7"/>
        <v>0.45802065688632737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459</v>
      </c>
      <c r="E20" s="57" t="s">
        <v>431</v>
      </c>
      <c r="F20" s="33" t="s">
        <v>320</v>
      </c>
      <c r="G20" s="36">
        <v>2</v>
      </c>
      <c r="H20" s="38">
        <v>25</v>
      </c>
      <c r="I20" s="34">
        <v>100000</v>
      </c>
      <c r="J20" s="5">
        <v>7940</v>
      </c>
      <c r="K20" s="15">
        <f>L20+6264+10600+6250+2340+4019+9772+10444+10316+10500+10234+7385+8248+3418</f>
        <v>107722</v>
      </c>
      <c r="L20" s="15">
        <f>1270*2+2696*2</f>
        <v>7932</v>
      </c>
      <c r="M20" s="16">
        <f t="shared" si="0"/>
        <v>7932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/>
      <c r="T20" s="17"/>
      <c r="U20" s="17"/>
      <c r="V20" s="18"/>
      <c r="W20" s="19"/>
      <c r="X20" s="17"/>
      <c r="Y20" s="20"/>
      <c r="Z20" s="20"/>
      <c r="AA20" s="21">
        <v>3</v>
      </c>
      <c r="AB20" s="8">
        <f t="shared" si="4"/>
        <v>0.99899244332493697</v>
      </c>
      <c r="AC20" s="9">
        <f t="shared" si="5"/>
        <v>0.875</v>
      </c>
      <c r="AD20" s="10">
        <f t="shared" si="6"/>
        <v>0.87411838790931984</v>
      </c>
      <c r="AE20" s="39">
        <f t="shared" si="7"/>
        <v>0.45802065688632737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779</v>
      </c>
      <c r="F21" s="12" t="s">
        <v>120</v>
      </c>
      <c r="G21" s="12">
        <v>4</v>
      </c>
      <c r="H21" s="38">
        <v>20</v>
      </c>
      <c r="I21" s="7">
        <v>200000</v>
      </c>
      <c r="J21" s="14">
        <v>39300</v>
      </c>
      <c r="K21" s="15">
        <f>L21+36748+47368+47016+47284+39268</f>
        <v>217684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0.45802065688632737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8">SUM(I6:I21)</f>
        <v>593000</v>
      </c>
      <c r="J22" s="22">
        <f t="shared" si="18"/>
        <v>106590</v>
      </c>
      <c r="K22" s="23">
        <f t="shared" si="18"/>
        <v>728506</v>
      </c>
      <c r="L22" s="24">
        <f t="shared" si="18"/>
        <v>43610</v>
      </c>
      <c r="M22" s="23">
        <f t="shared" si="18"/>
        <v>43610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165</v>
      </c>
      <c r="Q22" s="46">
        <f t="shared" si="19"/>
        <v>219</v>
      </c>
      <c r="R22" s="26">
        <f t="shared" si="19"/>
        <v>0</v>
      </c>
      <c r="S22" s="27">
        <f t="shared" si="19"/>
        <v>64</v>
      </c>
      <c r="T22" s="27">
        <f t="shared" si="19"/>
        <v>0</v>
      </c>
      <c r="U22" s="27">
        <f t="shared" si="19"/>
        <v>0</v>
      </c>
      <c r="V22" s="28">
        <f t="shared" si="19"/>
        <v>0</v>
      </c>
      <c r="W22" s="29">
        <f t="shared" si="19"/>
        <v>152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3</v>
      </c>
      <c r="AB22" s="31">
        <f>SUM(AB6:AB21)/15</f>
        <v>0.59898132174713148</v>
      </c>
      <c r="AC22" s="4">
        <f>SUM(AC6:AC21)/15</f>
        <v>0.45833333333333331</v>
      </c>
      <c r="AD22" s="4">
        <f>SUM(AD6:AD21)/15</f>
        <v>0.45802065688632737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988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997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401" t="s">
        <v>47</v>
      </c>
      <c r="D51" s="401" t="s">
        <v>48</v>
      </c>
      <c r="E51" s="401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401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206</v>
      </c>
      <c r="B52" s="506"/>
      <c r="C52" s="402" t="s">
        <v>989</v>
      </c>
      <c r="D52" s="403" t="s">
        <v>207</v>
      </c>
      <c r="E52" s="402" t="s">
        <v>990</v>
      </c>
      <c r="F52" s="487" t="s">
        <v>991</v>
      </c>
      <c r="G52" s="487"/>
      <c r="H52" s="487"/>
      <c r="I52" s="487"/>
      <c r="J52" s="487"/>
      <c r="K52" s="487"/>
      <c r="L52" s="487"/>
      <c r="M52" s="498"/>
      <c r="N52" s="404" t="s">
        <v>940</v>
      </c>
      <c r="O52" s="74" t="s">
        <v>757</v>
      </c>
      <c r="P52" s="503" t="s">
        <v>998</v>
      </c>
      <c r="Q52" s="504"/>
      <c r="R52" s="497" t="s">
        <v>999</v>
      </c>
      <c r="S52" s="497"/>
      <c r="T52" s="497"/>
      <c r="U52" s="497"/>
      <c r="V52" s="487" t="s">
        <v>970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985</v>
      </c>
      <c r="B53" s="506"/>
      <c r="C53" s="402" t="s">
        <v>465</v>
      </c>
      <c r="D53" s="403"/>
      <c r="E53" s="402" t="s">
        <v>992</v>
      </c>
      <c r="F53" s="487" t="s">
        <v>464</v>
      </c>
      <c r="G53" s="487"/>
      <c r="H53" s="487"/>
      <c r="I53" s="487"/>
      <c r="J53" s="487"/>
      <c r="K53" s="487"/>
      <c r="L53" s="487"/>
      <c r="M53" s="498"/>
      <c r="N53" s="404" t="s">
        <v>1001</v>
      </c>
      <c r="O53" s="74" t="s">
        <v>1002</v>
      </c>
      <c r="P53" s="503" t="s">
        <v>1003</v>
      </c>
      <c r="Q53" s="504"/>
      <c r="R53" s="497" t="s">
        <v>1000</v>
      </c>
      <c r="S53" s="497"/>
      <c r="T53" s="497"/>
      <c r="U53" s="497"/>
      <c r="V53" s="487" t="s">
        <v>1004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964</v>
      </c>
      <c r="B54" s="506"/>
      <c r="C54" s="402" t="s">
        <v>965</v>
      </c>
      <c r="D54" s="403" t="s">
        <v>207</v>
      </c>
      <c r="E54" s="402" t="s">
        <v>951</v>
      </c>
      <c r="F54" s="487" t="s">
        <v>993</v>
      </c>
      <c r="G54" s="487"/>
      <c r="H54" s="487"/>
      <c r="I54" s="487"/>
      <c r="J54" s="487"/>
      <c r="K54" s="487"/>
      <c r="L54" s="487"/>
      <c r="M54" s="498"/>
      <c r="N54" s="404" t="s">
        <v>1005</v>
      </c>
      <c r="O54" s="74" t="s">
        <v>220</v>
      </c>
      <c r="P54" s="503" t="s">
        <v>1006</v>
      </c>
      <c r="Q54" s="504"/>
      <c r="R54" s="497" t="s">
        <v>1007</v>
      </c>
      <c r="S54" s="497"/>
      <c r="T54" s="497"/>
      <c r="U54" s="497"/>
      <c r="V54" s="487" t="s">
        <v>464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964</v>
      </c>
      <c r="B55" s="506"/>
      <c r="C55" s="402" t="s">
        <v>994</v>
      </c>
      <c r="D55" s="403" t="s">
        <v>995</v>
      </c>
      <c r="E55" s="402" t="s">
        <v>996</v>
      </c>
      <c r="F55" s="487" t="s">
        <v>204</v>
      </c>
      <c r="G55" s="487"/>
      <c r="H55" s="487"/>
      <c r="I55" s="487"/>
      <c r="J55" s="487"/>
      <c r="K55" s="487"/>
      <c r="L55" s="487"/>
      <c r="M55" s="498"/>
      <c r="N55" s="404" t="s">
        <v>964</v>
      </c>
      <c r="O55" s="74" t="s">
        <v>1008</v>
      </c>
      <c r="P55" s="503" t="s">
        <v>1009</v>
      </c>
      <c r="Q55" s="504"/>
      <c r="R55" s="497" t="s">
        <v>1010</v>
      </c>
      <c r="S55" s="497"/>
      <c r="T55" s="497"/>
      <c r="U55" s="497"/>
      <c r="V55" s="487" t="s">
        <v>1011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/>
      <c r="B56" s="506"/>
      <c r="C56" s="402"/>
      <c r="D56" s="403"/>
      <c r="E56" s="402"/>
      <c r="F56" s="487"/>
      <c r="G56" s="487"/>
      <c r="H56" s="487"/>
      <c r="I56" s="487"/>
      <c r="J56" s="487"/>
      <c r="K56" s="487"/>
      <c r="L56" s="487"/>
      <c r="M56" s="498"/>
      <c r="N56" s="404" t="s">
        <v>206</v>
      </c>
      <c r="O56" s="74" t="s">
        <v>465</v>
      </c>
      <c r="P56" s="503" t="s">
        <v>1012</v>
      </c>
      <c r="Q56" s="504"/>
      <c r="R56" s="497" t="s">
        <v>673</v>
      </c>
      <c r="S56" s="497"/>
      <c r="T56" s="497"/>
      <c r="U56" s="497"/>
      <c r="V56" s="487" t="s">
        <v>464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403"/>
      <c r="D57" s="403"/>
      <c r="E57" s="402"/>
      <c r="F57" s="487"/>
      <c r="G57" s="487"/>
      <c r="H57" s="487"/>
      <c r="I57" s="487"/>
      <c r="J57" s="487"/>
      <c r="K57" s="487"/>
      <c r="L57" s="487"/>
      <c r="M57" s="498"/>
      <c r="N57" s="404" t="s">
        <v>206</v>
      </c>
      <c r="O57" s="74" t="s">
        <v>692</v>
      </c>
      <c r="P57" s="497" t="s">
        <v>207</v>
      </c>
      <c r="Q57" s="497"/>
      <c r="R57" s="497" t="s">
        <v>1013</v>
      </c>
      <c r="S57" s="497"/>
      <c r="T57" s="497"/>
      <c r="U57" s="497"/>
      <c r="V57" s="487" t="s">
        <v>464</v>
      </c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/>
      <c r="B58" s="497"/>
      <c r="C58" s="403"/>
      <c r="D58" s="403"/>
      <c r="E58" s="402"/>
      <c r="F58" s="487"/>
      <c r="G58" s="487"/>
      <c r="H58" s="487"/>
      <c r="I58" s="487"/>
      <c r="J58" s="487"/>
      <c r="K58" s="487"/>
      <c r="L58" s="487"/>
      <c r="M58" s="498"/>
      <c r="N58" s="404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402"/>
      <c r="D59" s="403"/>
      <c r="E59" s="402"/>
      <c r="F59" s="487"/>
      <c r="G59" s="487"/>
      <c r="H59" s="487"/>
      <c r="I59" s="487"/>
      <c r="J59" s="487"/>
      <c r="K59" s="487"/>
      <c r="L59" s="487"/>
      <c r="M59" s="498"/>
      <c r="N59" s="404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403"/>
      <c r="D60" s="403"/>
      <c r="E60" s="403"/>
      <c r="F60" s="487"/>
      <c r="G60" s="487"/>
      <c r="H60" s="487"/>
      <c r="I60" s="487"/>
      <c r="J60" s="487"/>
      <c r="K60" s="487"/>
      <c r="L60" s="487"/>
      <c r="M60" s="498"/>
      <c r="N60" s="404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406"/>
      <c r="D61" s="406"/>
      <c r="E61" s="406"/>
      <c r="F61" s="501"/>
      <c r="G61" s="501"/>
      <c r="H61" s="501"/>
      <c r="I61" s="501"/>
      <c r="J61" s="501"/>
      <c r="K61" s="501"/>
      <c r="L61" s="501"/>
      <c r="M61" s="502"/>
      <c r="N61" s="405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1014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407" t="s">
        <v>2</v>
      </c>
      <c r="D63" s="407" t="s">
        <v>38</v>
      </c>
      <c r="E63" s="407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407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409" t="s">
        <v>842</v>
      </c>
      <c r="D64" s="411"/>
      <c r="E64" s="408" t="s">
        <v>58</v>
      </c>
      <c r="F64" s="485" t="s">
        <v>889</v>
      </c>
      <c r="G64" s="475"/>
      <c r="H64" s="475"/>
      <c r="I64" s="475"/>
      <c r="J64" s="475"/>
      <c r="K64" s="475" t="s">
        <v>890</v>
      </c>
      <c r="L64" s="475"/>
      <c r="M64" s="54" t="s">
        <v>1015</v>
      </c>
      <c r="N64" s="475">
        <v>14</v>
      </c>
      <c r="O64" s="47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409" t="s">
        <v>846</v>
      </c>
      <c r="D65" s="411"/>
      <c r="E65" s="408" t="s">
        <v>834</v>
      </c>
      <c r="F65" s="485" t="s">
        <v>845</v>
      </c>
      <c r="G65" s="475"/>
      <c r="H65" s="475"/>
      <c r="I65" s="475"/>
      <c r="J65" s="475"/>
      <c r="K65" s="475" t="s">
        <v>853</v>
      </c>
      <c r="L65" s="475"/>
      <c r="M65" s="54" t="s">
        <v>1015</v>
      </c>
      <c r="N65" s="475">
        <v>8</v>
      </c>
      <c r="O65" s="475"/>
      <c r="P65" s="486">
        <v>100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409" t="s">
        <v>206</v>
      </c>
      <c r="D66" s="411"/>
      <c r="E66" s="408" t="s">
        <v>1016</v>
      </c>
      <c r="F66" s="485" t="s">
        <v>1017</v>
      </c>
      <c r="G66" s="475"/>
      <c r="H66" s="475"/>
      <c r="I66" s="475"/>
      <c r="J66" s="475"/>
      <c r="K66" s="475" t="s">
        <v>1018</v>
      </c>
      <c r="L66" s="475"/>
      <c r="M66" s="54" t="s">
        <v>1019</v>
      </c>
      <c r="N66" s="475">
        <v>14</v>
      </c>
      <c r="O66" s="475"/>
      <c r="P66" s="486">
        <v>20</v>
      </c>
      <c r="Q66" s="486"/>
      <c r="R66" s="487" t="s">
        <v>1020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409" t="s">
        <v>1021</v>
      </c>
      <c r="D67" s="411"/>
      <c r="E67" s="408" t="s">
        <v>1006</v>
      </c>
      <c r="F67" s="475" t="s">
        <v>1022</v>
      </c>
      <c r="G67" s="475"/>
      <c r="H67" s="475"/>
      <c r="I67" s="475"/>
      <c r="J67" s="475"/>
      <c r="K67" s="475" t="s">
        <v>1023</v>
      </c>
      <c r="L67" s="475"/>
      <c r="M67" s="54" t="s">
        <v>1024</v>
      </c>
      <c r="N67" s="475">
        <v>8</v>
      </c>
      <c r="O67" s="475"/>
      <c r="P67" s="486" t="s">
        <v>1025</v>
      </c>
      <c r="Q67" s="486"/>
      <c r="R67" s="487" t="s">
        <v>1020</v>
      </c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409"/>
      <c r="D68" s="411"/>
      <c r="E68" s="408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409"/>
      <c r="D69" s="411"/>
      <c r="E69" s="408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409"/>
      <c r="D70" s="411"/>
      <c r="E70" s="408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409"/>
      <c r="D71" s="411"/>
      <c r="E71" s="408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1026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410" t="s">
        <v>2</v>
      </c>
      <c r="D73" s="410" t="s">
        <v>38</v>
      </c>
      <c r="E73" s="410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412" t="s">
        <v>62</v>
      </c>
      <c r="D74" s="412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411" t="s">
        <v>128</v>
      </c>
      <c r="D75" s="411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0">A75+1</f>
        <v>3</v>
      </c>
      <c r="B76" s="447"/>
      <c r="C76" s="411" t="s">
        <v>62</v>
      </c>
      <c r="D76" s="411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0"/>
        <v>4</v>
      </c>
      <c r="B77" s="447"/>
      <c r="C77" s="411" t="s">
        <v>62</v>
      </c>
      <c r="D77" s="411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5</v>
      </c>
      <c r="B78" s="447"/>
      <c r="C78" s="411" t="s">
        <v>62</v>
      </c>
      <c r="D78" s="411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6</v>
      </c>
      <c r="B79" s="447"/>
      <c r="C79" s="411"/>
      <c r="D79" s="411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7</v>
      </c>
      <c r="B80" s="447"/>
      <c r="C80" s="411"/>
      <c r="D80" s="411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8</v>
      </c>
      <c r="B81" s="447"/>
      <c r="C81" s="411"/>
      <c r="D81" s="411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9</v>
      </c>
      <c r="B82" s="447"/>
      <c r="C82" s="411"/>
      <c r="D82" s="411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1027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1028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425" t="s">
        <v>17</v>
      </c>
      <c r="L5" s="425" t="s">
        <v>18</v>
      </c>
      <c r="M5" s="425" t="s">
        <v>19</v>
      </c>
      <c r="N5" s="4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1029</v>
      </c>
      <c r="D6" s="55" t="s">
        <v>1030</v>
      </c>
      <c r="E6" s="56" t="s">
        <v>1031</v>
      </c>
      <c r="F6" s="12" t="s">
        <v>1032</v>
      </c>
      <c r="G6" s="36">
        <v>2</v>
      </c>
      <c r="H6" s="38">
        <v>20</v>
      </c>
      <c r="I6" s="7">
        <v>4000</v>
      </c>
      <c r="J6" s="14">
        <v>6140</v>
      </c>
      <c r="K6" s="15">
        <f>L6</f>
        <v>6134</v>
      </c>
      <c r="L6" s="15">
        <f>1059*2+2008*2</f>
        <v>6134</v>
      </c>
      <c r="M6" s="16">
        <f t="shared" ref="M6:M20" si="0">L6-N6</f>
        <v>6134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19</v>
      </c>
      <c r="Q6" s="43">
        <f t="shared" ref="Q6:Q20" si="3">SUM(R6:AA6)</f>
        <v>5</v>
      </c>
      <c r="R6" s="7"/>
      <c r="S6" s="6"/>
      <c r="T6" s="17"/>
      <c r="U6" s="17"/>
      <c r="V6" s="18"/>
      <c r="W6" s="19">
        <v>5</v>
      </c>
      <c r="X6" s="17"/>
      <c r="Y6" s="20"/>
      <c r="Z6" s="20"/>
      <c r="AA6" s="21"/>
      <c r="AB6" s="8">
        <f t="shared" ref="AB6:AB20" si="4">IF(J6=0,"0",(L6/J6))</f>
        <v>0.99902280130293164</v>
      </c>
      <c r="AC6" s="9">
        <f t="shared" ref="AC6:AC20" si="5">IF(P6=0,"0",(P6/24))</f>
        <v>0.79166666666666663</v>
      </c>
      <c r="AD6" s="10">
        <f t="shared" ref="AD6:AD20" si="6">AC6*AB6*(1-O6)</f>
        <v>0.79089305103148755</v>
      </c>
      <c r="AE6" s="39">
        <f t="shared" ref="AE6:AE20" si="7">$AD$21</f>
        <v>0.52693630350065213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860</v>
      </c>
      <c r="F7" s="12" t="s">
        <v>824</v>
      </c>
      <c r="G7" s="36">
        <v>1</v>
      </c>
      <c r="H7" s="38">
        <v>25</v>
      </c>
      <c r="I7" s="7">
        <v>10000</v>
      </c>
      <c r="J7" s="14">
        <v>5370</v>
      </c>
      <c r="K7" s="15">
        <f>L7+4080+4959+3994+4936+4942</f>
        <v>28274</v>
      </c>
      <c r="L7" s="15">
        <f>2564+422+2377</f>
        <v>5363</v>
      </c>
      <c r="M7" s="16">
        <f t="shared" si="0"/>
        <v>5363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0.99869646182495342</v>
      </c>
      <c r="AC7" s="9">
        <f t="shared" si="5"/>
        <v>1</v>
      </c>
      <c r="AD7" s="10">
        <f t="shared" si="6"/>
        <v>0.99869646182495342</v>
      </c>
      <c r="AE7" s="39">
        <f t="shared" si="7"/>
        <v>0.52693630350065213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128</v>
      </c>
      <c r="D8" s="55" t="s">
        <v>123</v>
      </c>
      <c r="E8" s="57" t="s">
        <v>1033</v>
      </c>
      <c r="F8" s="12" t="s">
        <v>1034</v>
      </c>
      <c r="G8" s="36">
        <v>1</v>
      </c>
      <c r="H8" s="38">
        <v>25</v>
      </c>
      <c r="I8" s="7">
        <v>50000</v>
      </c>
      <c r="J8" s="14">
        <v>3730</v>
      </c>
      <c r="K8" s="15">
        <f>L8</f>
        <v>3722</v>
      </c>
      <c r="L8" s="15">
        <f>3087+635</f>
        <v>3722</v>
      </c>
      <c r="M8" s="16">
        <f t="shared" si="0"/>
        <v>3722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0.99785522788203751</v>
      </c>
      <c r="AC8" s="9">
        <f t="shared" si="5"/>
        <v>0.79166666666666663</v>
      </c>
      <c r="AD8" s="10">
        <f t="shared" si="6"/>
        <v>0.78996872207327962</v>
      </c>
      <c r="AE8" s="39">
        <f t="shared" si="7"/>
        <v>0.52693630350065213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1035</v>
      </c>
      <c r="E9" s="57" t="s">
        <v>1036</v>
      </c>
      <c r="F9" s="12" t="s">
        <v>127</v>
      </c>
      <c r="G9" s="12">
        <v>1</v>
      </c>
      <c r="H9" s="13">
        <v>25</v>
      </c>
      <c r="I9" s="34">
        <v>27000</v>
      </c>
      <c r="J9" s="5">
        <v>3320</v>
      </c>
      <c r="K9" s="15">
        <f>L9</f>
        <v>3312</v>
      </c>
      <c r="L9" s="15">
        <f>2779+533</f>
        <v>3312</v>
      </c>
      <c r="M9" s="16">
        <f t="shared" si="0"/>
        <v>3312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/>
      <c r="T9" s="17">
        <v>6</v>
      </c>
      <c r="U9" s="17"/>
      <c r="V9" s="18"/>
      <c r="W9" s="19"/>
      <c r="X9" s="17"/>
      <c r="Y9" s="20"/>
      <c r="Z9" s="20"/>
      <c r="AA9" s="21"/>
      <c r="AB9" s="8">
        <f t="shared" si="4"/>
        <v>0.99759036144578317</v>
      </c>
      <c r="AC9" s="9">
        <f t="shared" si="5"/>
        <v>0.75</v>
      </c>
      <c r="AD9" s="10">
        <f t="shared" si="6"/>
        <v>0.74819277108433735</v>
      </c>
      <c r="AE9" s="39">
        <f t="shared" si="7"/>
        <v>0.52693630350065213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7620</v>
      </c>
      <c r="K10" s="15">
        <f>L10+7510+8800+7448+10498+7300+10522+10338+5436+8842+10604+6710+10546+10078+8386+10542</f>
        <v>141176</v>
      </c>
      <c r="L10" s="15">
        <f>2748*2+1060*2</f>
        <v>7616</v>
      </c>
      <c r="M10" s="16">
        <f t="shared" si="0"/>
        <v>7616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0.99947506561679789</v>
      </c>
      <c r="AC10" s="9">
        <f t="shared" si="5"/>
        <v>0.83333333333333337</v>
      </c>
      <c r="AD10" s="10">
        <f t="shared" si="6"/>
        <v>0.83289588801399828</v>
      </c>
      <c r="AE10" s="39">
        <f t="shared" si="7"/>
        <v>0.52693630350065213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504</v>
      </c>
      <c r="E11" s="57" t="s">
        <v>501</v>
      </c>
      <c r="F11" s="12" t="s">
        <v>538</v>
      </c>
      <c r="G11" s="12">
        <v>1</v>
      </c>
      <c r="H11" s="13">
        <v>25</v>
      </c>
      <c r="I11" s="34">
        <v>3500</v>
      </c>
      <c r="J11" s="14">
        <v>1360</v>
      </c>
      <c r="K11" s="15">
        <f>L11+3317+1360</f>
        <v>4677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0.52693630350065213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228</v>
      </c>
      <c r="D12" s="55" t="s">
        <v>123</v>
      </c>
      <c r="E12" s="57" t="s">
        <v>594</v>
      </c>
      <c r="F12" s="12" t="s">
        <v>127</v>
      </c>
      <c r="G12" s="12">
        <v>1</v>
      </c>
      <c r="H12" s="13">
        <v>25</v>
      </c>
      <c r="I12" s="34">
        <v>23000</v>
      </c>
      <c r="J12" s="5">
        <v>1080</v>
      </c>
      <c r="K12" s="15">
        <f>L12+2002+2471+4364+1737+2292+5147+1278+3127+5108</f>
        <v>28600</v>
      </c>
      <c r="L12" s="15">
        <v>1074</v>
      </c>
      <c r="M12" s="16">
        <f t="shared" si="0"/>
        <v>1074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18</v>
      </c>
      <c r="AB12" s="8">
        <f t="shared" si="4"/>
        <v>0.99444444444444446</v>
      </c>
      <c r="AC12" s="9">
        <f t="shared" si="5"/>
        <v>0.25</v>
      </c>
      <c r="AD12" s="10">
        <f t="shared" si="6"/>
        <v>0.24861111111111112</v>
      </c>
      <c r="AE12" s="39">
        <f t="shared" si="7"/>
        <v>0.52693630350065213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602</v>
      </c>
      <c r="D13" s="55" t="s">
        <v>1035</v>
      </c>
      <c r="E13" s="57" t="s">
        <v>1037</v>
      </c>
      <c r="F13" s="12" t="s">
        <v>1038</v>
      </c>
      <c r="G13" s="12">
        <v>1</v>
      </c>
      <c r="H13" s="13">
        <v>25</v>
      </c>
      <c r="I13" s="7">
        <v>10000</v>
      </c>
      <c r="J13" s="14">
        <v>3580</v>
      </c>
      <c r="K13" s="15">
        <f>L13</f>
        <v>3575</v>
      </c>
      <c r="L13" s="15">
        <f>2504+1071</f>
        <v>3575</v>
      </c>
      <c r="M13" s="16">
        <f t="shared" si="0"/>
        <v>3575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0.99860335195530725</v>
      </c>
      <c r="AC13" s="9">
        <f t="shared" si="5"/>
        <v>0.83333333333333337</v>
      </c>
      <c r="AD13" s="10">
        <f t="shared" si="6"/>
        <v>0.83216945996275604</v>
      </c>
      <c r="AE13" s="39">
        <f t="shared" si="7"/>
        <v>0.52693630350065213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228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0.52693630350065213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0.52693630350065213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5830</v>
      </c>
      <c r="K16" s="15">
        <f>L16+2878+5819+5765+4332+5828+4680</f>
        <v>35126</v>
      </c>
      <c r="L16" s="15">
        <f>3017+2807</f>
        <v>5824</v>
      </c>
      <c r="M16" s="16">
        <f t="shared" si="0"/>
        <v>5824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0.9989708404802744</v>
      </c>
      <c r="AC16" s="9">
        <f t="shared" si="5"/>
        <v>1</v>
      </c>
      <c r="AD16" s="10">
        <f t="shared" si="6"/>
        <v>0.9989708404802744</v>
      </c>
      <c r="AE16" s="39">
        <f t="shared" si="7"/>
        <v>0.52693630350065213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789</v>
      </c>
      <c r="E17" s="56" t="s">
        <v>203</v>
      </c>
      <c r="F17" s="12">
        <v>8301</v>
      </c>
      <c r="G17" s="12">
        <v>1</v>
      </c>
      <c r="H17" s="13">
        <v>25</v>
      </c>
      <c r="I17" s="34">
        <v>13000</v>
      </c>
      <c r="J17" s="5">
        <v>400</v>
      </c>
      <c r="K17" s="15">
        <f>L17+4217+2325+4034+4828+396</f>
        <v>15800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0.52693630350065213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207</v>
      </c>
      <c r="E18" s="57" t="s">
        <v>951</v>
      </c>
      <c r="F18" s="12" t="s">
        <v>952</v>
      </c>
      <c r="G18" s="12">
        <v>1</v>
      </c>
      <c r="H18" s="13">
        <v>25</v>
      </c>
      <c r="I18" s="34">
        <f>9000+13000</f>
        <v>22000</v>
      </c>
      <c r="J18" s="5">
        <v>2460</v>
      </c>
      <c r="K18" s="15">
        <f>L18+3993+731</f>
        <v>7175</v>
      </c>
      <c r="L18" s="15">
        <f>2335+116</f>
        <v>2451</v>
      </c>
      <c r="M18" s="16">
        <f t="shared" si="0"/>
        <v>2451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0.99634146341463414</v>
      </c>
      <c r="AC18" s="9">
        <f t="shared" si="5"/>
        <v>0.66666666666666663</v>
      </c>
      <c r="AD18" s="10">
        <f t="shared" si="6"/>
        <v>0.66422764227642273</v>
      </c>
      <c r="AE18" s="39">
        <f t="shared" si="7"/>
        <v>0.52693630350065213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431</v>
      </c>
      <c r="F19" s="33" t="s">
        <v>320</v>
      </c>
      <c r="G19" s="36">
        <v>2</v>
      </c>
      <c r="H19" s="38">
        <v>25</v>
      </c>
      <c r="I19" s="34">
        <v>100000</v>
      </c>
      <c r="J19" s="5">
        <v>10320</v>
      </c>
      <c r="K19" s="15">
        <f>L19+6264+10600+6250+2340+4019+9772+10444+10316+10500+10234+7385+8248+3418+7932</f>
        <v>118036</v>
      </c>
      <c r="L19" s="15">
        <f>2675*2+2482*2</f>
        <v>10314</v>
      </c>
      <c r="M19" s="16">
        <f t="shared" si="0"/>
        <v>10314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0.99941860465116283</v>
      </c>
      <c r="AC19" s="9">
        <f t="shared" si="5"/>
        <v>1</v>
      </c>
      <c r="AD19" s="10">
        <f t="shared" si="6"/>
        <v>0.99941860465116283</v>
      </c>
      <c r="AE19" s="39">
        <f t="shared" si="7"/>
        <v>0.52693630350065213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779</v>
      </c>
      <c r="F20" s="12" t="s">
        <v>120</v>
      </c>
      <c r="G20" s="12">
        <v>4</v>
      </c>
      <c r="H20" s="38">
        <v>20</v>
      </c>
      <c r="I20" s="7">
        <v>200000</v>
      </c>
      <c r="J20" s="14">
        <v>39300</v>
      </c>
      <c r="K20" s="15">
        <f>L20+36748+47368+47016+47284+39268</f>
        <v>217684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0.52693630350065213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0">SUM(I6:I20)</f>
        <v>605000</v>
      </c>
      <c r="J21" s="22">
        <f t="shared" si="10"/>
        <v>99280</v>
      </c>
      <c r="K21" s="23">
        <f t="shared" si="10"/>
        <v>631802</v>
      </c>
      <c r="L21" s="24">
        <f t="shared" si="10"/>
        <v>49385</v>
      </c>
      <c r="M21" s="23">
        <f t="shared" si="10"/>
        <v>49385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190</v>
      </c>
      <c r="Q21" s="46">
        <f t="shared" si="11"/>
        <v>170</v>
      </c>
      <c r="R21" s="26">
        <f t="shared" si="11"/>
        <v>0</v>
      </c>
      <c r="S21" s="27">
        <f t="shared" si="11"/>
        <v>69</v>
      </c>
      <c r="T21" s="27">
        <f t="shared" si="11"/>
        <v>6</v>
      </c>
      <c r="U21" s="27">
        <f t="shared" si="11"/>
        <v>0</v>
      </c>
      <c r="V21" s="28">
        <f t="shared" si="11"/>
        <v>0</v>
      </c>
      <c r="W21" s="29">
        <f t="shared" si="11"/>
        <v>77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18</v>
      </c>
      <c r="AB21" s="31">
        <f>SUM(AB6:AB20)/15</f>
        <v>0.66536124153455523</v>
      </c>
      <c r="AC21" s="4">
        <f>SUM(AC6:AC20)/15</f>
        <v>0.52777777777777779</v>
      </c>
      <c r="AD21" s="4">
        <f>SUM(AD6:AD20)/15</f>
        <v>0.52693630350065213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1039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1058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424" t="s">
        <v>47</v>
      </c>
      <c r="D50" s="424" t="s">
        <v>48</v>
      </c>
      <c r="E50" s="424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424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1040</v>
      </c>
      <c r="B51" s="506"/>
      <c r="C51" s="423" t="s">
        <v>1041</v>
      </c>
      <c r="D51" s="420" t="s">
        <v>1030</v>
      </c>
      <c r="E51" s="423" t="s">
        <v>1042</v>
      </c>
      <c r="F51" s="487" t="s">
        <v>1043</v>
      </c>
      <c r="G51" s="487"/>
      <c r="H51" s="487"/>
      <c r="I51" s="487"/>
      <c r="J51" s="487"/>
      <c r="K51" s="487"/>
      <c r="L51" s="487"/>
      <c r="M51" s="498"/>
      <c r="N51" s="419" t="s">
        <v>206</v>
      </c>
      <c r="O51" s="74" t="s">
        <v>465</v>
      </c>
      <c r="P51" s="503" t="s">
        <v>1012</v>
      </c>
      <c r="Q51" s="504"/>
      <c r="R51" s="497" t="s">
        <v>673</v>
      </c>
      <c r="S51" s="497"/>
      <c r="T51" s="497"/>
      <c r="U51" s="497"/>
      <c r="V51" s="487" t="s">
        <v>1045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964</v>
      </c>
      <c r="B52" s="506"/>
      <c r="C52" s="423" t="s">
        <v>965</v>
      </c>
      <c r="D52" s="420" t="s">
        <v>207</v>
      </c>
      <c r="E52" s="423" t="s">
        <v>951</v>
      </c>
      <c r="F52" s="487" t="s">
        <v>1046</v>
      </c>
      <c r="G52" s="487"/>
      <c r="H52" s="487"/>
      <c r="I52" s="487"/>
      <c r="J52" s="487"/>
      <c r="K52" s="487"/>
      <c r="L52" s="487"/>
      <c r="M52" s="498"/>
      <c r="N52" s="419" t="s">
        <v>128</v>
      </c>
      <c r="O52" s="74" t="s">
        <v>596</v>
      </c>
      <c r="P52" s="503" t="s">
        <v>1055</v>
      </c>
      <c r="Q52" s="504"/>
      <c r="R52" s="497" t="s">
        <v>1059</v>
      </c>
      <c r="S52" s="497"/>
      <c r="T52" s="497"/>
      <c r="U52" s="497"/>
      <c r="V52" s="487" t="s">
        <v>578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1047</v>
      </c>
      <c r="B53" s="506"/>
      <c r="C53" s="423" t="s">
        <v>129</v>
      </c>
      <c r="D53" s="420" t="s">
        <v>1035</v>
      </c>
      <c r="E53" s="423" t="s">
        <v>1037</v>
      </c>
      <c r="F53" s="487" t="s">
        <v>578</v>
      </c>
      <c r="G53" s="487"/>
      <c r="H53" s="487"/>
      <c r="I53" s="487"/>
      <c r="J53" s="487"/>
      <c r="K53" s="487"/>
      <c r="L53" s="487"/>
      <c r="M53" s="498"/>
      <c r="N53" s="419" t="s">
        <v>128</v>
      </c>
      <c r="O53" s="74" t="s">
        <v>1060</v>
      </c>
      <c r="P53" s="503" t="s">
        <v>1061</v>
      </c>
      <c r="Q53" s="504"/>
      <c r="R53" s="497" t="s">
        <v>1062</v>
      </c>
      <c r="S53" s="497"/>
      <c r="T53" s="497"/>
      <c r="U53" s="497"/>
      <c r="V53" s="487" t="s">
        <v>578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602</v>
      </c>
      <c r="B54" s="506"/>
      <c r="C54" s="423" t="s">
        <v>139</v>
      </c>
      <c r="D54" s="420" t="s">
        <v>1048</v>
      </c>
      <c r="E54" s="423" t="s">
        <v>1049</v>
      </c>
      <c r="F54" s="487" t="s">
        <v>1050</v>
      </c>
      <c r="G54" s="487"/>
      <c r="H54" s="487"/>
      <c r="I54" s="487"/>
      <c r="J54" s="487"/>
      <c r="K54" s="487"/>
      <c r="L54" s="487"/>
      <c r="M54" s="498"/>
      <c r="N54" s="419" t="s">
        <v>128</v>
      </c>
      <c r="O54" s="74" t="s">
        <v>586</v>
      </c>
      <c r="P54" s="503" t="s">
        <v>1063</v>
      </c>
      <c r="Q54" s="504"/>
      <c r="R54" s="497" t="s">
        <v>1064</v>
      </c>
      <c r="S54" s="497"/>
      <c r="T54" s="497"/>
      <c r="U54" s="497"/>
      <c r="V54" s="487" t="s">
        <v>578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602</v>
      </c>
      <c r="B55" s="506"/>
      <c r="C55" s="423" t="s">
        <v>1051</v>
      </c>
      <c r="D55" s="420" t="s">
        <v>1052</v>
      </c>
      <c r="E55" s="423" t="s">
        <v>1053</v>
      </c>
      <c r="F55" s="487" t="s">
        <v>1054</v>
      </c>
      <c r="G55" s="487"/>
      <c r="H55" s="487"/>
      <c r="I55" s="487"/>
      <c r="J55" s="487"/>
      <c r="K55" s="487"/>
      <c r="L55" s="487"/>
      <c r="M55" s="498"/>
      <c r="N55" s="419" t="s">
        <v>128</v>
      </c>
      <c r="O55" s="74" t="s">
        <v>1065</v>
      </c>
      <c r="P55" s="503" t="s">
        <v>1066</v>
      </c>
      <c r="Q55" s="504"/>
      <c r="R55" s="497" t="s">
        <v>1067</v>
      </c>
      <c r="S55" s="497"/>
      <c r="T55" s="497"/>
      <c r="U55" s="497"/>
      <c r="V55" s="487" t="s">
        <v>578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 t="s">
        <v>128</v>
      </c>
      <c r="B56" s="497"/>
      <c r="C56" s="420" t="s">
        <v>724</v>
      </c>
      <c r="D56" s="420" t="s">
        <v>1055</v>
      </c>
      <c r="E56" s="423" t="s">
        <v>1033</v>
      </c>
      <c r="F56" s="487" t="s">
        <v>1045</v>
      </c>
      <c r="G56" s="487"/>
      <c r="H56" s="487"/>
      <c r="I56" s="487"/>
      <c r="J56" s="487"/>
      <c r="K56" s="487"/>
      <c r="L56" s="487"/>
      <c r="M56" s="498"/>
      <c r="N56" s="419" t="s">
        <v>1068</v>
      </c>
      <c r="O56" s="74" t="s">
        <v>731</v>
      </c>
      <c r="P56" s="497"/>
      <c r="Q56" s="497"/>
      <c r="R56" s="497" t="s">
        <v>1069</v>
      </c>
      <c r="S56" s="497"/>
      <c r="T56" s="497"/>
      <c r="U56" s="497"/>
      <c r="V56" s="487" t="s">
        <v>578</v>
      </c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 t="s">
        <v>1056</v>
      </c>
      <c r="B57" s="497"/>
      <c r="C57" s="420" t="s">
        <v>694</v>
      </c>
      <c r="D57" s="420" t="s">
        <v>58</v>
      </c>
      <c r="E57" s="423" t="s">
        <v>1036</v>
      </c>
      <c r="F57" s="487" t="s">
        <v>1057</v>
      </c>
      <c r="G57" s="487"/>
      <c r="H57" s="487"/>
      <c r="I57" s="487"/>
      <c r="J57" s="487"/>
      <c r="K57" s="487"/>
      <c r="L57" s="487"/>
      <c r="M57" s="498"/>
      <c r="N57" s="419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423"/>
      <c r="D58" s="420"/>
      <c r="E58" s="423"/>
      <c r="F58" s="487"/>
      <c r="G58" s="487"/>
      <c r="H58" s="487"/>
      <c r="I58" s="487"/>
      <c r="J58" s="487"/>
      <c r="K58" s="487"/>
      <c r="L58" s="487"/>
      <c r="M58" s="498"/>
      <c r="N58" s="419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420"/>
      <c r="D59" s="420"/>
      <c r="E59" s="420"/>
      <c r="F59" s="487"/>
      <c r="G59" s="487"/>
      <c r="H59" s="487"/>
      <c r="I59" s="487"/>
      <c r="J59" s="487"/>
      <c r="K59" s="487"/>
      <c r="L59" s="487"/>
      <c r="M59" s="498"/>
      <c r="N59" s="419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422"/>
      <c r="D60" s="422"/>
      <c r="E60" s="422"/>
      <c r="F60" s="501"/>
      <c r="G60" s="501"/>
      <c r="H60" s="501"/>
      <c r="I60" s="501"/>
      <c r="J60" s="501"/>
      <c r="K60" s="501"/>
      <c r="L60" s="501"/>
      <c r="M60" s="502"/>
      <c r="N60" s="421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1070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418" t="s">
        <v>2</v>
      </c>
      <c r="D62" s="418" t="s">
        <v>38</v>
      </c>
      <c r="E62" s="418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418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417" t="s">
        <v>1056</v>
      </c>
      <c r="D63" s="413"/>
      <c r="E63" s="415" t="s">
        <v>1071</v>
      </c>
      <c r="F63" s="485" t="s">
        <v>1072</v>
      </c>
      <c r="G63" s="475"/>
      <c r="H63" s="475"/>
      <c r="I63" s="475"/>
      <c r="J63" s="475"/>
      <c r="K63" s="475">
        <v>8301</v>
      </c>
      <c r="L63" s="475"/>
      <c r="M63" s="54" t="s">
        <v>1073</v>
      </c>
      <c r="N63" s="475">
        <v>12</v>
      </c>
      <c r="O63" s="475"/>
      <c r="P63" s="486">
        <v>100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417"/>
      <c r="D64" s="413"/>
      <c r="E64" s="415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417"/>
      <c r="D65" s="413"/>
      <c r="E65" s="415"/>
      <c r="F65" s="485"/>
      <c r="G65" s="475"/>
      <c r="H65" s="475"/>
      <c r="I65" s="475"/>
      <c r="J65" s="475"/>
      <c r="K65" s="475"/>
      <c r="L65" s="475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417"/>
      <c r="D66" s="413"/>
      <c r="E66" s="415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417"/>
      <c r="D67" s="413"/>
      <c r="E67" s="41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417"/>
      <c r="D68" s="413"/>
      <c r="E68" s="415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417"/>
      <c r="D69" s="413"/>
      <c r="E69" s="41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417"/>
      <c r="D70" s="413"/>
      <c r="E70" s="41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1074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416" t="s">
        <v>2</v>
      </c>
      <c r="D72" s="416" t="s">
        <v>38</v>
      </c>
      <c r="E72" s="416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414" t="s">
        <v>62</v>
      </c>
      <c r="D73" s="414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413" t="s">
        <v>128</v>
      </c>
      <c r="D74" s="413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2">A74+1</f>
        <v>3</v>
      </c>
      <c r="B75" s="447"/>
      <c r="C75" s="413" t="s">
        <v>62</v>
      </c>
      <c r="D75" s="413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2"/>
        <v>4</v>
      </c>
      <c r="B76" s="447"/>
      <c r="C76" s="413" t="s">
        <v>62</v>
      </c>
      <c r="D76" s="413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2"/>
        <v>5</v>
      </c>
      <c r="B77" s="447"/>
      <c r="C77" s="413" t="s">
        <v>62</v>
      </c>
      <c r="D77" s="413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2"/>
        <v>6</v>
      </c>
      <c r="B78" s="447"/>
      <c r="C78" s="413"/>
      <c r="D78" s="413"/>
      <c r="E78" s="35"/>
      <c r="F78" s="447"/>
      <c r="G78" s="447"/>
      <c r="H78" s="447"/>
      <c r="I78" s="447"/>
      <c r="J78" s="447"/>
      <c r="K78" s="456"/>
      <c r="L78" s="457"/>
      <c r="M78" s="457"/>
      <c r="N78" s="457"/>
      <c r="O78" s="457"/>
      <c r="P78" s="457"/>
      <c r="Q78" s="457"/>
      <c r="R78" s="457"/>
      <c r="S78" s="458"/>
      <c r="T78" s="459"/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2"/>
        <v>7</v>
      </c>
      <c r="B79" s="447"/>
      <c r="C79" s="413"/>
      <c r="D79" s="413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2"/>
        <v>8</v>
      </c>
      <c r="B80" s="447"/>
      <c r="C80" s="413"/>
      <c r="D80" s="413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2"/>
        <v>9</v>
      </c>
      <c r="B81" s="447"/>
      <c r="C81" s="413"/>
      <c r="D81" s="413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1075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61"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1076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425" t="s">
        <v>17</v>
      </c>
      <c r="L5" s="425" t="s">
        <v>18</v>
      </c>
      <c r="M5" s="425" t="s">
        <v>19</v>
      </c>
      <c r="N5" s="4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1029</v>
      </c>
      <c r="D6" s="55" t="s">
        <v>1030</v>
      </c>
      <c r="E6" s="56" t="s">
        <v>1031</v>
      </c>
      <c r="F6" s="12" t="s">
        <v>1032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0.68832284847341574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1077</v>
      </c>
      <c r="F7" s="12" t="s">
        <v>1078</v>
      </c>
      <c r="G7" s="36">
        <v>1</v>
      </c>
      <c r="H7" s="38">
        <v>25</v>
      </c>
      <c r="I7" s="7">
        <v>7000</v>
      </c>
      <c r="J7" s="14">
        <v>3570</v>
      </c>
      <c r="K7" s="15">
        <f>L7</f>
        <v>3562</v>
      </c>
      <c r="L7" s="15">
        <f>1069+2493</f>
        <v>3562</v>
      </c>
      <c r="M7" s="16">
        <f t="shared" si="0"/>
        <v>3562</v>
      </c>
      <c r="N7" s="16">
        <v>0</v>
      </c>
      <c r="O7" s="62">
        <f t="shared" si="1"/>
        <v>0</v>
      </c>
      <c r="P7" s="42">
        <f t="shared" si="2"/>
        <v>20</v>
      </c>
      <c r="Q7" s="43">
        <f t="shared" si="3"/>
        <v>4</v>
      </c>
      <c r="R7" s="7"/>
      <c r="S7" s="6"/>
      <c r="T7" s="17">
        <v>4</v>
      </c>
      <c r="U7" s="17"/>
      <c r="V7" s="18"/>
      <c r="W7" s="19"/>
      <c r="X7" s="17"/>
      <c r="Y7" s="20"/>
      <c r="Z7" s="20"/>
      <c r="AA7" s="21"/>
      <c r="AB7" s="8">
        <f t="shared" si="4"/>
        <v>0.99775910364145659</v>
      </c>
      <c r="AC7" s="9">
        <f t="shared" si="5"/>
        <v>0.83333333333333337</v>
      </c>
      <c r="AD7" s="10">
        <f t="shared" si="6"/>
        <v>0.83146591970121386</v>
      </c>
      <c r="AE7" s="39">
        <f t="shared" si="7"/>
        <v>0.68832284847341574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128</v>
      </c>
      <c r="D8" s="55" t="s">
        <v>123</v>
      </c>
      <c r="E8" s="57" t="s">
        <v>1033</v>
      </c>
      <c r="F8" s="12" t="s">
        <v>1034</v>
      </c>
      <c r="G8" s="36">
        <v>1</v>
      </c>
      <c r="H8" s="38">
        <v>25</v>
      </c>
      <c r="I8" s="7">
        <v>50000</v>
      </c>
      <c r="J8" s="14">
        <v>5870</v>
      </c>
      <c r="K8" s="15">
        <f>L8+3722</f>
        <v>9585</v>
      </c>
      <c r="L8" s="15">
        <f>2816+3047</f>
        <v>5863</v>
      </c>
      <c r="M8" s="16">
        <f t="shared" si="0"/>
        <v>5863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0.99880749574105621</v>
      </c>
      <c r="AC8" s="9">
        <f t="shared" si="5"/>
        <v>1</v>
      </c>
      <c r="AD8" s="10">
        <f t="shared" si="6"/>
        <v>0.99880749574105621</v>
      </c>
      <c r="AE8" s="39">
        <f t="shared" si="7"/>
        <v>0.68832284847341574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1035</v>
      </c>
      <c r="E9" s="57" t="s">
        <v>1036</v>
      </c>
      <c r="F9" s="12" t="s">
        <v>127</v>
      </c>
      <c r="G9" s="12">
        <v>1</v>
      </c>
      <c r="H9" s="13">
        <v>25</v>
      </c>
      <c r="I9" s="34">
        <v>27000</v>
      </c>
      <c r="J9" s="5">
        <v>5800</v>
      </c>
      <c r="K9" s="15">
        <f>L9+3312</f>
        <v>9104</v>
      </c>
      <c r="L9" s="15">
        <f>2560+3232</f>
        <v>5792</v>
      </c>
      <c r="M9" s="16">
        <f t="shared" si="0"/>
        <v>5792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0.99862068965517237</v>
      </c>
      <c r="AC9" s="9">
        <f t="shared" si="5"/>
        <v>1</v>
      </c>
      <c r="AD9" s="10">
        <f t="shared" si="6"/>
        <v>0.99862068965517237</v>
      </c>
      <c r="AE9" s="39">
        <f t="shared" si="7"/>
        <v>0.68832284847341574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</v>
      </c>
      <c r="D10" s="55" t="s">
        <v>121</v>
      </c>
      <c r="E10" s="57" t="s">
        <v>428</v>
      </c>
      <c r="F10" s="12" t="s">
        <v>212</v>
      </c>
      <c r="G10" s="12">
        <v>1</v>
      </c>
      <c r="H10" s="13">
        <v>25</v>
      </c>
      <c r="I10" s="34">
        <v>100000</v>
      </c>
      <c r="J10" s="14">
        <v>7030</v>
      </c>
      <c r="K10" s="15">
        <f>L10+7510+8800+7448+10498+7300+10522+10338+5436+8842+10604+6710+10546+10078+8386+10542+7616</f>
        <v>148206</v>
      </c>
      <c r="L10" s="15">
        <f>2543*2+972*2</f>
        <v>7030</v>
      </c>
      <c r="M10" s="16">
        <f t="shared" si="0"/>
        <v>7030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/>
      <c r="T10" s="17"/>
      <c r="U10" s="17"/>
      <c r="V10" s="18"/>
      <c r="W10" s="19">
        <v>4</v>
      </c>
      <c r="X10" s="17"/>
      <c r="Y10" s="20"/>
      <c r="Z10" s="20"/>
      <c r="AA10" s="21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9">
        <f t="shared" si="7"/>
        <v>0.68832284847341574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602</v>
      </c>
      <c r="D11" s="55" t="s">
        <v>1052</v>
      </c>
      <c r="E11" s="57" t="s">
        <v>1053</v>
      </c>
      <c r="F11" s="12" t="s">
        <v>212</v>
      </c>
      <c r="G11" s="12">
        <v>1</v>
      </c>
      <c r="H11" s="13">
        <v>25</v>
      </c>
      <c r="I11" s="34">
        <v>10000</v>
      </c>
      <c r="J11" s="14">
        <v>2520</v>
      </c>
      <c r="K11" s="15">
        <f>L11</f>
        <v>2519</v>
      </c>
      <c r="L11" s="15">
        <f>2519</f>
        <v>2519</v>
      </c>
      <c r="M11" s="16">
        <f t="shared" si="0"/>
        <v>2519</v>
      </c>
      <c r="N11" s="16">
        <v>0</v>
      </c>
      <c r="O11" s="62">
        <f t="shared" si="1"/>
        <v>0</v>
      </c>
      <c r="P11" s="42">
        <f t="shared" si="2"/>
        <v>13</v>
      </c>
      <c r="Q11" s="43">
        <f t="shared" si="3"/>
        <v>11</v>
      </c>
      <c r="R11" s="7"/>
      <c r="S11" s="6">
        <v>11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0.9996031746031746</v>
      </c>
      <c r="AC11" s="9">
        <f t="shared" si="5"/>
        <v>0.54166666666666663</v>
      </c>
      <c r="AD11" s="10">
        <f t="shared" si="6"/>
        <v>0.54145171957671956</v>
      </c>
      <c r="AE11" s="39">
        <f t="shared" si="7"/>
        <v>0.68832284847341574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228</v>
      </c>
      <c r="D12" s="55" t="s">
        <v>123</v>
      </c>
      <c r="E12" s="57" t="s">
        <v>1059</v>
      </c>
      <c r="F12" s="12" t="s">
        <v>1079</v>
      </c>
      <c r="G12" s="12">
        <v>1</v>
      </c>
      <c r="H12" s="13">
        <v>25</v>
      </c>
      <c r="I12" s="34">
        <v>7000</v>
      </c>
      <c r="J12" s="5">
        <v>4670</v>
      </c>
      <c r="K12" s="15">
        <f>L12</f>
        <v>4669</v>
      </c>
      <c r="L12" s="15">
        <f>1929+2740</f>
        <v>4669</v>
      </c>
      <c r="M12" s="16">
        <f t="shared" si="0"/>
        <v>4669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0.99978586723768736</v>
      </c>
      <c r="AC12" s="9">
        <f t="shared" si="5"/>
        <v>0.95833333333333337</v>
      </c>
      <c r="AD12" s="10">
        <f t="shared" si="6"/>
        <v>0.95812812276945047</v>
      </c>
      <c r="AE12" s="39">
        <f t="shared" si="7"/>
        <v>0.68832284847341574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602</v>
      </c>
      <c r="D13" s="55" t="s">
        <v>1035</v>
      </c>
      <c r="E13" s="57" t="s">
        <v>1037</v>
      </c>
      <c r="F13" s="12" t="s">
        <v>1038</v>
      </c>
      <c r="G13" s="12">
        <v>1</v>
      </c>
      <c r="H13" s="13">
        <v>25</v>
      </c>
      <c r="I13" s="7">
        <v>10000</v>
      </c>
      <c r="J13" s="14">
        <v>4880</v>
      </c>
      <c r="K13" s="15">
        <f>L13+3575</f>
        <v>8455</v>
      </c>
      <c r="L13" s="15">
        <f>2265+2615</f>
        <v>4880</v>
      </c>
      <c r="M13" s="16">
        <f t="shared" si="0"/>
        <v>4880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0.68832284847341574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228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0.68832284847341574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0.68832284847341574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</f>
        <v>40729</v>
      </c>
      <c r="L16" s="15">
        <f>2794+2809</f>
        <v>5603</v>
      </c>
      <c r="M16" s="16">
        <f t="shared" si="0"/>
        <v>5603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0.99875222816399289</v>
      </c>
      <c r="AC16" s="9">
        <f t="shared" si="5"/>
        <v>1</v>
      </c>
      <c r="AD16" s="10">
        <f t="shared" si="6"/>
        <v>0.99875222816399289</v>
      </c>
      <c r="AE16" s="39">
        <f t="shared" si="7"/>
        <v>0.68832284847341574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128</v>
      </c>
      <c r="D17" s="55" t="s">
        <v>1061</v>
      </c>
      <c r="E17" s="56" t="s">
        <v>1080</v>
      </c>
      <c r="F17" s="12" t="s">
        <v>1081</v>
      </c>
      <c r="G17" s="12">
        <v>1</v>
      </c>
      <c r="H17" s="13">
        <v>25</v>
      </c>
      <c r="I17" s="34">
        <v>7000</v>
      </c>
      <c r="J17" s="5">
        <v>5200</v>
      </c>
      <c r="K17" s="15">
        <f>L17</f>
        <v>5195</v>
      </c>
      <c r="L17" s="15">
        <f>2163+3032</f>
        <v>5195</v>
      </c>
      <c r="M17" s="16">
        <f t="shared" si="0"/>
        <v>5195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0.99903846153846154</v>
      </c>
      <c r="AC17" s="9">
        <f t="shared" si="5"/>
        <v>1</v>
      </c>
      <c r="AD17" s="10">
        <f t="shared" si="6"/>
        <v>0.99903846153846154</v>
      </c>
      <c r="AE17" s="39">
        <f t="shared" si="7"/>
        <v>0.68832284847341574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207</v>
      </c>
      <c r="E18" s="57" t="s">
        <v>951</v>
      </c>
      <c r="F18" s="12" t="s">
        <v>952</v>
      </c>
      <c r="G18" s="12">
        <v>1</v>
      </c>
      <c r="H18" s="13">
        <v>25</v>
      </c>
      <c r="I18" s="34">
        <f>9000+13000</f>
        <v>22000</v>
      </c>
      <c r="J18" s="5">
        <v>2290</v>
      </c>
      <c r="K18" s="15">
        <f>L18+3993+731+2451</f>
        <v>9463</v>
      </c>
      <c r="L18" s="15">
        <f>1091+1197</f>
        <v>2288</v>
      </c>
      <c r="M18" s="16">
        <f t="shared" si="0"/>
        <v>2288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>
        <v>10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0.9991266375545852</v>
      </c>
      <c r="AC18" s="9">
        <f t="shared" si="5"/>
        <v>0.58333333333333337</v>
      </c>
      <c r="AD18" s="10">
        <f t="shared" si="6"/>
        <v>0.58282387190684137</v>
      </c>
      <c r="AE18" s="39">
        <f t="shared" si="7"/>
        <v>0.68832284847341574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459</v>
      </c>
      <c r="E19" s="57" t="s">
        <v>431</v>
      </c>
      <c r="F19" s="33" t="s">
        <v>320</v>
      </c>
      <c r="G19" s="36">
        <v>2</v>
      </c>
      <c r="H19" s="38">
        <v>25</v>
      </c>
      <c r="I19" s="34">
        <v>100000</v>
      </c>
      <c r="J19" s="5">
        <v>4080</v>
      </c>
      <c r="K19" s="15">
        <f>L19+6264+10600+6250+2340+4019+9772+10444+10316+10500+10234+7385+8248+3418+7932+10314</f>
        <v>122112</v>
      </c>
      <c r="L19" s="15">
        <f>2038*2</f>
        <v>4076</v>
      </c>
      <c r="M19" s="16">
        <f t="shared" ref="M19" si="10">L19-N19</f>
        <v>4076</v>
      </c>
      <c r="N19" s="16">
        <v>0</v>
      </c>
      <c r="O19" s="62">
        <f t="shared" ref="O19" si="11">IF(L19=0,"0",N19/L19)</f>
        <v>0</v>
      </c>
      <c r="P19" s="42">
        <f t="shared" ref="P19" si="12">IF(L19=0,"0",(24-Q19))</f>
        <v>10</v>
      </c>
      <c r="Q19" s="43">
        <f t="shared" ref="Q19" si="13">SUM(R19:AA19)</f>
        <v>14</v>
      </c>
      <c r="R19" s="7"/>
      <c r="S19" s="6"/>
      <c r="T19" s="17"/>
      <c r="U19" s="17"/>
      <c r="V19" s="18"/>
      <c r="W19" s="19">
        <v>14</v>
      </c>
      <c r="X19" s="17"/>
      <c r="Y19" s="20"/>
      <c r="Z19" s="20"/>
      <c r="AA19" s="21"/>
      <c r="AB19" s="8">
        <f t="shared" ref="AB19" si="14">IF(J19=0,"0",(L19/J19))</f>
        <v>0.99901960784313726</v>
      </c>
      <c r="AC19" s="9">
        <f t="shared" ref="AC19" si="15">IF(P19=0,"0",(P19/24))</f>
        <v>0.41666666666666669</v>
      </c>
      <c r="AD19" s="10">
        <f t="shared" ref="AD19" si="16">AC19*AB19*(1-O19)</f>
        <v>0.41625816993464054</v>
      </c>
      <c r="AE19" s="39">
        <f t="shared" si="7"/>
        <v>0.68832284847341574</v>
      </c>
      <c r="AF19" s="94">
        <f t="shared" ref="AF19" si="17">A19</f>
        <v>14</v>
      </c>
    </row>
    <row r="20" spans="1:32" ht="27" customHeight="1">
      <c r="A20" s="110">
        <v>14</v>
      </c>
      <c r="B20" s="11" t="s">
        <v>59</v>
      </c>
      <c r="C20" s="37" t="s">
        <v>128</v>
      </c>
      <c r="D20" s="55" t="s">
        <v>1082</v>
      </c>
      <c r="E20" s="57" t="s">
        <v>1083</v>
      </c>
      <c r="F20" s="33" t="s">
        <v>1084</v>
      </c>
      <c r="G20" s="36">
        <v>1</v>
      </c>
      <c r="H20" s="38">
        <v>25</v>
      </c>
      <c r="I20" s="34">
        <v>7000</v>
      </c>
      <c r="J20" s="5">
        <v>2930</v>
      </c>
      <c r="K20" s="15">
        <f>L20</f>
        <v>2928</v>
      </c>
      <c r="L20" s="15">
        <f>182+2746</f>
        <v>2928</v>
      </c>
      <c r="M20" s="16">
        <f t="shared" si="0"/>
        <v>2928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/>
      <c r="T20" s="17">
        <v>10</v>
      </c>
      <c r="U20" s="17"/>
      <c r="V20" s="18"/>
      <c r="W20" s="19"/>
      <c r="X20" s="17"/>
      <c r="Y20" s="20"/>
      <c r="Z20" s="20"/>
      <c r="AA20" s="21"/>
      <c r="AB20" s="8">
        <f t="shared" si="4"/>
        <v>0.99931740614334474</v>
      </c>
      <c r="AC20" s="9">
        <f t="shared" si="5"/>
        <v>0.58333333333333337</v>
      </c>
      <c r="AD20" s="10">
        <f t="shared" si="6"/>
        <v>0.5829351535836178</v>
      </c>
      <c r="AE20" s="39">
        <f t="shared" si="7"/>
        <v>0.68832284847341574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1085</v>
      </c>
      <c r="F21" s="12" t="s">
        <v>120</v>
      </c>
      <c r="G21" s="12">
        <v>4</v>
      </c>
      <c r="H21" s="38">
        <v>20</v>
      </c>
      <c r="I21" s="7">
        <v>100000</v>
      </c>
      <c r="J21" s="14">
        <v>22060</v>
      </c>
      <c r="K21" s="15">
        <f>L21</f>
        <v>22056</v>
      </c>
      <c r="L21" s="15">
        <f>182*4+5332*4</f>
        <v>22056</v>
      </c>
      <c r="M21" s="16">
        <f t="shared" si="0"/>
        <v>22056</v>
      </c>
      <c r="N21" s="16">
        <v>0</v>
      </c>
      <c r="O21" s="62">
        <f t="shared" si="1"/>
        <v>0</v>
      </c>
      <c r="P21" s="42">
        <f t="shared" si="2"/>
        <v>14</v>
      </c>
      <c r="Q21" s="43">
        <f t="shared" si="3"/>
        <v>10</v>
      </c>
      <c r="R21" s="7"/>
      <c r="S21" s="6">
        <v>10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0.99981867633726196</v>
      </c>
      <c r="AC21" s="9">
        <f t="shared" si="5"/>
        <v>0.58333333333333337</v>
      </c>
      <c r="AD21" s="10">
        <f t="shared" si="6"/>
        <v>0.58322756119673613</v>
      </c>
      <c r="AE21" s="39">
        <f t="shared" si="7"/>
        <v>0.68832284847341574</v>
      </c>
      <c r="AF21" s="94">
        <f t="shared" si="8"/>
        <v>15</v>
      </c>
    </row>
    <row r="22" spans="1:32" ht="31.5" customHeight="1" thickBot="1">
      <c r="A22" s="509" t="s">
        <v>34</v>
      </c>
      <c r="B22" s="510"/>
      <c r="C22" s="510"/>
      <c r="D22" s="510"/>
      <c r="E22" s="510"/>
      <c r="F22" s="510"/>
      <c r="G22" s="510"/>
      <c r="H22" s="511"/>
      <c r="I22" s="25">
        <f t="shared" ref="I22:N22" si="18">SUM(I6:I21)</f>
        <v>493500</v>
      </c>
      <c r="J22" s="22">
        <f t="shared" si="18"/>
        <v>91420</v>
      </c>
      <c r="K22" s="23">
        <f t="shared" si="18"/>
        <v>413228</v>
      </c>
      <c r="L22" s="24">
        <f t="shared" si="18"/>
        <v>76461</v>
      </c>
      <c r="M22" s="23">
        <f t="shared" si="18"/>
        <v>76461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248</v>
      </c>
      <c r="Q22" s="46">
        <f t="shared" si="19"/>
        <v>136</v>
      </c>
      <c r="R22" s="26">
        <f t="shared" si="19"/>
        <v>0</v>
      </c>
      <c r="S22" s="27">
        <f t="shared" si="19"/>
        <v>31</v>
      </c>
      <c r="T22" s="27">
        <f t="shared" si="19"/>
        <v>15</v>
      </c>
      <c r="U22" s="27">
        <f t="shared" si="19"/>
        <v>0</v>
      </c>
      <c r="V22" s="28">
        <f t="shared" si="19"/>
        <v>0</v>
      </c>
      <c r="W22" s="29">
        <f t="shared" si="19"/>
        <v>90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0.86597662323062197</v>
      </c>
      <c r="AC22" s="4">
        <f>SUM(AC6:AC21)/15</f>
        <v>0.68888888888888899</v>
      </c>
      <c r="AD22" s="4">
        <f>SUM(AD6:AD21)/15</f>
        <v>0.68832284847341574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512" t="s">
        <v>46</v>
      </c>
      <c r="B49" s="512"/>
      <c r="C49" s="512"/>
      <c r="D49" s="512"/>
      <c r="E49" s="51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513" t="s">
        <v>1086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5"/>
      <c r="N50" s="516" t="s">
        <v>1098</v>
      </c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8"/>
    </row>
    <row r="51" spans="1:32" ht="27" customHeight="1">
      <c r="A51" s="519" t="s">
        <v>2</v>
      </c>
      <c r="B51" s="520"/>
      <c r="C51" s="424" t="s">
        <v>47</v>
      </c>
      <c r="D51" s="424" t="s">
        <v>48</v>
      </c>
      <c r="E51" s="424" t="s">
        <v>113</v>
      </c>
      <c r="F51" s="520" t="s">
        <v>112</v>
      </c>
      <c r="G51" s="520"/>
      <c r="H51" s="520"/>
      <c r="I51" s="520"/>
      <c r="J51" s="520"/>
      <c r="K51" s="520"/>
      <c r="L51" s="520"/>
      <c r="M51" s="521"/>
      <c r="N51" s="73" t="s">
        <v>117</v>
      </c>
      <c r="O51" s="424" t="s">
        <v>47</v>
      </c>
      <c r="P51" s="522" t="s">
        <v>48</v>
      </c>
      <c r="Q51" s="523"/>
      <c r="R51" s="522" t="s">
        <v>39</v>
      </c>
      <c r="S51" s="524"/>
      <c r="T51" s="524"/>
      <c r="U51" s="523"/>
      <c r="V51" s="522" t="s">
        <v>49</v>
      </c>
      <c r="W51" s="524"/>
      <c r="X51" s="524"/>
      <c r="Y51" s="524"/>
      <c r="Z51" s="524"/>
      <c r="AA51" s="524"/>
      <c r="AB51" s="524"/>
      <c r="AC51" s="524"/>
      <c r="AD51" s="525"/>
    </row>
    <row r="52" spans="1:32" ht="27" customHeight="1">
      <c r="A52" s="505" t="s">
        <v>1044</v>
      </c>
      <c r="B52" s="506"/>
      <c r="C52" s="423" t="s">
        <v>586</v>
      </c>
      <c r="D52" s="420" t="s">
        <v>131</v>
      </c>
      <c r="E52" s="423" t="s">
        <v>1087</v>
      </c>
      <c r="F52" s="487" t="s">
        <v>1043</v>
      </c>
      <c r="G52" s="487"/>
      <c r="H52" s="487"/>
      <c r="I52" s="487"/>
      <c r="J52" s="487"/>
      <c r="K52" s="487"/>
      <c r="L52" s="487"/>
      <c r="M52" s="498"/>
      <c r="N52" s="419" t="s">
        <v>206</v>
      </c>
      <c r="O52" s="74" t="s">
        <v>465</v>
      </c>
      <c r="P52" s="503" t="s">
        <v>1012</v>
      </c>
      <c r="Q52" s="504"/>
      <c r="R52" s="497" t="s">
        <v>673</v>
      </c>
      <c r="S52" s="497"/>
      <c r="T52" s="497"/>
      <c r="U52" s="497"/>
      <c r="V52" s="487" t="s">
        <v>1045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964</v>
      </c>
      <c r="B53" s="506"/>
      <c r="C53" s="423" t="s">
        <v>965</v>
      </c>
      <c r="D53" s="420" t="s">
        <v>207</v>
      </c>
      <c r="E53" s="423" t="s">
        <v>951</v>
      </c>
      <c r="F53" s="487" t="s">
        <v>1088</v>
      </c>
      <c r="G53" s="487"/>
      <c r="H53" s="487"/>
      <c r="I53" s="487"/>
      <c r="J53" s="487"/>
      <c r="K53" s="487"/>
      <c r="L53" s="487"/>
      <c r="M53" s="498"/>
      <c r="N53" s="419" t="s">
        <v>1056</v>
      </c>
      <c r="O53" s="74" t="s">
        <v>694</v>
      </c>
      <c r="P53" s="503" t="s">
        <v>1099</v>
      </c>
      <c r="Q53" s="504"/>
      <c r="R53" s="497" t="s">
        <v>1100</v>
      </c>
      <c r="S53" s="497"/>
      <c r="T53" s="497"/>
      <c r="U53" s="497"/>
      <c r="V53" s="487" t="s">
        <v>1101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1044</v>
      </c>
      <c r="B54" s="506"/>
      <c r="C54" s="423" t="s">
        <v>1060</v>
      </c>
      <c r="D54" s="420" t="s">
        <v>1089</v>
      </c>
      <c r="E54" s="423" t="s">
        <v>1090</v>
      </c>
      <c r="F54" s="487" t="s">
        <v>578</v>
      </c>
      <c r="G54" s="487"/>
      <c r="H54" s="487"/>
      <c r="I54" s="487"/>
      <c r="J54" s="487"/>
      <c r="K54" s="487"/>
      <c r="L54" s="487"/>
      <c r="M54" s="498"/>
      <c r="N54" s="419" t="s">
        <v>1102</v>
      </c>
      <c r="O54" s="74" t="s">
        <v>139</v>
      </c>
      <c r="P54" s="503" t="s">
        <v>1103</v>
      </c>
      <c r="Q54" s="504"/>
      <c r="R54" s="497" t="s">
        <v>1104</v>
      </c>
      <c r="S54" s="497"/>
      <c r="T54" s="497"/>
      <c r="U54" s="497"/>
      <c r="V54" s="487" t="s">
        <v>1057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 t="s">
        <v>1044</v>
      </c>
      <c r="B55" s="506"/>
      <c r="C55" s="423" t="s">
        <v>596</v>
      </c>
      <c r="D55" s="420" t="s">
        <v>1091</v>
      </c>
      <c r="E55" s="423" t="s">
        <v>1092</v>
      </c>
      <c r="F55" s="487" t="s">
        <v>578</v>
      </c>
      <c r="G55" s="487"/>
      <c r="H55" s="487"/>
      <c r="I55" s="487"/>
      <c r="J55" s="487"/>
      <c r="K55" s="487"/>
      <c r="L55" s="487"/>
      <c r="M55" s="498"/>
      <c r="N55" s="419" t="s">
        <v>128</v>
      </c>
      <c r="O55" s="74" t="s">
        <v>1105</v>
      </c>
      <c r="P55" s="503" t="s">
        <v>58</v>
      </c>
      <c r="Q55" s="504"/>
      <c r="R55" s="497" t="s">
        <v>1106</v>
      </c>
      <c r="S55" s="497"/>
      <c r="T55" s="497"/>
      <c r="U55" s="497"/>
      <c r="V55" s="487" t="s">
        <v>136</v>
      </c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505" t="s">
        <v>602</v>
      </c>
      <c r="B56" s="506"/>
      <c r="C56" s="423" t="s">
        <v>1051</v>
      </c>
      <c r="D56" s="420" t="s">
        <v>1052</v>
      </c>
      <c r="E56" s="423" t="s">
        <v>1053</v>
      </c>
      <c r="F56" s="487" t="s">
        <v>1093</v>
      </c>
      <c r="G56" s="487"/>
      <c r="H56" s="487"/>
      <c r="I56" s="487"/>
      <c r="J56" s="487"/>
      <c r="K56" s="487"/>
      <c r="L56" s="487"/>
      <c r="M56" s="498"/>
      <c r="N56" s="419"/>
      <c r="O56" s="74"/>
      <c r="P56" s="503"/>
      <c r="Q56" s="504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 t="s">
        <v>1044</v>
      </c>
      <c r="B57" s="497"/>
      <c r="C57" s="420" t="s">
        <v>1094</v>
      </c>
      <c r="D57" s="420" t="s">
        <v>1095</v>
      </c>
      <c r="E57" s="423" t="s">
        <v>1096</v>
      </c>
      <c r="F57" s="487" t="s">
        <v>1057</v>
      </c>
      <c r="G57" s="487"/>
      <c r="H57" s="487"/>
      <c r="I57" s="487"/>
      <c r="J57" s="487"/>
      <c r="K57" s="487"/>
      <c r="L57" s="487"/>
      <c r="M57" s="498"/>
      <c r="N57" s="419"/>
      <c r="O57" s="74"/>
      <c r="P57" s="497"/>
      <c r="Q57" s="497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496" t="s">
        <v>1097</v>
      </c>
      <c r="B58" s="497"/>
      <c r="C58" s="420" t="s">
        <v>731</v>
      </c>
      <c r="D58" s="420"/>
      <c r="E58" s="423" t="s">
        <v>1069</v>
      </c>
      <c r="F58" s="487" t="s">
        <v>1057</v>
      </c>
      <c r="G58" s="487"/>
      <c r="H58" s="487"/>
      <c r="I58" s="487"/>
      <c r="J58" s="487"/>
      <c r="K58" s="487"/>
      <c r="L58" s="487"/>
      <c r="M58" s="498"/>
      <c r="N58" s="419"/>
      <c r="O58" s="74"/>
      <c r="P58" s="503"/>
      <c r="Q58" s="504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505"/>
      <c r="B59" s="506"/>
      <c r="C59" s="423"/>
      <c r="D59" s="420"/>
      <c r="E59" s="423"/>
      <c r="F59" s="487"/>
      <c r="G59" s="487"/>
      <c r="H59" s="487"/>
      <c r="I59" s="487"/>
      <c r="J59" s="487"/>
      <c r="K59" s="487"/>
      <c r="L59" s="487"/>
      <c r="M59" s="498"/>
      <c r="N59" s="419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</row>
    <row r="60" spans="1:32" ht="27" customHeight="1">
      <c r="A60" s="496"/>
      <c r="B60" s="497"/>
      <c r="C60" s="420"/>
      <c r="D60" s="420"/>
      <c r="E60" s="420"/>
      <c r="F60" s="487"/>
      <c r="G60" s="487"/>
      <c r="H60" s="487"/>
      <c r="I60" s="487"/>
      <c r="J60" s="487"/>
      <c r="K60" s="487"/>
      <c r="L60" s="487"/>
      <c r="M60" s="498"/>
      <c r="N60" s="419"/>
      <c r="O60" s="74"/>
      <c r="P60" s="497"/>
      <c r="Q60" s="497"/>
      <c r="R60" s="497"/>
      <c r="S60" s="497"/>
      <c r="T60" s="497"/>
      <c r="U60" s="497"/>
      <c r="V60" s="487"/>
      <c r="W60" s="487"/>
      <c r="X60" s="487"/>
      <c r="Y60" s="487"/>
      <c r="Z60" s="487"/>
      <c r="AA60" s="487"/>
      <c r="AB60" s="487"/>
      <c r="AC60" s="487"/>
      <c r="AD60" s="498"/>
      <c r="AF60" s="94">
        <f>8*3000</f>
        <v>24000</v>
      </c>
    </row>
    <row r="61" spans="1:32" ht="27" customHeight="1" thickBot="1">
      <c r="A61" s="499"/>
      <c r="B61" s="500"/>
      <c r="C61" s="422"/>
      <c r="D61" s="422"/>
      <c r="E61" s="422"/>
      <c r="F61" s="501"/>
      <c r="G61" s="501"/>
      <c r="H61" s="501"/>
      <c r="I61" s="501"/>
      <c r="J61" s="501"/>
      <c r="K61" s="501"/>
      <c r="L61" s="501"/>
      <c r="M61" s="502"/>
      <c r="N61" s="421"/>
      <c r="O61" s="121"/>
      <c r="P61" s="500"/>
      <c r="Q61" s="500"/>
      <c r="R61" s="500"/>
      <c r="S61" s="500"/>
      <c r="T61" s="500"/>
      <c r="U61" s="500"/>
      <c r="V61" s="501"/>
      <c r="W61" s="501"/>
      <c r="X61" s="501"/>
      <c r="Y61" s="501"/>
      <c r="Z61" s="501"/>
      <c r="AA61" s="501"/>
      <c r="AB61" s="501"/>
      <c r="AC61" s="501"/>
      <c r="AD61" s="502"/>
      <c r="AF61" s="94">
        <f>16*3000</f>
        <v>48000</v>
      </c>
    </row>
    <row r="62" spans="1:32" ht="27.75" thickBot="1">
      <c r="A62" s="494" t="s">
        <v>1107</v>
      </c>
      <c r="B62" s="494"/>
      <c r="C62" s="494"/>
      <c r="D62" s="494"/>
      <c r="E62" s="49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95" t="s">
        <v>118</v>
      </c>
      <c r="B63" s="492"/>
      <c r="C63" s="418" t="s">
        <v>2</v>
      </c>
      <c r="D63" s="418" t="s">
        <v>38</v>
      </c>
      <c r="E63" s="418" t="s">
        <v>3</v>
      </c>
      <c r="F63" s="492" t="s">
        <v>115</v>
      </c>
      <c r="G63" s="492"/>
      <c r="H63" s="492"/>
      <c r="I63" s="492"/>
      <c r="J63" s="492"/>
      <c r="K63" s="492" t="s">
        <v>40</v>
      </c>
      <c r="L63" s="492"/>
      <c r="M63" s="418" t="s">
        <v>41</v>
      </c>
      <c r="N63" s="492" t="s">
        <v>42</v>
      </c>
      <c r="O63" s="492"/>
      <c r="P63" s="489" t="s">
        <v>43</v>
      </c>
      <c r="Q63" s="491"/>
      <c r="R63" s="489" t="s">
        <v>44</v>
      </c>
      <c r="S63" s="490"/>
      <c r="T63" s="490"/>
      <c r="U63" s="490"/>
      <c r="V63" s="490"/>
      <c r="W63" s="490"/>
      <c r="X63" s="490"/>
      <c r="Y63" s="490"/>
      <c r="Z63" s="490"/>
      <c r="AA63" s="491"/>
      <c r="AB63" s="492" t="s">
        <v>45</v>
      </c>
      <c r="AC63" s="492"/>
      <c r="AD63" s="493"/>
      <c r="AF63" s="94">
        <f>SUM(AF60:AF62)</f>
        <v>96000</v>
      </c>
    </row>
    <row r="64" spans="1:32" ht="25.5" customHeight="1">
      <c r="A64" s="483">
        <v>1</v>
      </c>
      <c r="B64" s="484"/>
      <c r="C64" s="417"/>
      <c r="D64" s="413"/>
      <c r="E64" s="415"/>
      <c r="F64" s="485"/>
      <c r="G64" s="475"/>
      <c r="H64" s="475"/>
      <c r="I64" s="475"/>
      <c r="J64" s="475"/>
      <c r="K64" s="475"/>
      <c r="L64" s="475"/>
      <c r="M64" s="54"/>
      <c r="N64" s="475"/>
      <c r="O64" s="47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  <c r="AF64" s="53"/>
    </row>
    <row r="65" spans="1:32" ht="25.5" customHeight="1">
      <c r="A65" s="483">
        <v>2</v>
      </c>
      <c r="B65" s="484"/>
      <c r="C65" s="417"/>
      <c r="D65" s="413"/>
      <c r="E65" s="415"/>
      <c r="F65" s="485"/>
      <c r="G65" s="475"/>
      <c r="H65" s="475"/>
      <c r="I65" s="475"/>
      <c r="J65" s="475"/>
      <c r="K65" s="475"/>
      <c r="L65" s="475"/>
      <c r="M65" s="54"/>
      <c r="N65" s="475"/>
      <c r="O65" s="47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</row>
    <row r="66" spans="1:32" ht="25.5" customHeight="1">
      <c r="A66" s="483">
        <v>3</v>
      </c>
      <c r="B66" s="484"/>
      <c r="C66" s="417"/>
      <c r="D66" s="413"/>
      <c r="E66" s="415"/>
      <c r="F66" s="48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4</v>
      </c>
      <c r="B67" s="484"/>
      <c r="C67" s="417"/>
      <c r="D67" s="413"/>
      <c r="E67" s="41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5</v>
      </c>
      <c r="B68" s="484"/>
      <c r="C68" s="417"/>
      <c r="D68" s="413"/>
      <c r="E68" s="415"/>
      <c r="F68" s="47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6</v>
      </c>
      <c r="B69" s="484"/>
      <c r="C69" s="417"/>
      <c r="D69" s="413"/>
      <c r="E69" s="41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7</v>
      </c>
      <c r="B70" s="484"/>
      <c r="C70" s="417"/>
      <c r="D70" s="413"/>
      <c r="E70" s="41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5.5" customHeight="1">
      <c r="A71" s="483">
        <v>8</v>
      </c>
      <c r="B71" s="484"/>
      <c r="C71" s="417"/>
      <c r="D71" s="413"/>
      <c r="E71" s="415"/>
      <c r="F71" s="485"/>
      <c r="G71" s="475"/>
      <c r="H71" s="475"/>
      <c r="I71" s="475"/>
      <c r="J71" s="475"/>
      <c r="K71" s="475"/>
      <c r="L71" s="475"/>
      <c r="M71" s="54"/>
      <c r="N71" s="475"/>
      <c r="O71" s="47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5"/>
      <c r="AC71" s="475"/>
      <c r="AD71" s="476"/>
      <c r="AF71" s="53"/>
    </row>
    <row r="72" spans="1:32" ht="26.25" customHeight="1" thickBot="1">
      <c r="A72" s="454" t="s">
        <v>1108</v>
      </c>
      <c r="B72" s="454"/>
      <c r="C72" s="454"/>
      <c r="D72" s="454"/>
      <c r="E72" s="45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77" t="s">
        <v>118</v>
      </c>
      <c r="B73" s="478"/>
      <c r="C73" s="416" t="s">
        <v>2</v>
      </c>
      <c r="D73" s="416" t="s">
        <v>38</v>
      </c>
      <c r="E73" s="416" t="s">
        <v>3</v>
      </c>
      <c r="F73" s="478" t="s">
        <v>39</v>
      </c>
      <c r="G73" s="478"/>
      <c r="H73" s="478"/>
      <c r="I73" s="478"/>
      <c r="J73" s="478"/>
      <c r="K73" s="479" t="s">
        <v>60</v>
      </c>
      <c r="L73" s="480"/>
      <c r="M73" s="480"/>
      <c r="N73" s="480"/>
      <c r="O73" s="480"/>
      <c r="P73" s="480"/>
      <c r="Q73" s="480"/>
      <c r="R73" s="480"/>
      <c r="S73" s="481"/>
      <c r="T73" s="478" t="s">
        <v>50</v>
      </c>
      <c r="U73" s="478"/>
      <c r="V73" s="479" t="s">
        <v>51</v>
      </c>
      <c r="W73" s="481"/>
      <c r="X73" s="480" t="s">
        <v>52</v>
      </c>
      <c r="Y73" s="480"/>
      <c r="Z73" s="480"/>
      <c r="AA73" s="480"/>
      <c r="AB73" s="480"/>
      <c r="AC73" s="480"/>
      <c r="AD73" s="482"/>
      <c r="AF73" s="53"/>
    </row>
    <row r="74" spans="1:32" ht="33.75" customHeight="1">
      <c r="A74" s="462">
        <v>1</v>
      </c>
      <c r="B74" s="463"/>
      <c r="C74" s="414" t="s">
        <v>62</v>
      </c>
      <c r="D74" s="414"/>
      <c r="E74" s="71" t="s">
        <v>58</v>
      </c>
      <c r="F74" s="464" t="s">
        <v>63</v>
      </c>
      <c r="G74" s="465"/>
      <c r="H74" s="465"/>
      <c r="I74" s="465"/>
      <c r="J74" s="466"/>
      <c r="K74" s="467" t="s">
        <v>61</v>
      </c>
      <c r="L74" s="468"/>
      <c r="M74" s="468"/>
      <c r="N74" s="468"/>
      <c r="O74" s="468"/>
      <c r="P74" s="468"/>
      <c r="Q74" s="468"/>
      <c r="R74" s="468"/>
      <c r="S74" s="469"/>
      <c r="T74" s="470">
        <v>41791</v>
      </c>
      <c r="U74" s="471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46">
        <f>A74+1</f>
        <v>2</v>
      </c>
      <c r="B75" s="447"/>
      <c r="C75" s="413" t="s">
        <v>128</v>
      </c>
      <c r="D75" s="413"/>
      <c r="E75" s="35" t="s">
        <v>121</v>
      </c>
      <c r="F75" s="447" t="s">
        <v>132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42779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ref="A76:A82" si="20">A75+1</f>
        <v>3</v>
      </c>
      <c r="B76" s="447"/>
      <c r="C76" s="413" t="s">
        <v>62</v>
      </c>
      <c r="D76" s="413"/>
      <c r="E76" s="35" t="s">
        <v>121</v>
      </c>
      <c r="F76" s="447" t="s">
        <v>125</v>
      </c>
      <c r="G76" s="447"/>
      <c r="H76" s="447"/>
      <c r="I76" s="447"/>
      <c r="J76" s="447"/>
      <c r="K76" s="456" t="s">
        <v>61</v>
      </c>
      <c r="L76" s="457"/>
      <c r="M76" s="457"/>
      <c r="N76" s="457"/>
      <c r="O76" s="457"/>
      <c r="P76" s="457"/>
      <c r="Q76" s="457"/>
      <c r="R76" s="457"/>
      <c r="S76" s="458"/>
      <c r="T76" s="459">
        <v>42667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20"/>
        <v>4</v>
      </c>
      <c r="B77" s="447"/>
      <c r="C77" s="413" t="s">
        <v>62</v>
      </c>
      <c r="D77" s="413"/>
      <c r="E77" s="35" t="s">
        <v>121</v>
      </c>
      <c r="F77" s="447" t="s">
        <v>265</v>
      </c>
      <c r="G77" s="447"/>
      <c r="H77" s="447"/>
      <c r="I77" s="447"/>
      <c r="J77" s="447"/>
      <c r="K77" s="456" t="s">
        <v>288</v>
      </c>
      <c r="L77" s="457"/>
      <c r="M77" s="457"/>
      <c r="N77" s="457"/>
      <c r="O77" s="457"/>
      <c r="P77" s="457"/>
      <c r="Q77" s="457"/>
      <c r="R77" s="457"/>
      <c r="S77" s="458"/>
      <c r="T77" s="459">
        <v>42829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20"/>
        <v>5</v>
      </c>
      <c r="B78" s="447"/>
      <c r="C78" s="413" t="s">
        <v>62</v>
      </c>
      <c r="D78" s="413"/>
      <c r="E78" s="35" t="s">
        <v>58</v>
      </c>
      <c r="F78" s="447" t="s">
        <v>126</v>
      </c>
      <c r="G78" s="447"/>
      <c r="H78" s="447"/>
      <c r="I78" s="447"/>
      <c r="J78" s="447"/>
      <c r="K78" s="456" t="s">
        <v>61</v>
      </c>
      <c r="L78" s="457"/>
      <c r="M78" s="457"/>
      <c r="N78" s="457"/>
      <c r="O78" s="457"/>
      <c r="P78" s="457"/>
      <c r="Q78" s="457"/>
      <c r="R78" s="457"/>
      <c r="S78" s="458"/>
      <c r="T78" s="459">
        <v>42667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20"/>
        <v>6</v>
      </c>
      <c r="B79" s="447"/>
      <c r="C79" s="413" t="s">
        <v>128</v>
      </c>
      <c r="D79" s="413"/>
      <c r="E79" s="35" t="s">
        <v>1035</v>
      </c>
      <c r="F79" s="447" t="s">
        <v>1106</v>
      </c>
      <c r="G79" s="447"/>
      <c r="H79" s="447"/>
      <c r="I79" s="447"/>
      <c r="J79" s="447"/>
      <c r="K79" s="456" t="s">
        <v>1109</v>
      </c>
      <c r="L79" s="457"/>
      <c r="M79" s="457"/>
      <c r="N79" s="457"/>
      <c r="O79" s="457"/>
      <c r="P79" s="457"/>
      <c r="Q79" s="457"/>
      <c r="R79" s="457"/>
      <c r="S79" s="458"/>
      <c r="T79" s="459">
        <v>42854</v>
      </c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20"/>
        <v>7</v>
      </c>
      <c r="B80" s="447"/>
      <c r="C80" s="413" t="s">
        <v>602</v>
      </c>
      <c r="D80" s="413"/>
      <c r="E80" s="35" t="s">
        <v>1052</v>
      </c>
      <c r="F80" s="447" t="s">
        <v>1110</v>
      </c>
      <c r="G80" s="447"/>
      <c r="H80" s="447"/>
      <c r="I80" s="447"/>
      <c r="J80" s="447"/>
      <c r="K80" s="456" t="s">
        <v>1111</v>
      </c>
      <c r="L80" s="457"/>
      <c r="M80" s="457"/>
      <c r="N80" s="457"/>
      <c r="O80" s="457"/>
      <c r="P80" s="457"/>
      <c r="Q80" s="457"/>
      <c r="R80" s="457"/>
      <c r="S80" s="458"/>
      <c r="T80" s="459">
        <v>42853</v>
      </c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20"/>
        <v>8</v>
      </c>
      <c r="B81" s="447"/>
      <c r="C81" s="413"/>
      <c r="D81" s="413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0" customHeight="1">
      <c r="A82" s="446">
        <f t="shared" si="20"/>
        <v>9</v>
      </c>
      <c r="B82" s="447"/>
      <c r="C82" s="413"/>
      <c r="D82" s="413"/>
      <c r="E82" s="35"/>
      <c r="F82" s="447"/>
      <c r="G82" s="447"/>
      <c r="H82" s="447"/>
      <c r="I82" s="447"/>
      <c r="J82" s="447"/>
      <c r="K82" s="456"/>
      <c r="L82" s="457"/>
      <c r="M82" s="457"/>
      <c r="N82" s="457"/>
      <c r="O82" s="457"/>
      <c r="P82" s="457"/>
      <c r="Q82" s="457"/>
      <c r="R82" s="457"/>
      <c r="S82" s="458"/>
      <c r="T82" s="459"/>
      <c r="U82" s="459"/>
      <c r="V82" s="459"/>
      <c r="W82" s="459"/>
      <c r="X82" s="460"/>
      <c r="Y82" s="460"/>
      <c r="Z82" s="460"/>
      <c r="AA82" s="460"/>
      <c r="AB82" s="460"/>
      <c r="AC82" s="460"/>
      <c r="AD82" s="461"/>
      <c r="AF82" s="53"/>
    </row>
    <row r="83" spans="1:32" ht="36" thickBot="1">
      <c r="A83" s="454" t="s">
        <v>1112</v>
      </c>
      <c r="B83" s="454"/>
      <c r="C83" s="454"/>
      <c r="D83" s="454"/>
      <c r="E83" s="45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55" t="s">
        <v>37</v>
      </c>
      <c r="B84" s="450"/>
      <c r="C84" s="450" t="s">
        <v>53</v>
      </c>
      <c r="D84" s="450"/>
      <c r="E84" s="450" t="s">
        <v>54</v>
      </c>
      <c r="F84" s="450"/>
      <c r="G84" s="450"/>
      <c r="H84" s="450"/>
      <c r="I84" s="450"/>
      <c r="J84" s="450"/>
      <c r="K84" s="450" t="s">
        <v>55</v>
      </c>
      <c r="L84" s="450"/>
      <c r="M84" s="450"/>
      <c r="N84" s="450"/>
      <c r="O84" s="450"/>
      <c r="P84" s="450"/>
      <c r="Q84" s="450"/>
      <c r="R84" s="450"/>
      <c r="S84" s="450"/>
      <c r="T84" s="450" t="s">
        <v>56</v>
      </c>
      <c r="U84" s="450"/>
      <c r="V84" s="450" t="s">
        <v>57</v>
      </c>
      <c r="W84" s="450"/>
      <c r="X84" s="450"/>
      <c r="Y84" s="450" t="s">
        <v>52</v>
      </c>
      <c r="Z84" s="450"/>
      <c r="AA84" s="450"/>
      <c r="AB84" s="450"/>
      <c r="AC84" s="450"/>
      <c r="AD84" s="451"/>
      <c r="AF84" s="53"/>
    </row>
    <row r="85" spans="1:32" ht="30.75" customHeight="1">
      <c r="A85" s="452">
        <v>1</v>
      </c>
      <c r="B85" s="453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>
      <c r="A86" s="446">
        <v>2</v>
      </c>
      <c r="B86" s="447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9"/>
      <c r="W86" s="449"/>
      <c r="X86" s="449"/>
      <c r="Y86" s="440"/>
      <c r="Z86" s="440"/>
      <c r="AA86" s="440"/>
      <c r="AB86" s="440"/>
      <c r="AC86" s="440"/>
      <c r="AD86" s="441"/>
      <c r="AF86" s="53"/>
    </row>
    <row r="87" spans="1:32" ht="30.75" customHeight="1" thickBot="1">
      <c r="A87" s="442">
        <v>3</v>
      </c>
      <c r="B87" s="443"/>
      <c r="C87" s="443"/>
      <c r="D87" s="443"/>
      <c r="E87" s="443"/>
      <c r="F87" s="443"/>
      <c r="G87" s="443"/>
      <c r="H87" s="443"/>
      <c r="I87" s="443"/>
      <c r="J87" s="443"/>
      <c r="K87" s="443"/>
      <c r="L87" s="443"/>
      <c r="M87" s="443"/>
      <c r="N87" s="443"/>
      <c r="O87" s="443"/>
      <c r="P87" s="443"/>
      <c r="Q87" s="443"/>
      <c r="R87" s="443"/>
      <c r="S87" s="443"/>
      <c r="T87" s="443"/>
      <c r="U87" s="443"/>
      <c r="V87" s="443"/>
      <c r="W87" s="443"/>
      <c r="X87" s="443"/>
      <c r="Y87" s="444"/>
      <c r="Z87" s="444"/>
      <c r="AA87" s="444"/>
      <c r="AB87" s="444"/>
      <c r="AC87" s="444"/>
      <c r="AD87" s="44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10" zoomScale="72" zoomScaleNormal="72" zoomScaleSheetLayoutView="70" workbookViewId="0">
      <selection activeCell="L19" sqref="L1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1113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425" t="s">
        <v>17</v>
      </c>
      <c r="L5" s="425" t="s">
        <v>18</v>
      </c>
      <c r="M5" s="425" t="s">
        <v>19</v>
      </c>
      <c r="N5" s="4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1029</v>
      </c>
      <c r="D6" s="55" t="s">
        <v>1030</v>
      </c>
      <c r="E6" s="56" t="s">
        <v>1031</v>
      </c>
      <c r="F6" s="12" t="s">
        <v>1032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0.60800135072556016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131</v>
      </c>
      <c r="E7" s="56" t="s">
        <v>1077</v>
      </c>
      <c r="F7" s="12" t="s">
        <v>1078</v>
      </c>
      <c r="G7" s="36">
        <v>1</v>
      </c>
      <c r="H7" s="38">
        <v>25</v>
      </c>
      <c r="I7" s="7">
        <v>7000</v>
      </c>
      <c r="J7" s="14">
        <v>4400</v>
      </c>
      <c r="K7" s="15">
        <f>L7+3562</f>
        <v>7960</v>
      </c>
      <c r="L7" s="15">
        <f>1982+2416</f>
        <v>4398</v>
      </c>
      <c r="M7" s="16">
        <f t="shared" si="0"/>
        <v>4398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0.99954545454545451</v>
      </c>
      <c r="AC7" s="9">
        <f t="shared" si="5"/>
        <v>1</v>
      </c>
      <c r="AD7" s="10">
        <f t="shared" si="6"/>
        <v>0.99954545454545451</v>
      </c>
      <c r="AE7" s="39">
        <f t="shared" si="7"/>
        <v>0.60800135072556016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128</v>
      </c>
      <c r="D8" s="55" t="s">
        <v>123</v>
      </c>
      <c r="E8" s="57" t="s">
        <v>1033</v>
      </c>
      <c r="F8" s="12" t="s">
        <v>1034</v>
      </c>
      <c r="G8" s="36">
        <v>1</v>
      </c>
      <c r="H8" s="38">
        <v>25</v>
      </c>
      <c r="I8" s="7">
        <v>50000</v>
      </c>
      <c r="J8" s="14">
        <v>5780</v>
      </c>
      <c r="K8" s="15">
        <f>L8+3722+5863</f>
        <v>15359</v>
      </c>
      <c r="L8" s="15">
        <f>2379+3395</f>
        <v>5774</v>
      </c>
      <c r="M8" s="16">
        <f t="shared" si="0"/>
        <v>5774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0.99896193771626296</v>
      </c>
      <c r="AC8" s="9">
        <f t="shared" si="5"/>
        <v>1</v>
      </c>
      <c r="AD8" s="10">
        <f t="shared" si="6"/>
        <v>0.99896193771626296</v>
      </c>
      <c r="AE8" s="39">
        <f t="shared" si="7"/>
        <v>0.60800135072556016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1035</v>
      </c>
      <c r="E9" s="57" t="s">
        <v>1036</v>
      </c>
      <c r="F9" s="12" t="s">
        <v>127</v>
      </c>
      <c r="G9" s="12">
        <v>1</v>
      </c>
      <c r="H9" s="13">
        <v>25</v>
      </c>
      <c r="I9" s="34">
        <v>27000</v>
      </c>
      <c r="J9" s="5">
        <v>3400</v>
      </c>
      <c r="K9" s="15">
        <f>L9+3312+5792</f>
        <v>12500</v>
      </c>
      <c r="L9" s="15">
        <f>338+3058</f>
        <v>3396</v>
      </c>
      <c r="M9" s="16">
        <f t="shared" si="0"/>
        <v>3396</v>
      </c>
      <c r="N9" s="16">
        <v>0</v>
      </c>
      <c r="O9" s="62">
        <f t="shared" si="1"/>
        <v>0</v>
      </c>
      <c r="P9" s="42">
        <f t="shared" si="2"/>
        <v>17</v>
      </c>
      <c r="Q9" s="43">
        <f t="shared" si="3"/>
        <v>7</v>
      </c>
      <c r="R9" s="7"/>
      <c r="S9" s="6">
        <v>7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0.99882352941176467</v>
      </c>
      <c r="AC9" s="9">
        <f t="shared" si="5"/>
        <v>0.70833333333333337</v>
      </c>
      <c r="AD9" s="10">
        <f t="shared" si="6"/>
        <v>0.70750000000000002</v>
      </c>
      <c r="AE9" s="39">
        <f t="shared" si="7"/>
        <v>0.60800135072556016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128</v>
      </c>
      <c r="D10" s="55" t="s">
        <v>1103</v>
      </c>
      <c r="E10" s="57" t="s">
        <v>1114</v>
      </c>
      <c r="F10" s="12" t="s">
        <v>1115</v>
      </c>
      <c r="G10" s="12">
        <v>16</v>
      </c>
      <c r="H10" s="13">
        <v>25</v>
      </c>
      <c r="I10" s="34">
        <v>70000</v>
      </c>
      <c r="J10" s="14">
        <v>58390</v>
      </c>
      <c r="K10" s="15">
        <f>L10</f>
        <v>58384</v>
      </c>
      <c r="L10" s="15">
        <f>171*16+3478*16</f>
        <v>58384</v>
      </c>
      <c r="M10" s="16">
        <f t="shared" si="0"/>
        <v>58384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/>
      <c r="T10" s="17">
        <v>5</v>
      </c>
      <c r="U10" s="17"/>
      <c r="V10" s="18"/>
      <c r="W10" s="19"/>
      <c r="X10" s="17"/>
      <c r="Y10" s="20"/>
      <c r="Z10" s="20"/>
      <c r="AA10" s="21"/>
      <c r="AB10" s="8">
        <f t="shared" si="4"/>
        <v>0.99989724267854085</v>
      </c>
      <c r="AC10" s="9">
        <f t="shared" si="5"/>
        <v>0.79166666666666663</v>
      </c>
      <c r="AD10" s="10">
        <f t="shared" si="6"/>
        <v>0.7915853171205115</v>
      </c>
      <c r="AE10" s="39">
        <f t="shared" si="7"/>
        <v>0.60800135072556016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602</v>
      </c>
      <c r="D11" s="55" t="s">
        <v>1052</v>
      </c>
      <c r="E11" s="57" t="s">
        <v>1053</v>
      </c>
      <c r="F11" s="12" t="s">
        <v>212</v>
      </c>
      <c r="G11" s="12">
        <v>1</v>
      </c>
      <c r="H11" s="13">
        <v>25</v>
      </c>
      <c r="I11" s="34">
        <v>10000</v>
      </c>
      <c r="J11" s="14">
        <v>2520</v>
      </c>
      <c r="K11" s="15">
        <f>L11+2519</f>
        <v>2519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0.60800135072556016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228</v>
      </c>
      <c r="D12" s="55" t="s">
        <v>123</v>
      </c>
      <c r="E12" s="57" t="s">
        <v>1059</v>
      </c>
      <c r="F12" s="12" t="s">
        <v>1079</v>
      </c>
      <c r="G12" s="12">
        <v>1</v>
      </c>
      <c r="H12" s="13">
        <v>25</v>
      </c>
      <c r="I12" s="34">
        <v>7000</v>
      </c>
      <c r="J12" s="5">
        <v>5360</v>
      </c>
      <c r="K12" s="15">
        <f>L12+4669</f>
        <v>10026</v>
      </c>
      <c r="L12" s="15">
        <f>2201+3156</f>
        <v>5357</v>
      </c>
      <c r="M12" s="16">
        <f t="shared" si="0"/>
        <v>5357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0.99944029850746263</v>
      </c>
      <c r="AC12" s="9">
        <f t="shared" si="5"/>
        <v>1</v>
      </c>
      <c r="AD12" s="10">
        <f t="shared" si="6"/>
        <v>0.99944029850746263</v>
      </c>
      <c r="AE12" s="39">
        <f t="shared" si="7"/>
        <v>0.60800135072556016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602</v>
      </c>
      <c r="D13" s="55" t="s">
        <v>1035</v>
      </c>
      <c r="E13" s="57" t="s">
        <v>1037</v>
      </c>
      <c r="F13" s="12" t="s">
        <v>1038</v>
      </c>
      <c r="G13" s="12">
        <v>1</v>
      </c>
      <c r="H13" s="13">
        <v>25</v>
      </c>
      <c r="I13" s="7">
        <v>10000</v>
      </c>
      <c r="J13" s="14">
        <v>4310</v>
      </c>
      <c r="K13" s="15">
        <f>L13+3575+4880</f>
        <v>12758</v>
      </c>
      <c r="L13" s="15">
        <f>2057+2246</f>
        <v>4303</v>
      </c>
      <c r="M13" s="16">
        <f t="shared" si="0"/>
        <v>4303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0.9983758700696056</v>
      </c>
      <c r="AC13" s="9">
        <f t="shared" si="5"/>
        <v>1</v>
      </c>
      <c r="AD13" s="10">
        <f t="shared" si="6"/>
        <v>0.9983758700696056</v>
      </c>
      <c r="AE13" s="39">
        <f t="shared" si="7"/>
        <v>0.60800135072556016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228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0.60800135072556016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747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0.60800135072556016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0.60800135072556016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128</v>
      </c>
      <c r="D17" s="55" t="s">
        <v>1061</v>
      </c>
      <c r="E17" s="56" t="s">
        <v>1080</v>
      </c>
      <c r="F17" s="12" t="s">
        <v>1081</v>
      </c>
      <c r="G17" s="12">
        <v>1</v>
      </c>
      <c r="H17" s="13">
        <v>25</v>
      </c>
      <c r="I17" s="34">
        <v>7000</v>
      </c>
      <c r="J17" s="5">
        <v>4740</v>
      </c>
      <c r="K17" s="15">
        <f>L17+5195</f>
        <v>9935</v>
      </c>
      <c r="L17" s="15">
        <f>2421+2319</f>
        <v>4740</v>
      </c>
      <c r="M17" s="16">
        <f t="shared" si="0"/>
        <v>4740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0.60800135072556016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207</v>
      </c>
      <c r="E18" s="57" t="s">
        <v>951</v>
      </c>
      <c r="F18" s="12" t="s">
        <v>952</v>
      </c>
      <c r="G18" s="12">
        <v>1</v>
      </c>
      <c r="H18" s="13">
        <v>25</v>
      </c>
      <c r="I18" s="34">
        <f>9000+13000</f>
        <v>22000</v>
      </c>
      <c r="J18" s="5">
        <v>3250</v>
      </c>
      <c r="K18" s="15">
        <f>L18+3993+731+2451+2288</f>
        <v>12712</v>
      </c>
      <c r="L18" s="15">
        <f>294+2955</f>
        <v>3249</v>
      </c>
      <c r="M18" s="16">
        <f t="shared" si="0"/>
        <v>3249</v>
      </c>
      <c r="N18" s="16">
        <v>0</v>
      </c>
      <c r="O18" s="62">
        <f t="shared" si="1"/>
        <v>0</v>
      </c>
      <c r="P18" s="42">
        <f t="shared" si="2"/>
        <v>15</v>
      </c>
      <c r="Q18" s="43">
        <f t="shared" si="3"/>
        <v>9</v>
      </c>
      <c r="R18" s="7"/>
      <c r="S18" s="6">
        <v>9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0.99969230769230766</v>
      </c>
      <c r="AC18" s="9">
        <f t="shared" si="5"/>
        <v>0.625</v>
      </c>
      <c r="AD18" s="10">
        <f t="shared" si="6"/>
        <v>0.62480769230769229</v>
      </c>
      <c r="AE18" s="39">
        <f t="shared" si="7"/>
        <v>0.60800135072556016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128</v>
      </c>
      <c r="D19" s="55" t="s">
        <v>1082</v>
      </c>
      <c r="E19" s="57" t="s">
        <v>1083</v>
      </c>
      <c r="F19" s="33" t="s">
        <v>1084</v>
      </c>
      <c r="G19" s="36">
        <v>1</v>
      </c>
      <c r="H19" s="38">
        <v>25</v>
      </c>
      <c r="I19" s="34">
        <v>7000</v>
      </c>
      <c r="J19" s="5">
        <v>5094</v>
      </c>
      <c r="K19" s="15">
        <f>L19+2928</f>
        <v>8021</v>
      </c>
      <c r="L19" s="15">
        <f>2211+2882</f>
        <v>5093</v>
      </c>
      <c r="M19" s="16">
        <f t="shared" si="0"/>
        <v>5093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0.9998036906164115</v>
      </c>
      <c r="AC19" s="9">
        <f t="shared" si="5"/>
        <v>1</v>
      </c>
      <c r="AD19" s="10">
        <f t="shared" si="6"/>
        <v>0.9998036906164115</v>
      </c>
      <c r="AE19" s="39">
        <f t="shared" si="7"/>
        <v>0.60800135072556016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1085</v>
      </c>
      <c r="F20" s="12" t="s">
        <v>120</v>
      </c>
      <c r="G20" s="12">
        <v>4</v>
      </c>
      <c r="H20" s="38">
        <v>20</v>
      </c>
      <c r="I20" s="7">
        <v>100000</v>
      </c>
      <c r="J20" s="14">
        <v>47180</v>
      </c>
      <c r="K20" s="15">
        <f>L20+22056</f>
        <v>69236</v>
      </c>
      <c r="L20" s="15">
        <f>4952*4+6843*4</f>
        <v>47180</v>
      </c>
      <c r="M20" s="16">
        <f t="shared" si="0"/>
        <v>47180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0.60800135072556016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0">SUM(I6:I20)</f>
        <v>363500</v>
      </c>
      <c r="J21" s="22">
        <f t="shared" si="10"/>
        <v>164944</v>
      </c>
      <c r="K21" s="23">
        <f t="shared" si="10"/>
        <v>284784</v>
      </c>
      <c r="L21" s="24">
        <f t="shared" si="10"/>
        <v>141874</v>
      </c>
      <c r="M21" s="23">
        <f t="shared" si="10"/>
        <v>141874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219</v>
      </c>
      <c r="Q21" s="46">
        <f t="shared" si="11"/>
        <v>141</v>
      </c>
      <c r="R21" s="26">
        <f t="shared" si="11"/>
        <v>0</v>
      </c>
      <c r="S21" s="27">
        <f t="shared" si="11"/>
        <v>40</v>
      </c>
      <c r="T21" s="27">
        <f t="shared" si="11"/>
        <v>5</v>
      </c>
      <c r="U21" s="27">
        <f t="shared" si="11"/>
        <v>0</v>
      </c>
      <c r="V21" s="28">
        <f t="shared" si="11"/>
        <v>0</v>
      </c>
      <c r="W21" s="29">
        <f t="shared" si="11"/>
        <v>96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0.66630268874918741</v>
      </c>
      <c r="AC21" s="4">
        <f>SUM(AC6:AC20)/15</f>
        <v>0.60833333333333328</v>
      </c>
      <c r="AD21" s="4">
        <f>SUM(AD6:AD20)/15</f>
        <v>0.60800135072556016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1116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1122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424" t="s">
        <v>47</v>
      </c>
      <c r="D50" s="424" t="s">
        <v>48</v>
      </c>
      <c r="E50" s="424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424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964</v>
      </c>
      <c r="B51" s="506"/>
      <c r="C51" s="423" t="s">
        <v>965</v>
      </c>
      <c r="D51" s="420" t="s">
        <v>207</v>
      </c>
      <c r="E51" s="423" t="s">
        <v>951</v>
      </c>
      <c r="F51" s="487" t="s">
        <v>1117</v>
      </c>
      <c r="G51" s="487"/>
      <c r="H51" s="487"/>
      <c r="I51" s="487"/>
      <c r="J51" s="487"/>
      <c r="K51" s="487"/>
      <c r="L51" s="487"/>
      <c r="M51" s="498"/>
      <c r="N51" s="419" t="s">
        <v>206</v>
      </c>
      <c r="O51" s="74" t="s">
        <v>465</v>
      </c>
      <c r="P51" s="503" t="s">
        <v>1012</v>
      </c>
      <c r="Q51" s="504"/>
      <c r="R51" s="497" t="s">
        <v>673</v>
      </c>
      <c r="S51" s="497"/>
      <c r="T51" s="497"/>
      <c r="U51" s="497"/>
      <c r="V51" s="487" t="s">
        <v>1045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602</v>
      </c>
      <c r="B52" s="506"/>
      <c r="C52" s="423" t="s">
        <v>1051</v>
      </c>
      <c r="D52" s="420" t="s">
        <v>1052</v>
      </c>
      <c r="E52" s="423" t="s">
        <v>1053</v>
      </c>
      <c r="F52" s="487" t="s">
        <v>1093</v>
      </c>
      <c r="G52" s="487"/>
      <c r="H52" s="487"/>
      <c r="I52" s="487"/>
      <c r="J52" s="487"/>
      <c r="K52" s="487"/>
      <c r="L52" s="487"/>
      <c r="M52" s="498"/>
      <c r="N52" s="419" t="s">
        <v>1118</v>
      </c>
      <c r="O52" s="74" t="s">
        <v>586</v>
      </c>
      <c r="P52" s="503" t="s">
        <v>1124</v>
      </c>
      <c r="Q52" s="504"/>
      <c r="R52" s="497" t="s">
        <v>1123</v>
      </c>
      <c r="S52" s="497"/>
      <c r="T52" s="497"/>
      <c r="U52" s="497"/>
      <c r="V52" s="487" t="s">
        <v>1057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1118</v>
      </c>
      <c r="B53" s="506"/>
      <c r="C53" s="423" t="s">
        <v>139</v>
      </c>
      <c r="D53" s="420" t="s">
        <v>1103</v>
      </c>
      <c r="E53" s="423" t="s">
        <v>1114</v>
      </c>
      <c r="F53" s="487" t="s">
        <v>1057</v>
      </c>
      <c r="G53" s="487"/>
      <c r="H53" s="487"/>
      <c r="I53" s="487"/>
      <c r="J53" s="487"/>
      <c r="K53" s="487"/>
      <c r="L53" s="487"/>
      <c r="M53" s="498"/>
      <c r="N53" s="419" t="s">
        <v>1118</v>
      </c>
      <c r="O53" s="74" t="s">
        <v>596</v>
      </c>
      <c r="P53" s="503" t="s">
        <v>1126</v>
      </c>
      <c r="Q53" s="504"/>
      <c r="R53" s="497" t="s">
        <v>1125</v>
      </c>
      <c r="S53" s="497"/>
      <c r="T53" s="497"/>
      <c r="U53" s="497"/>
      <c r="V53" s="487" t="s">
        <v>1057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1119</v>
      </c>
      <c r="B54" s="506"/>
      <c r="C54" s="423" t="s">
        <v>694</v>
      </c>
      <c r="D54" s="420" t="s">
        <v>1120</v>
      </c>
      <c r="E54" s="423" t="s">
        <v>1121</v>
      </c>
      <c r="F54" s="487" t="s">
        <v>1050</v>
      </c>
      <c r="G54" s="487"/>
      <c r="H54" s="487"/>
      <c r="I54" s="487"/>
      <c r="J54" s="487"/>
      <c r="K54" s="487"/>
      <c r="L54" s="487"/>
      <c r="M54" s="498"/>
      <c r="N54" s="419" t="s">
        <v>128</v>
      </c>
      <c r="O54" s="74" t="s">
        <v>1128</v>
      </c>
      <c r="P54" s="503" t="s">
        <v>738</v>
      </c>
      <c r="Q54" s="504"/>
      <c r="R54" s="497" t="s">
        <v>1127</v>
      </c>
      <c r="S54" s="497"/>
      <c r="T54" s="497"/>
      <c r="U54" s="497"/>
      <c r="V54" s="487" t="s">
        <v>1057</v>
      </c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/>
      <c r="B55" s="506"/>
      <c r="C55" s="423"/>
      <c r="D55" s="420"/>
      <c r="E55" s="423"/>
      <c r="F55" s="487"/>
      <c r="G55" s="487"/>
      <c r="H55" s="487"/>
      <c r="I55" s="487"/>
      <c r="J55" s="487"/>
      <c r="K55" s="487"/>
      <c r="L55" s="487"/>
      <c r="M55" s="498"/>
      <c r="N55" s="419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420"/>
      <c r="D56" s="420"/>
      <c r="E56" s="423"/>
      <c r="F56" s="487"/>
      <c r="G56" s="487"/>
      <c r="H56" s="487"/>
      <c r="I56" s="487"/>
      <c r="J56" s="487"/>
      <c r="K56" s="487"/>
      <c r="L56" s="487"/>
      <c r="M56" s="498"/>
      <c r="N56" s="419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420"/>
      <c r="D57" s="420"/>
      <c r="E57" s="423"/>
      <c r="F57" s="487"/>
      <c r="G57" s="487"/>
      <c r="H57" s="487"/>
      <c r="I57" s="487"/>
      <c r="J57" s="487"/>
      <c r="K57" s="487"/>
      <c r="L57" s="487"/>
      <c r="M57" s="498"/>
      <c r="N57" s="419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423"/>
      <c r="D58" s="420"/>
      <c r="E58" s="423"/>
      <c r="F58" s="487"/>
      <c r="G58" s="487"/>
      <c r="H58" s="487"/>
      <c r="I58" s="487"/>
      <c r="J58" s="487"/>
      <c r="K58" s="487"/>
      <c r="L58" s="487"/>
      <c r="M58" s="498"/>
      <c r="N58" s="419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420"/>
      <c r="D59" s="420"/>
      <c r="E59" s="420"/>
      <c r="F59" s="487"/>
      <c r="G59" s="487"/>
      <c r="H59" s="487"/>
      <c r="I59" s="487"/>
      <c r="J59" s="487"/>
      <c r="K59" s="487"/>
      <c r="L59" s="487"/>
      <c r="M59" s="498"/>
      <c r="N59" s="419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422"/>
      <c r="D60" s="422"/>
      <c r="E60" s="422"/>
      <c r="F60" s="501"/>
      <c r="G60" s="501"/>
      <c r="H60" s="501"/>
      <c r="I60" s="501"/>
      <c r="J60" s="501"/>
      <c r="K60" s="501"/>
      <c r="L60" s="501"/>
      <c r="M60" s="502"/>
      <c r="N60" s="421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1129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418" t="s">
        <v>2</v>
      </c>
      <c r="D62" s="418" t="s">
        <v>38</v>
      </c>
      <c r="E62" s="418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418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417" t="s">
        <v>1119</v>
      </c>
      <c r="D63" s="413"/>
      <c r="E63" s="415" t="s">
        <v>1130</v>
      </c>
      <c r="F63" s="485" t="s">
        <v>1131</v>
      </c>
      <c r="G63" s="475"/>
      <c r="H63" s="475"/>
      <c r="I63" s="475"/>
      <c r="J63" s="475"/>
      <c r="K63" s="475" t="s">
        <v>1132</v>
      </c>
      <c r="L63" s="475"/>
      <c r="M63" s="54" t="s">
        <v>1133</v>
      </c>
      <c r="N63" s="475">
        <v>5</v>
      </c>
      <c r="O63" s="475"/>
      <c r="P63" s="486">
        <v>50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417" t="s">
        <v>1119</v>
      </c>
      <c r="D64" s="413"/>
      <c r="E64" s="415" t="s">
        <v>58</v>
      </c>
      <c r="F64" s="485" t="s">
        <v>1134</v>
      </c>
      <c r="G64" s="475"/>
      <c r="H64" s="475"/>
      <c r="I64" s="475"/>
      <c r="J64" s="475"/>
      <c r="K64" s="475">
        <v>7301</v>
      </c>
      <c r="L64" s="475"/>
      <c r="M64" s="54" t="s">
        <v>1135</v>
      </c>
      <c r="N64" s="475">
        <v>11</v>
      </c>
      <c r="O64" s="47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417" t="s">
        <v>842</v>
      </c>
      <c r="D65" s="413"/>
      <c r="E65" s="415" t="s">
        <v>58</v>
      </c>
      <c r="F65" s="485" t="s">
        <v>889</v>
      </c>
      <c r="G65" s="475"/>
      <c r="H65" s="475"/>
      <c r="I65" s="475"/>
      <c r="J65" s="475"/>
      <c r="K65" s="475" t="s">
        <v>890</v>
      </c>
      <c r="L65" s="475"/>
      <c r="M65" s="54" t="s">
        <v>1015</v>
      </c>
      <c r="N65" s="475">
        <v>5</v>
      </c>
      <c r="O65" s="475"/>
      <c r="P65" s="486"/>
      <c r="Q65" s="486"/>
      <c r="R65" s="487" t="s">
        <v>1136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417"/>
      <c r="D66" s="413"/>
      <c r="E66" s="415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417"/>
      <c r="D67" s="413"/>
      <c r="E67" s="415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417"/>
      <c r="D68" s="413"/>
      <c r="E68" s="415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417"/>
      <c r="D69" s="413"/>
      <c r="E69" s="415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417"/>
      <c r="D70" s="413"/>
      <c r="E70" s="415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1137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416" t="s">
        <v>2</v>
      </c>
      <c r="D72" s="416" t="s">
        <v>38</v>
      </c>
      <c r="E72" s="416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414" t="s">
        <v>62</v>
      </c>
      <c r="D73" s="414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413" t="s">
        <v>128</v>
      </c>
      <c r="D74" s="413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2">A74+1</f>
        <v>3</v>
      </c>
      <c r="B75" s="447"/>
      <c r="C75" s="413" t="s">
        <v>62</v>
      </c>
      <c r="D75" s="413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2"/>
        <v>4</v>
      </c>
      <c r="B76" s="447"/>
      <c r="C76" s="413" t="s">
        <v>62</v>
      </c>
      <c r="D76" s="413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2"/>
        <v>5</v>
      </c>
      <c r="B77" s="447"/>
      <c r="C77" s="413" t="s">
        <v>62</v>
      </c>
      <c r="D77" s="413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2"/>
        <v>6</v>
      </c>
      <c r="B78" s="447"/>
      <c r="C78" s="413" t="s">
        <v>602</v>
      </c>
      <c r="D78" s="413"/>
      <c r="E78" s="35" t="s">
        <v>1052</v>
      </c>
      <c r="F78" s="447" t="s">
        <v>1110</v>
      </c>
      <c r="G78" s="447"/>
      <c r="H78" s="447"/>
      <c r="I78" s="447"/>
      <c r="J78" s="447"/>
      <c r="K78" s="456" t="s">
        <v>1111</v>
      </c>
      <c r="L78" s="457"/>
      <c r="M78" s="457"/>
      <c r="N78" s="457"/>
      <c r="O78" s="457"/>
      <c r="P78" s="457"/>
      <c r="Q78" s="457"/>
      <c r="R78" s="457"/>
      <c r="S78" s="458"/>
      <c r="T78" s="459">
        <v>42854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2"/>
        <v>7</v>
      </c>
      <c r="B79" s="447"/>
      <c r="C79" s="413"/>
      <c r="D79" s="413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2"/>
        <v>8</v>
      </c>
      <c r="B80" s="447"/>
      <c r="C80" s="413"/>
      <c r="D80" s="413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2"/>
        <v>9</v>
      </c>
      <c r="B81" s="447"/>
      <c r="C81" s="413"/>
      <c r="D81" s="413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1138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abSelected="1"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536" t="s">
        <v>1139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537"/>
      <c r="B3" s="537"/>
      <c r="C3" s="537"/>
      <c r="D3" s="537"/>
      <c r="E3" s="537"/>
      <c r="F3" s="537"/>
      <c r="G3" s="53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538" t="s">
        <v>0</v>
      </c>
      <c r="B4" s="540" t="s">
        <v>1</v>
      </c>
      <c r="C4" s="540" t="s">
        <v>2</v>
      </c>
      <c r="D4" s="543" t="s">
        <v>3</v>
      </c>
      <c r="E4" s="545" t="s">
        <v>4</v>
      </c>
      <c r="F4" s="543" t="s">
        <v>5</v>
      </c>
      <c r="G4" s="540" t="s">
        <v>6</v>
      </c>
      <c r="H4" s="546" t="s">
        <v>7</v>
      </c>
      <c r="I4" s="526" t="s">
        <v>8</v>
      </c>
      <c r="J4" s="527"/>
      <c r="K4" s="527"/>
      <c r="L4" s="527"/>
      <c r="M4" s="527"/>
      <c r="N4" s="527"/>
      <c r="O4" s="528"/>
      <c r="P4" s="529" t="s">
        <v>9</v>
      </c>
      <c r="Q4" s="530"/>
      <c r="R4" s="531" t="s">
        <v>10</v>
      </c>
      <c r="S4" s="531"/>
      <c r="T4" s="531"/>
      <c r="U4" s="531"/>
      <c r="V4" s="531"/>
      <c r="W4" s="532" t="s">
        <v>11</v>
      </c>
      <c r="X4" s="531"/>
      <c r="Y4" s="531"/>
      <c r="Z4" s="531"/>
      <c r="AA4" s="533"/>
      <c r="AB4" s="534" t="s">
        <v>12</v>
      </c>
      <c r="AC4" s="507" t="s">
        <v>13</v>
      </c>
      <c r="AD4" s="507" t="s">
        <v>14</v>
      </c>
      <c r="AE4" s="58"/>
    </row>
    <row r="5" spans="1:32" ht="51" customHeight="1" thickBot="1">
      <c r="A5" s="539"/>
      <c r="B5" s="541"/>
      <c r="C5" s="542"/>
      <c r="D5" s="544"/>
      <c r="E5" s="544"/>
      <c r="F5" s="544"/>
      <c r="G5" s="541"/>
      <c r="H5" s="547"/>
      <c r="I5" s="59" t="s">
        <v>15</v>
      </c>
      <c r="J5" s="60" t="s">
        <v>16</v>
      </c>
      <c r="K5" s="426" t="s">
        <v>17</v>
      </c>
      <c r="L5" s="426" t="s">
        <v>18</v>
      </c>
      <c r="M5" s="426" t="s">
        <v>19</v>
      </c>
      <c r="N5" s="42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535"/>
      <c r="AC5" s="508"/>
      <c r="AD5" s="508"/>
      <c r="AE5" s="58"/>
    </row>
    <row r="6" spans="1:32" ht="27" customHeight="1">
      <c r="A6" s="108">
        <v>1</v>
      </c>
      <c r="B6" s="11" t="s">
        <v>59</v>
      </c>
      <c r="C6" s="11" t="s">
        <v>1029</v>
      </c>
      <c r="D6" s="55" t="s">
        <v>1003</v>
      </c>
      <c r="E6" s="56" t="s">
        <v>1031</v>
      </c>
      <c r="F6" s="12" t="s">
        <v>1032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0.48990327634881303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228</v>
      </c>
      <c r="D7" s="55" t="s">
        <v>1140</v>
      </c>
      <c r="E7" s="56" t="s">
        <v>1141</v>
      </c>
      <c r="F7" s="12" t="s">
        <v>1142</v>
      </c>
      <c r="G7" s="36">
        <v>2</v>
      </c>
      <c r="H7" s="38">
        <v>25</v>
      </c>
      <c r="I7" s="7">
        <v>40000</v>
      </c>
      <c r="J7" s="14">
        <v>7600</v>
      </c>
      <c r="K7" s="15">
        <f>L7</f>
        <v>7596</v>
      </c>
      <c r="L7" s="15">
        <f>3269*2+529*2</f>
        <v>7596</v>
      </c>
      <c r="M7" s="16">
        <f t="shared" si="0"/>
        <v>7596</v>
      </c>
      <c r="N7" s="16">
        <v>0</v>
      </c>
      <c r="O7" s="62">
        <f t="shared" si="1"/>
        <v>0</v>
      </c>
      <c r="P7" s="42">
        <f t="shared" si="2"/>
        <v>18</v>
      </c>
      <c r="Q7" s="43">
        <f t="shared" si="3"/>
        <v>6</v>
      </c>
      <c r="R7" s="7"/>
      <c r="S7" s="6"/>
      <c r="T7" s="17">
        <v>6</v>
      </c>
      <c r="U7" s="17"/>
      <c r="V7" s="18"/>
      <c r="W7" s="19"/>
      <c r="X7" s="17"/>
      <c r="Y7" s="20"/>
      <c r="Z7" s="20"/>
      <c r="AA7" s="21"/>
      <c r="AB7" s="8">
        <f t="shared" si="4"/>
        <v>0.99947368421052629</v>
      </c>
      <c r="AC7" s="9">
        <f t="shared" si="5"/>
        <v>0.75</v>
      </c>
      <c r="AD7" s="10">
        <f t="shared" si="6"/>
        <v>0.74960526315789466</v>
      </c>
      <c r="AE7" s="39">
        <f t="shared" si="7"/>
        <v>0.48990327634881303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128</v>
      </c>
      <c r="D8" s="55" t="s">
        <v>123</v>
      </c>
      <c r="E8" s="57" t="s">
        <v>1033</v>
      </c>
      <c r="F8" s="12" t="s">
        <v>130</v>
      </c>
      <c r="G8" s="36">
        <v>1</v>
      </c>
      <c r="H8" s="38">
        <v>25</v>
      </c>
      <c r="I8" s="7">
        <v>50000</v>
      </c>
      <c r="J8" s="14">
        <v>5780</v>
      </c>
      <c r="K8" s="15">
        <f>L8+3722+5863+5774</f>
        <v>21099</v>
      </c>
      <c r="L8" s="15">
        <f>3453+2287</f>
        <v>5740</v>
      </c>
      <c r="M8" s="16">
        <f t="shared" si="0"/>
        <v>5740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0.99307958477508651</v>
      </c>
      <c r="AC8" s="9">
        <f t="shared" si="5"/>
        <v>1</v>
      </c>
      <c r="AD8" s="10">
        <f t="shared" si="6"/>
        <v>0.99307958477508651</v>
      </c>
      <c r="AE8" s="39">
        <f t="shared" si="7"/>
        <v>0.48990327634881303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1035</v>
      </c>
      <c r="E9" s="57" t="s">
        <v>166</v>
      </c>
      <c r="F9" s="12" t="s">
        <v>127</v>
      </c>
      <c r="G9" s="12">
        <v>1</v>
      </c>
      <c r="H9" s="13">
        <v>25</v>
      </c>
      <c r="I9" s="34">
        <v>27000</v>
      </c>
      <c r="J9" s="5">
        <v>5320</v>
      </c>
      <c r="K9" s="15">
        <f>L9+3312+5792+3396</f>
        <v>17812</v>
      </c>
      <c r="L9" s="15">
        <f>3128+2184</f>
        <v>5312</v>
      </c>
      <c r="M9" s="16">
        <f t="shared" si="0"/>
        <v>5312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0.99849624060150377</v>
      </c>
      <c r="AC9" s="9">
        <f t="shared" si="5"/>
        <v>1</v>
      </c>
      <c r="AD9" s="10">
        <f t="shared" si="6"/>
        <v>0.99849624060150377</v>
      </c>
      <c r="AE9" s="39">
        <f t="shared" si="7"/>
        <v>0.48990327634881303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128</v>
      </c>
      <c r="D10" s="55" t="s">
        <v>1103</v>
      </c>
      <c r="E10" s="57" t="s">
        <v>1104</v>
      </c>
      <c r="F10" s="12" t="s">
        <v>1115</v>
      </c>
      <c r="G10" s="12">
        <v>16</v>
      </c>
      <c r="H10" s="13">
        <v>25</v>
      </c>
      <c r="I10" s="34">
        <v>70000</v>
      </c>
      <c r="J10" s="14">
        <v>74150</v>
      </c>
      <c r="K10" s="15">
        <f>L10+58384</f>
        <v>134528</v>
      </c>
      <c r="L10" s="15">
        <f>2391*16+2368*16</f>
        <v>76144</v>
      </c>
      <c r="M10" s="16">
        <f t="shared" si="0"/>
        <v>76144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1.0268914362778152</v>
      </c>
      <c r="AC10" s="9">
        <f t="shared" si="5"/>
        <v>1</v>
      </c>
      <c r="AD10" s="10">
        <f t="shared" si="6"/>
        <v>1.0268914362778152</v>
      </c>
      <c r="AE10" s="39">
        <f t="shared" si="7"/>
        <v>0.48990327634881303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602</v>
      </c>
      <c r="D11" s="55" t="s">
        <v>1052</v>
      </c>
      <c r="E11" s="57" t="s">
        <v>1053</v>
      </c>
      <c r="F11" s="12" t="s">
        <v>212</v>
      </c>
      <c r="G11" s="12">
        <v>1</v>
      </c>
      <c r="H11" s="13">
        <v>25</v>
      </c>
      <c r="I11" s="34">
        <v>10000</v>
      </c>
      <c r="J11" s="14">
        <v>2520</v>
      </c>
      <c r="K11" s="15">
        <f>L11+2519</f>
        <v>2519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0.48990327634881303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228</v>
      </c>
      <c r="D12" s="55" t="s">
        <v>123</v>
      </c>
      <c r="E12" s="57" t="s">
        <v>1143</v>
      </c>
      <c r="F12" s="12" t="s">
        <v>1079</v>
      </c>
      <c r="G12" s="12">
        <v>1</v>
      </c>
      <c r="H12" s="13">
        <v>25</v>
      </c>
      <c r="I12" s="34">
        <v>7000</v>
      </c>
      <c r="J12" s="5">
        <v>3670</v>
      </c>
      <c r="K12" s="15">
        <f>L12</f>
        <v>3669</v>
      </c>
      <c r="L12" s="15">
        <f>2423+1246</f>
        <v>3669</v>
      </c>
      <c r="M12" s="16">
        <f t="shared" si="0"/>
        <v>3669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>
        <v>5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0.99972752043596735</v>
      </c>
      <c r="AC12" s="9">
        <f t="shared" si="5"/>
        <v>0.79166666666666663</v>
      </c>
      <c r="AD12" s="10">
        <f t="shared" si="6"/>
        <v>0.79145095367847407</v>
      </c>
      <c r="AE12" s="39">
        <f t="shared" si="7"/>
        <v>0.48990327634881303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602</v>
      </c>
      <c r="D13" s="55" t="s">
        <v>1035</v>
      </c>
      <c r="E13" s="57" t="s">
        <v>1037</v>
      </c>
      <c r="F13" s="12" t="s">
        <v>1038</v>
      </c>
      <c r="G13" s="12">
        <v>1</v>
      </c>
      <c r="H13" s="13">
        <v>25</v>
      </c>
      <c r="I13" s="7">
        <v>10000</v>
      </c>
      <c r="J13" s="14">
        <v>4310</v>
      </c>
      <c r="K13" s="15">
        <f>L13+3575+4880+4303</f>
        <v>12758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0.48990327634881303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228</v>
      </c>
      <c r="D14" s="55" t="s">
        <v>499</v>
      </c>
      <c r="E14" s="57" t="s">
        <v>720</v>
      </c>
      <c r="F14" s="33" t="s">
        <v>625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0.48990327634881303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340</v>
      </c>
      <c r="E15" s="57" t="s">
        <v>748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0.48990327634881303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825</v>
      </c>
      <c r="D16" s="55" t="s">
        <v>423</v>
      </c>
      <c r="E16" s="57" t="s">
        <v>827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0.48990327634881303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128</v>
      </c>
      <c r="D17" s="55" t="s">
        <v>1061</v>
      </c>
      <c r="E17" s="56" t="s">
        <v>1080</v>
      </c>
      <c r="F17" s="12" t="s">
        <v>1081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0.48990327634881303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659</v>
      </c>
      <c r="D18" s="55" t="s">
        <v>58</v>
      </c>
      <c r="E18" s="57" t="s">
        <v>951</v>
      </c>
      <c r="F18" s="12" t="s">
        <v>952</v>
      </c>
      <c r="G18" s="12">
        <v>1</v>
      </c>
      <c r="H18" s="13">
        <v>25</v>
      </c>
      <c r="I18" s="34">
        <f>9000+13000</f>
        <v>22000</v>
      </c>
      <c r="J18" s="5">
        <v>4430</v>
      </c>
      <c r="K18" s="15">
        <f>L18+3993+731+2451+2288+3249</f>
        <v>17134</v>
      </c>
      <c r="L18" s="15">
        <f>2921+1501</f>
        <v>4422</v>
      </c>
      <c r="M18" s="16">
        <f t="shared" si="0"/>
        <v>4422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0.99819413092550791</v>
      </c>
      <c r="AC18" s="9">
        <f t="shared" si="5"/>
        <v>0.875</v>
      </c>
      <c r="AD18" s="10">
        <f t="shared" si="6"/>
        <v>0.87341986455981946</v>
      </c>
      <c r="AE18" s="39">
        <f t="shared" si="7"/>
        <v>0.48990327634881303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128</v>
      </c>
      <c r="D19" s="55" t="s">
        <v>1145</v>
      </c>
      <c r="E19" s="57" t="s">
        <v>1144</v>
      </c>
      <c r="F19" s="33" t="s">
        <v>215</v>
      </c>
      <c r="G19" s="36">
        <v>1</v>
      </c>
      <c r="H19" s="38">
        <v>25</v>
      </c>
      <c r="I19" s="34">
        <v>7000</v>
      </c>
      <c r="J19" s="5">
        <v>4500</v>
      </c>
      <c r="K19" s="15">
        <f>L19</f>
        <v>4495</v>
      </c>
      <c r="L19" s="15">
        <f>3055+1440</f>
        <v>4495</v>
      </c>
      <c r="M19" s="16">
        <f t="shared" si="0"/>
        <v>4495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0.99888888888888894</v>
      </c>
      <c r="AC19" s="9">
        <f t="shared" si="5"/>
        <v>0.91666666666666663</v>
      </c>
      <c r="AD19" s="10">
        <f t="shared" si="6"/>
        <v>0.91564814814814821</v>
      </c>
      <c r="AE19" s="39">
        <f t="shared" si="7"/>
        <v>0.48990327634881303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1085</v>
      </c>
      <c r="F20" s="12" t="s">
        <v>120</v>
      </c>
      <c r="G20" s="12">
        <v>4</v>
      </c>
      <c r="H20" s="38">
        <v>20</v>
      </c>
      <c r="I20" s="7">
        <v>100000</v>
      </c>
      <c r="J20" s="14">
        <v>47230</v>
      </c>
      <c r="K20" s="15">
        <f>L20+22056+47180</f>
        <v>116464</v>
      </c>
      <c r="L20" s="15">
        <f>6895*4+4912*4</f>
        <v>47228</v>
      </c>
      <c r="M20" s="16">
        <f t="shared" si="0"/>
        <v>47228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0.99995765403345327</v>
      </c>
      <c r="AC20" s="9">
        <f t="shared" si="5"/>
        <v>1</v>
      </c>
      <c r="AD20" s="10">
        <f t="shared" si="6"/>
        <v>0.99995765403345327</v>
      </c>
      <c r="AE20" s="39">
        <f t="shared" si="7"/>
        <v>0.48990327634881303</v>
      </c>
      <c r="AF20" s="94">
        <f t="shared" si="8"/>
        <v>15</v>
      </c>
    </row>
    <row r="21" spans="1:32" ht="31.5" customHeight="1" thickBot="1">
      <c r="A21" s="509" t="s">
        <v>34</v>
      </c>
      <c r="B21" s="510"/>
      <c r="C21" s="510"/>
      <c r="D21" s="510"/>
      <c r="E21" s="510"/>
      <c r="F21" s="510"/>
      <c r="G21" s="510"/>
      <c r="H21" s="511"/>
      <c r="I21" s="25">
        <f t="shared" ref="I21:N21" si="10">SUM(I6:I20)</f>
        <v>396500</v>
      </c>
      <c r="J21" s="22">
        <f t="shared" si="10"/>
        <v>184770</v>
      </c>
      <c r="K21" s="23">
        <f t="shared" si="10"/>
        <v>413383</v>
      </c>
      <c r="L21" s="24">
        <f t="shared" si="10"/>
        <v>154606</v>
      </c>
      <c r="M21" s="23">
        <f t="shared" si="10"/>
        <v>154606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176</v>
      </c>
      <c r="Q21" s="46">
        <f t="shared" si="11"/>
        <v>184</v>
      </c>
      <c r="R21" s="26">
        <f t="shared" si="11"/>
        <v>0</v>
      </c>
      <c r="S21" s="27">
        <f t="shared" si="11"/>
        <v>34</v>
      </c>
      <c r="T21" s="27">
        <f t="shared" si="11"/>
        <v>6</v>
      </c>
      <c r="U21" s="27">
        <f t="shared" si="11"/>
        <v>0</v>
      </c>
      <c r="V21" s="28">
        <f t="shared" si="11"/>
        <v>0</v>
      </c>
      <c r="W21" s="29">
        <f t="shared" si="11"/>
        <v>120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0.53431394267658328</v>
      </c>
      <c r="AC21" s="4">
        <f>SUM(AC6:AC20)/15</f>
        <v>0.48888888888888893</v>
      </c>
      <c r="AD21" s="4">
        <f>SUM(AD6:AD20)/15</f>
        <v>0.48990327634881303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512" t="s">
        <v>46</v>
      </c>
      <c r="B48" s="512"/>
      <c r="C48" s="512"/>
      <c r="D48" s="512"/>
      <c r="E48" s="51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513" t="s">
        <v>1146</v>
      </c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5"/>
      <c r="N49" s="516" t="s">
        <v>1158</v>
      </c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8"/>
    </row>
    <row r="50" spans="1:32" ht="27" customHeight="1">
      <c r="A50" s="519" t="s">
        <v>2</v>
      </c>
      <c r="B50" s="520"/>
      <c r="C50" s="427" t="s">
        <v>47</v>
      </c>
      <c r="D50" s="427" t="s">
        <v>48</v>
      </c>
      <c r="E50" s="427" t="s">
        <v>113</v>
      </c>
      <c r="F50" s="520" t="s">
        <v>112</v>
      </c>
      <c r="G50" s="520"/>
      <c r="H50" s="520"/>
      <c r="I50" s="520"/>
      <c r="J50" s="520"/>
      <c r="K50" s="520"/>
      <c r="L50" s="520"/>
      <c r="M50" s="521"/>
      <c r="N50" s="73" t="s">
        <v>117</v>
      </c>
      <c r="O50" s="427" t="s">
        <v>47</v>
      </c>
      <c r="P50" s="522" t="s">
        <v>48</v>
      </c>
      <c r="Q50" s="523"/>
      <c r="R50" s="522" t="s">
        <v>39</v>
      </c>
      <c r="S50" s="524"/>
      <c r="T50" s="524"/>
      <c r="U50" s="523"/>
      <c r="V50" s="522" t="s">
        <v>49</v>
      </c>
      <c r="W50" s="524"/>
      <c r="X50" s="524"/>
      <c r="Y50" s="524"/>
      <c r="Z50" s="524"/>
      <c r="AA50" s="524"/>
      <c r="AB50" s="524"/>
      <c r="AC50" s="524"/>
      <c r="AD50" s="525"/>
    </row>
    <row r="51" spans="1:32" ht="27" customHeight="1">
      <c r="A51" s="505" t="s">
        <v>964</v>
      </c>
      <c r="B51" s="506"/>
      <c r="C51" s="428" t="s">
        <v>965</v>
      </c>
      <c r="D51" s="429" t="s">
        <v>58</v>
      </c>
      <c r="E51" s="428" t="s">
        <v>951</v>
      </c>
      <c r="F51" s="487" t="s">
        <v>1147</v>
      </c>
      <c r="G51" s="487"/>
      <c r="H51" s="487"/>
      <c r="I51" s="487"/>
      <c r="J51" s="487"/>
      <c r="K51" s="487"/>
      <c r="L51" s="487"/>
      <c r="M51" s="498"/>
      <c r="N51" s="430" t="s">
        <v>206</v>
      </c>
      <c r="O51" s="74" t="s">
        <v>465</v>
      </c>
      <c r="P51" s="503" t="s">
        <v>121</v>
      </c>
      <c r="Q51" s="504"/>
      <c r="R51" s="497" t="s">
        <v>673</v>
      </c>
      <c r="S51" s="497"/>
      <c r="T51" s="497"/>
      <c r="U51" s="497"/>
      <c r="V51" s="487" t="s">
        <v>1045</v>
      </c>
      <c r="W51" s="487"/>
      <c r="X51" s="487"/>
      <c r="Y51" s="487"/>
      <c r="Z51" s="487"/>
      <c r="AA51" s="487"/>
      <c r="AB51" s="487"/>
      <c r="AC51" s="487"/>
      <c r="AD51" s="498"/>
    </row>
    <row r="52" spans="1:32" ht="27" customHeight="1">
      <c r="A52" s="505" t="s">
        <v>1005</v>
      </c>
      <c r="B52" s="506"/>
      <c r="C52" s="428" t="s">
        <v>1148</v>
      </c>
      <c r="D52" s="429" t="s">
        <v>1149</v>
      </c>
      <c r="E52" s="428" t="s">
        <v>1141</v>
      </c>
      <c r="F52" s="487" t="s">
        <v>1004</v>
      </c>
      <c r="G52" s="487"/>
      <c r="H52" s="487"/>
      <c r="I52" s="487"/>
      <c r="J52" s="487"/>
      <c r="K52" s="487"/>
      <c r="L52" s="487"/>
      <c r="M52" s="498"/>
      <c r="N52" s="430" t="s">
        <v>1005</v>
      </c>
      <c r="O52" s="74" t="s">
        <v>596</v>
      </c>
      <c r="P52" s="503" t="s">
        <v>1126</v>
      </c>
      <c r="Q52" s="504"/>
      <c r="R52" s="497" t="s">
        <v>1125</v>
      </c>
      <c r="S52" s="497"/>
      <c r="T52" s="497"/>
      <c r="U52" s="497"/>
      <c r="V52" s="487" t="s">
        <v>1155</v>
      </c>
      <c r="W52" s="487"/>
      <c r="X52" s="487"/>
      <c r="Y52" s="487"/>
      <c r="Z52" s="487"/>
      <c r="AA52" s="487"/>
      <c r="AB52" s="487"/>
      <c r="AC52" s="487"/>
      <c r="AD52" s="498"/>
    </row>
    <row r="53" spans="1:32" ht="27" customHeight="1">
      <c r="A53" s="505" t="s">
        <v>1005</v>
      </c>
      <c r="B53" s="506"/>
      <c r="C53" s="428" t="s">
        <v>192</v>
      </c>
      <c r="D53" s="429" t="s">
        <v>1150</v>
      </c>
      <c r="E53" s="428" t="s">
        <v>1143</v>
      </c>
      <c r="F53" s="487" t="s">
        <v>1154</v>
      </c>
      <c r="G53" s="487"/>
      <c r="H53" s="487"/>
      <c r="I53" s="487"/>
      <c r="J53" s="487"/>
      <c r="K53" s="487"/>
      <c r="L53" s="487"/>
      <c r="M53" s="498"/>
      <c r="N53" s="430" t="s">
        <v>128</v>
      </c>
      <c r="O53" s="74" t="s">
        <v>139</v>
      </c>
      <c r="P53" s="503" t="s">
        <v>1156</v>
      </c>
      <c r="Q53" s="504"/>
      <c r="R53" s="497" t="s">
        <v>1157</v>
      </c>
      <c r="S53" s="497"/>
      <c r="T53" s="497"/>
      <c r="U53" s="497"/>
      <c r="V53" s="487" t="s">
        <v>1004</v>
      </c>
      <c r="W53" s="487"/>
      <c r="X53" s="487"/>
      <c r="Y53" s="487"/>
      <c r="Z53" s="487"/>
      <c r="AA53" s="487"/>
      <c r="AB53" s="487"/>
      <c r="AC53" s="487"/>
      <c r="AD53" s="498"/>
    </row>
    <row r="54" spans="1:32" ht="27" customHeight="1">
      <c r="A54" s="505" t="s">
        <v>1005</v>
      </c>
      <c r="B54" s="506"/>
      <c r="C54" s="428" t="s">
        <v>1151</v>
      </c>
      <c r="D54" s="429" t="s">
        <v>1152</v>
      </c>
      <c r="E54" s="428" t="s">
        <v>1153</v>
      </c>
      <c r="F54" s="487" t="s">
        <v>1004</v>
      </c>
      <c r="G54" s="487"/>
      <c r="H54" s="487"/>
      <c r="I54" s="487"/>
      <c r="J54" s="487"/>
      <c r="K54" s="487"/>
      <c r="L54" s="487"/>
      <c r="M54" s="498"/>
      <c r="N54" s="430"/>
      <c r="O54" s="74"/>
      <c r="P54" s="503"/>
      <c r="Q54" s="504"/>
      <c r="R54" s="497"/>
      <c r="S54" s="497"/>
      <c r="T54" s="497"/>
      <c r="U54" s="497"/>
      <c r="V54" s="487"/>
      <c r="W54" s="487"/>
      <c r="X54" s="487"/>
      <c r="Y54" s="487"/>
      <c r="Z54" s="487"/>
      <c r="AA54" s="487"/>
      <c r="AB54" s="487"/>
      <c r="AC54" s="487"/>
      <c r="AD54" s="498"/>
    </row>
    <row r="55" spans="1:32" ht="27" customHeight="1">
      <c r="A55" s="505"/>
      <c r="B55" s="506"/>
      <c r="C55" s="428"/>
      <c r="D55" s="429"/>
      <c r="E55" s="428"/>
      <c r="F55" s="487"/>
      <c r="G55" s="487"/>
      <c r="H55" s="487"/>
      <c r="I55" s="487"/>
      <c r="J55" s="487"/>
      <c r="K55" s="487"/>
      <c r="L55" s="487"/>
      <c r="M55" s="498"/>
      <c r="N55" s="430"/>
      <c r="O55" s="74"/>
      <c r="P55" s="503"/>
      <c r="Q55" s="504"/>
      <c r="R55" s="497"/>
      <c r="S55" s="497"/>
      <c r="T55" s="497"/>
      <c r="U55" s="497"/>
      <c r="V55" s="487"/>
      <c r="W55" s="487"/>
      <c r="X55" s="487"/>
      <c r="Y55" s="487"/>
      <c r="Z55" s="487"/>
      <c r="AA55" s="487"/>
      <c r="AB55" s="487"/>
      <c r="AC55" s="487"/>
      <c r="AD55" s="498"/>
    </row>
    <row r="56" spans="1:32" ht="27" customHeight="1">
      <c r="A56" s="496"/>
      <c r="B56" s="497"/>
      <c r="C56" s="429"/>
      <c r="D56" s="429"/>
      <c r="E56" s="428"/>
      <c r="F56" s="487"/>
      <c r="G56" s="487"/>
      <c r="H56" s="487"/>
      <c r="I56" s="487"/>
      <c r="J56" s="487"/>
      <c r="K56" s="487"/>
      <c r="L56" s="487"/>
      <c r="M56" s="498"/>
      <c r="N56" s="430"/>
      <c r="O56" s="74"/>
      <c r="P56" s="497"/>
      <c r="Q56" s="497"/>
      <c r="R56" s="497"/>
      <c r="S56" s="497"/>
      <c r="T56" s="497"/>
      <c r="U56" s="497"/>
      <c r="V56" s="487"/>
      <c r="W56" s="487"/>
      <c r="X56" s="487"/>
      <c r="Y56" s="487"/>
      <c r="Z56" s="487"/>
      <c r="AA56" s="487"/>
      <c r="AB56" s="487"/>
      <c r="AC56" s="487"/>
      <c r="AD56" s="498"/>
    </row>
    <row r="57" spans="1:32" ht="27" customHeight="1">
      <c r="A57" s="496"/>
      <c r="B57" s="497"/>
      <c r="C57" s="429"/>
      <c r="D57" s="429"/>
      <c r="E57" s="428"/>
      <c r="F57" s="487"/>
      <c r="G57" s="487"/>
      <c r="H57" s="487"/>
      <c r="I57" s="487"/>
      <c r="J57" s="487"/>
      <c r="K57" s="487"/>
      <c r="L57" s="487"/>
      <c r="M57" s="498"/>
      <c r="N57" s="430"/>
      <c r="O57" s="74"/>
      <c r="P57" s="503"/>
      <c r="Q57" s="504"/>
      <c r="R57" s="497"/>
      <c r="S57" s="497"/>
      <c r="T57" s="497"/>
      <c r="U57" s="497"/>
      <c r="V57" s="487"/>
      <c r="W57" s="487"/>
      <c r="X57" s="487"/>
      <c r="Y57" s="487"/>
      <c r="Z57" s="487"/>
      <c r="AA57" s="487"/>
      <c r="AB57" s="487"/>
      <c r="AC57" s="487"/>
      <c r="AD57" s="498"/>
    </row>
    <row r="58" spans="1:32" ht="27" customHeight="1">
      <c r="A58" s="505"/>
      <c r="B58" s="506"/>
      <c r="C58" s="428"/>
      <c r="D58" s="429"/>
      <c r="E58" s="428"/>
      <c r="F58" s="487"/>
      <c r="G58" s="487"/>
      <c r="H58" s="487"/>
      <c r="I58" s="487"/>
      <c r="J58" s="487"/>
      <c r="K58" s="487"/>
      <c r="L58" s="487"/>
      <c r="M58" s="498"/>
      <c r="N58" s="430"/>
      <c r="O58" s="74"/>
      <c r="P58" s="497"/>
      <c r="Q58" s="497"/>
      <c r="R58" s="497"/>
      <c r="S58" s="497"/>
      <c r="T58" s="497"/>
      <c r="U58" s="497"/>
      <c r="V58" s="487"/>
      <c r="W58" s="487"/>
      <c r="X58" s="487"/>
      <c r="Y58" s="487"/>
      <c r="Z58" s="487"/>
      <c r="AA58" s="487"/>
      <c r="AB58" s="487"/>
      <c r="AC58" s="487"/>
      <c r="AD58" s="498"/>
    </row>
    <row r="59" spans="1:32" ht="27" customHeight="1">
      <c r="A59" s="496"/>
      <c r="B59" s="497"/>
      <c r="C59" s="429"/>
      <c r="D59" s="429"/>
      <c r="E59" s="429"/>
      <c r="F59" s="487"/>
      <c r="G59" s="487"/>
      <c r="H59" s="487"/>
      <c r="I59" s="487"/>
      <c r="J59" s="487"/>
      <c r="K59" s="487"/>
      <c r="L59" s="487"/>
      <c r="M59" s="498"/>
      <c r="N59" s="430"/>
      <c r="O59" s="74"/>
      <c r="P59" s="497"/>
      <c r="Q59" s="497"/>
      <c r="R59" s="497"/>
      <c r="S59" s="497"/>
      <c r="T59" s="497"/>
      <c r="U59" s="497"/>
      <c r="V59" s="487"/>
      <c r="W59" s="487"/>
      <c r="X59" s="487"/>
      <c r="Y59" s="487"/>
      <c r="Z59" s="487"/>
      <c r="AA59" s="487"/>
      <c r="AB59" s="487"/>
      <c r="AC59" s="487"/>
      <c r="AD59" s="498"/>
      <c r="AF59" s="94">
        <f>8*3000</f>
        <v>24000</v>
      </c>
    </row>
    <row r="60" spans="1:32" ht="27" customHeight="1" thickBot="1">
      <c r="A60" s="499"/>
      <c r="B60" s="500"/>
      <c r="C60" s="432"/>
      <c r="D60" s="432"/>
      <c r="E60" s="432"/>
      <c r="F60" s="501"/>
      <c r="G60" s="501"/>
      <c r="H60" s="501"/>
      <c r="I60" s="501"/>
      <c r="J60" s="501"/>
      <c r="K60" s="501"/>
      <c r="L60" s="501"/>
      <c r="M60" s="502"/>
      <c r="N60" s="431"/>
      <c r="O60" s="121"/>
      <c r="P60" s="500"/>
      <c r="Q60" s="500"/>
      <c r="R60" s="500"/>
      <c r="S60" s="500"/>
      <c r="T60" s="500"/>
      <c r="U60" s="500"/>
      <c r="V60" s="501"/>
      <c r="W60" s="501"/>
      <c r="X60" s="501"/>
      <c r="Y60" s="501"/>
      <c r="Z60" s="501"/>
      <c r="AA60" s="501"/>
      <c r="AB60" s="501"/>
      <c r="AC60" s="501"/>
      <c r="AD60" s="502"/>
      <c r="AF60" s="94">
        <f>16*3000</f>
        <v>48000</v>
      </c>
    </row>
    <row r="61" spans="1:32" ht="27.75" thickBot="1">
      <c r="A61" s="494" t="s">
        <v>1159</v>
      </c>
      <c r="B61" s="494"/>
      <c r="C61" s="494"/>
      <c r="D61" s="494"/>
      <c r="E61" s="49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95" t="s">
        <v>118</v>
      </c>
      <c r="B62" s="492"/>
      <c r="C62" s="433" t="s">
        <v>2</v>
      </c>
      <c r="D62" s="433" t="s">
        <v>38</v>
      </c>
      <c r="E62" s="433" t="s">
        <v>3</v>
      </c>
      <c r="F62" s="492" t="s">
        <v>115</v>
      </c>
      <c r="G62" s="492"/>
      <c r="H62" s="492"/>
      <c r="I62" s="492"/>
      <c r="J62" s="492"/>
      <c r="K62" s="492" t="s">
        <v>40</v>
      </c>
      <c r="L62" s="492"/>
      <c r="M62" s="433" t="s">
        <v>41</v>
      </c>
      <c r="N62" s="492" t="s">
        <v>42</v>
      </c>
      <c r="O62" s="492"/>
      <c r="P62" s="489" t="s">
        <v>43</v>
      </c>
      <c r="Q62" s="491"/>
      <c r="R62" s="489" t="s">
        <v>44</v>
      </c>
      <c r="S62" s="490"/>
      <c r="T62" s="490"/>
      <c r="U62" s="490"/>
      <c r="V62" s="490"/>
      <c r="W62" s="490"/>
      <c r="X62" s="490"/>
      <c r="Y62" s="490"/>
      <c r="Z62" s="490"/>
      <c r="AA62" s="491"/>
      <c r="AB62" s="492" t="s">
        <v>45</v>
      </c>
      <c r="AC62" s="492"/>
      <c r="AD62" s="493"/>
      <c r="AF62" s="94">
        <f>SUM(AF59:AF61)</f>
        <v>96000</v>
      </c>
    </row>
    <row r="63" spans="1:32" ht="25.5" customHeight="1">
      <c r="A63" s="483">
        <v>1</v>
      </c>
      <c r="B63" s="484"/>
      <c r="C63" s="435" t="s">
        <v>122</v>
      </c>
      <c r="D63" s="437"/>
      <c r="E63" s="434" t="s">
        <v>1160</v>
      </c>
      <c r="F63" s="485" t="s">
        <v>1161</v>
      </c>
      <c r="G63" s="475"/>
      <c r="H63" s="475"/>
      <c r="I63" s="475"/>
      <c r="J63" s="475"/>
      <c r="K63" s="475">
        <v>7301</v>
      </c>
      <c r="L63" s="475"/>
      <c r="M63" s="54" t="s">
        <v>1162</v>
      </c>
      <c r="N63" s="475">
        <v>8</v>
      </c>
      <c r="O63" s="475"/>
      <c r="P63" s="486">
        <v>1300</v>
      </c>
      <c r="Q63" s="486"/>
      <c r="R63" s="487"/>
      <c r="S63" s="487"/>
      <c r="T63" s="487"/>
      <c r="U63" s="487"/>
      <c r="V63" s="487"/>
      <c r="W63" s="487"/>
      <c r="X63" s="487"/>
      <c r="Y63" s="487"/>
      <c r="Z63" s="487"/>
      <c r="AA63" s="487"/>
      <c r="AB63" s="475"/>
      <c r="AC63" s="475"/>
      <c r="AD63" s="476"/>
      <c r="AF63" s="53"/>
    </row>
    <row r="64" spans="1:32" ht="25.5" customHeight="1">
      <c r="A64" s="483">
        <v>2</v>
      </c>
      <c r="B64" s="484"/>
      <c r="C64" s="435" t="s">
        <v>122</v>
      </c>
      <c r="D64" s="437"/>
      <c r="E64" s="434" t="s">
        <v>1163</v>
      </c>
      <c r="F64" s="485" t="s">
        <v>1164</v>
      </c>
      <c r="G64" s="475"/>
      <c r="H64" s="475"/>
      <c r="I64" s="475"/>
      <c r="J64" s="475"/>
      <c r="K64" s="475">
        <v>7301</v>
      </c>
      <c r="L64" s="475"/>
      <c r="M64" s="54" t="s">
        <v>1135</v>
      </c>
      <c r="N64" s="475">
        <v>8</v>
      </c>
      <c r="O64" s="47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5"/>
      <c r="AC64" s="475"/>
      <c r="AD64" s="476"/>
    </row>
    <row r="65" spans="1:32" ht="25.5" customHeight="1">
      <c r="A65" s="483">
        <v>3</v>
      </c>
      <c r="B65" s="484"/>
      <c r="C65" s="435" t="s">
        <v>122</v>
      </c>
      <c r="D65" s="437"/>
      <c r="E65" s="434" t="s">
        <v>1165</v>
      </c>
      <c r="F65" s="485" t="s">
        <v>1166</v>
      </c>
      <c r="G65" s="475"/>
      <c r="H65" s="475"/>
      <c r="I65" s="475"/>
      <c r="J65" s="475"/>
      <c r="K65" s="475">
        <v>7301</v>
      </c>
      <c r="L65" s="475"/>
      <c r="M65" s="54" t="s">
        <v>1135</v>
      </c>
      <c r="N65" s="475">
        <v>8</v>
      </c>
      <c r="O65" s="475"/>
      <c r="P65" s="486">
        <v>100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5"/>
      <c r="AC65" s="475"/>
      <c r="AD65" s="476"/>
      <c r="AF65" s="53"/>
    </row>
    <row r="66" spans="1:32" ht="25.5" customHeight="1">
      <c r="A66" s="483">
        <v>4</v>
      </c>
      <c r="B66" s="484"/>
      <c r="C66" s="435"/>
      <c r="D66" s="437"/>
      <c r="E66" s="434"/>
      <c r="F66" s="475"/>
      <c r="G66" s="475"/>
      <c r="H66" s="475"/>
      <c r="I66" s="475"/>
      <c r="J66" s="475"/>
      <c r="K66" s="475"/>
      <c r="L66" s="475"/>
      <c r="M66" s="54"/>
      <c r="N66" s="475"/>
      <c r="O66" s="47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5"/>
      <c r="AC66" s="475"/>
      <c r="AD66" s="476"/>
      <c r="AF66" s="53"/>
    </row>
    <row r="67" spans="1:32" ht="25.5" customHeight="1">
      <c r="A67" s="483">
        <v>5</v>
      </c>
      <c r="B67" s="484"/>
      <c r="C67" s="435"/>
      <c r="D67" s="437"/>
      <c r="E67" s="434"/>
      <c r="F67" s="475"/>
      <c r="G67" s="475"/>
      <c r="H67" s="475"/>
      <c r="I67" s="475"/>
      <c r="J67" s="475"/>
      <c r="K67" s="475"/>
      <c r="L67" s="475"/>
      <c r="M67" s="54"/>
      <c r="N67" s="475"/>
      <c r="O67" s="47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5"/>
      <c r="AC67" s="475"/>
      <c r="AD67" s="476"/>
      <c r="AF67" s="53"/>
    </row>
    <row r="68" spans="1:32" ht="25.5" customHeight="1">
      <c r="A68" s="483">
        <v>6</v>
      </c>
      <c r="B68" s="484"/>
      <c r="C68" s="435"/>
      <c r="D68" s="437"/>
      <c r="E68" s="434"/>
      <c r="F68" s="485"/>
      <c r="G68" s="475"/>
      <c r="H68" s="475"/>
      <c r="I68" s="475"/>
      <c r="J68" s="475"/>
      <c r="K68" s="475"/>
      <c r="L68" s="475"/>
      <c r="M68" s="54"/>
      <c r="N68" s="475"/>
      <c r="O68" s="47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5"/>
      <c r="AC68" s="475"/>
      <c r="AD68" s="476"/>
      <c r="AF68" s="53"/>
    </row>
    <row r="69" spans="1:32" ht="25.5" customHeight="1">
      <c r="A69" s="483">
        <v>7</v>
      </c>
      <c r="B69" s="484"/>
      <c r="C69" s="435"/>
      <c r="D69" s="437"/>
      <c r="E69" s="434"/>
      <c r="F69" s="485"/>
      <c r="G69" s="475"/>
      <c r="H69" s="475"/>
      <c r="I69" s="475"/>
      <c r="J69" s="475"/>
      <c r="K69" s="475"/>
      <c r="L69" s="475"/>
      <c r="M69" s="54"/>
      <c r="N69" s="475"/>
      <c r="O69" s="47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5"/>
      <c r="AC69" s="475"/>
      <c r="AD69" s="476"/>
      <c r="AF69" s="53"/>
    </row>
    <row r="70" spans="1:32" ht="25.5" customHeight="1">
      <c r="A70" s="483">
        <v>8</v>
      </c>
      <c r="B70" s="484"/>
      <c r="C70" s="435"/>
      <c r="D70" s="437"/>
      <c r="E70" s="434"/>
      <c r="F70" s="485"/>
      <c r="G70" s="475"/>
      <c r="H70" s="475"/>
      <c r="I70" s="475"/>
      <c r="J70" s="475"/>
      <c r="K70" s="475"/>
      <c r="L70" s="475"/>
      <c r="M70" s="54"/>
      <c r="N70" s="475"/>
      <c r="O70" s="47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5"/>
      <c r="AC70" s="475"/>
      <c r="AD70" s="476"/>
      <c r="AF70" s="53"/>
    </row>
    <row r="71" spans="1:32" ht="26.25" customHeight="1" thickBot="1">
      <c r="A71" s="454" t="s">
        <v>1167</v>
      </c>
      <c r="B71" s="454"/>
      <c r="C71" s="454"/>
      <c r="D71" s="454"/>
      <c r="E71" s="45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77" t="s">
        <v>118</v>
      </c>
      <c r="B72" s="478"/>
      <c r="C72" s="436" t="s">
        <v>2</v>
      </c>
      <c r="D72" s="436" t="s">
        <v>38</v>
      </c>
      <c r="E72" s="436" t="s">
        <v>3</v>
      </c>
      <c r="F72" s="478" t="s">
        <v>39</v>
      </c>
      <c r="G72" s="478"/>
      <c r="H72" s="478"/>
      <c r="I72" s="478"/>
      <c r="J72" s="478"/>
      <c r="K72" s="479" t="s">
        <v>60</v>
      </c>
      <c r="L72" s="480"/>
      <c r="M72" s="480"/>
      <c r="N72" s="480"/>
      <c r="O72" s="480"/>
      <c r="P72" s="480"/>
      <c r="Q72" s="480"/>
      <c r="R72" s="480"/>
      <c r="S72" s="481"/>
      <c r="T72" s="478" t="s">
        <v>50</v>
      </c>
      <c r="U72" s="478"/>
      <c r="V72" s="479" t="s">
        <v>51</v>
      </c>
      <c r="W72" s="481"/>
      <c r="X72" s="480" t="s">
        <v>52</v>
      </c>
      <c r="Y72" s="480"/>
      <c r="Z72" s="480"/>
      <c r="AA72" s="480"/>
      <c r="AB72" s="480"/>
      <c r="AC72" s="480"/>
      <c r="AD72" s="482"/>
      <c r="AF72" s="53"/>
    </row>
    <row r="73" spans="1:32" ht="33.75" customHeight="1">
      <c r="A73" s="462">
        <v>1</v>
      </c>
      <c r="B73" s="463"/>
      <c r="C73" s="438" t="s">
        <v>62</v>
      </c>
      <c r="D73" s="438"/>
      <c r="E73" s="71" t="s">
        <v>58</v>
      </c>
      <c r="F73" s="464" t="s">
        <v>63</v>
      </c>
      <c r="G73" s="465"/>
      <c r="H73" s="465"/>
      <c r="I73" s="465"/>
      <c r="J73" s="466"/>
      <c r="K73" s="467" t="s">
        <v>61</v>
      </c>
      <c r="L73" s="468"/>
      <c r="M73" s="468"/>
      <c r="N73" s="468"/>
      <c r="O73" s="468"/>
      <c r="P73" s="468"/>
      <c r="Q73" s="468"/>
      <c r="R73" s="468"/>
      <c r="S73" s="469"/>
      <c r="T73" s="470">
        <v>41791</v>
      </c>
      <c r="U73" s="471"/>
      <c r="V73" s="472"/>
      <c r="W73" s="472"/>
      <c r="X73" s="473"/>
      <c r="Y73" s="473"/>
      <c r="Z73" s="473"/>
      <c r="AA73" s="473"/>
      <c r="AB73" s="473"/>
      <c r="AC73" s="473"/>
      <c r="AD73" s="474"/>
      <c r="AF73" s="53"/>
    </row>
    <row r="74" spans="1:32" ht="30" customHeight="1">
      <c r="A74" s="446">
        <f>A73+1</f>
        <v>2</v>
      </c>
      <c r="B74" s="447"/>
      <c r="C74" s="437" t="s">
        <v>128</v>
      </c>
      <c r="D74" s="437"/>
      <c r="E74" s="35" t="s">
        <v>121</v>
      </c>
      <c r="F74" s="447" t="s">
        <v>132</v>
      </c>
      <c r="G74" s="447"/>
      <c r="H74" s="447"/>
      <c r="I74" s="447"/>
      <c r="J74" s="447"/>
      <c r="K74" s="456" t="s">
        <v>61</v>
      </c>
      <c r="L74" s="457"/>
      <c r="M74" s="457"/>
      <c r="N74" s="457"/>
      <c r="O74" s="457"/>
      <c r="P74" s="457"/>
      <c r="Q74" s="457"/>
      <c r="R74" s="457"/>
      <c r="S74" s="458"/>
      <c r="T74" s="459">
        <v>42779</v>
      </c>
      <c r="U74" s="459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6">
        <f t="shared" ref="A75:A81" si="12">A74+1</f>
        <v>3</v>
      </c>
      <c r="B75" s="447"/>
      <c r="C75" s="437" t="s">
        <v>62</v>
      </c>
      <c r="D75" s="437"/>
      <c r="E75" s="35" t="s">
        <v>121</v>
      </c>
      <c r="F75" s="447" t="s">
        <v>125</v>
      </c>
      <c r="G75" s="447"/>
      <c r="H75" s="447"/>
      <c r="I75" s="447"/>
      <c r="J75" s="447"/>
      <c r="K75" s="456" t="s">
        <v>61</v>
      </c>
      <c r="L75" s="457"/>
      <c r="M75" s="457"/>
      <c r="N75" s="457"/>
      <c r="O75" s="457"/>
      <c r="P75" s="457"/>
      <c r="Q75" s="457"/>
      <c r="R75" s="457"/>
      <c r="S75" s="458"/>
      <c r="T75" s="459">
        <v>42667</v>
      </c>
      <c r="U75" s="459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6">
        <f t="shared" si="12"/>
        <v>4</v>
      </c>
      <c r="B76" s="447"/>
      <c r="C76" s="437" t="s">
        <v>62</v>
      </c>
      <c r="D76" s="437"/>
      <c r="E76" s="35" t="s">
        <v>121</v>
      </c>
      <c r="F76" s="447" t="s">
        <v>265</v>
      </c>
      <c r="G76" s="447"/>
      <c r="H76" s="447"/>
      <c r="I76" s="447"/>
      <c r="J76" s="447"/>
      <c r="K76" s="456" t="s">
        <v>288</v>
      </c>
      <c r="L76" s="457"/>
      <c r="M76" s="457"/>
      <c r="N76" s="457"/>
      <c r="O76" s="457"/>
      <c r="P76" s="457"/>
      <c r="Q76" s="457"/>
      <c r="R76" s="457"/>
      <c r="S76" s="458"/>
      <c r="T76" s="459">
        <v>42829</v>
      </c>
      <c r="U76" s="459"/>
      <c r="V76" s="459"/>
      <c r="W76" s="459"/>
      <c r="X76" s="460"/>
      <c r="Y76" s="460"/>
      <c r="Z76" s="460"/>
      <c r="AA76" s="460"/>
      <c r="AB76" s="460"/>
      <c r="AC76" s="460"/>
      <c r="AD76" s="461"/>
      <c r="AF76" s="53"/>
    </row>
    <row r="77" spans="1:32" ht="30" customHeight="1">
      <c r="A77" s="446">
        <f t="shared" si="12"/>
        <v>5</v>
      </c>
      <c r="B77" s="447"/>
      <c r="C77" s="437" t="s">
        <v>62</v>
      </c>
      <c r="D77" s="437"/>
      <c r="E77" s="35" t="s">
        <v>58</v>
      </c>
      <c r="F77" s="447" t="s">
        <v>126</v>
      </c>
      <c r="G77" s="447"/>
      <c r="H77" s="447"/>
      <c r="I77" s="447"/>
      <c r="J77" s="447"/>
      <c r="K77" s="456" t="s">
        <v>61</v>
      </c>
      <c r="L77" s="457"/>
      <c r="M77" s="457"/>
      <c r="N77" s="457"/>
      <c r="O77" s="457"/>
      <c r="P77" s="457"/>
      <c r="Q77" s="457"/>
      <c r="R77" s="457"/>
      <c r="S77" s="458"/>
      <c r="T77" s="459">
        <v>42667</v>
      </c>
      <c r="U77" s="459"/>
      <c r="V77" s="459"/>
      <c r="W77" s="459"/>
      <c r="X77" s="460"/>
      <c r="Y77" s="460"/>
      <c r="Z77" s="460"/>
      <c r="AA77" s="460"/>
      <c r="AB77" s="460"/>
      <c r="AC77" s="460"/>
      <c r="AD77" s="461"/>
      <c r="AF77" s="53"/>
    </row>
    <row r="78" spans="1:32" ht="30" customHeight="1">
      <c r="A78" s="446">
        <f t="shared" si="12"/>
        <v>6</v>
      </c>
      <c r="B78" s="447"/>
      <c r="C78" s="437" t="s">
        <v>602</v>
      </c>
      <c r="D78" s="437"/>
      <c r="E78" s="35" t="s">
        <v>1052</v>
      </c>
      <c r="F78" s="447" t="s">
        <v>1110</v>
      </c>
      <c r="G78" s="447"/>
      <c r="H78" s="447"/>
      <c r="I78" s="447"/>
      <c r="J78" s="447"/>
      <c r="K78" s="456" t="s">
        <v>1111</v>
      </c>
      <c r="L78" s="457"/>
      <c r="M78" s="457"/>
      <c r="N78" s="457"/>
      <c r="O78" s="457"/>
      <c r="P78" s="457"/>
      <c r="Q78" s="457"/>
      <c r="R78" s="457"/>
      <c r="S78" s="458"/>
      <c r="T78" s="459">
        <v>42854</v>
      </c>
      <c r="U78" s="459"/>
      <c r="V78" s="459"/>
      <c r="W78" s="459"/>
      <c r="X78" s="460"/>
      <c r="Y78" s="460"/>
      <c r="Z78" s="460"/>
      <c r="AA78" s="460"/>
      <c r="AB78" s="460"/>
      <c r="AC78" s="460"/>
      <c r="AD78" s="461"/>
      <c r="AF78" s="53"/>
    </row>
    <row r="79" spans="1:32" ht="30" customHeight="1">
      <c r="A79" s="446">
        <f t="shared" si="12"/>
        <v>7</v>
      </c>
      <c r="B79" s="447"/>
      <c r="C79" s="437"/>
      <c r="D79" s="437"/>
      <c r="E79" s="35"/>
      <c r="F79" s="447"/>
      <c r="G79" s="447"/>
      <c r="H79" s="447"/>
      <c r="I79" s="447"/>
      <c r="J79" s="447"/>
      <c r="K79" s="456"/>
      <c r="L79" s="457"/>
      <c r="M79" s="457"/>
      <c r="N79" s="457"/>
      <c r="O79" s="457"/>
      <c r="P79" s="457"/>
      <c r="Q79" s="457"/>
      <c r="R79" s="457"/>
      <c r="S79" s="458"/>
      <c r="T79" s="459"/>
      <c r="U79" s="459"/>
      <c r="V79" s="459"/>
      <c r="W79" s="459"/>
      <c r="X79" s="460"/>
      <c r="Y79" s="460"/>
      <c r="Z79" s="460"/>
      <c r="AA79" s="460"/>
      <c r="AB79" s="460"/>
      <c r="AC79" s="460"/>
      <c r="AD79" s="461"/>
      <c r="AF79" s="53"/>
    </row>
    <row r="80" spans="1:32" ht="30" customHeight="1">
      <c r="A80" s="446">
        <f t="shared" si="12"/>
        <v>8</v>
      </c>
      <c r="B80" s="447"/>
      <c r="C80" s="437"/>
      <c r="D80" s="437"/>
      <c r="E80" s="35"/>
      <c r="F80" s="447"/>
      <c r="G80" s="447"/>
      <c r="H80" s="447"/>
      <c r="I80" s="447"/>
      <c r="J80" s="447"/>
      <c r="K80" s="456"/>
      <c r="L80" s="457"/>
      <c r="M80" s="457"/>
      <c r="N80" s="457"/>
      <c r="O80" s="457"/>
      <c r="P80" s="457"/>
      <c r="Q80" s="457"/>
      <c r="R80" s="457"/>
      <c r="S80" s="458"/>
      <c r="T80" s="459"/>
      <c r="U80" s="459"/>
      <c r="V80" s="459"/>
      <c r="W80" s="459"/>
      <c r="X80" s="460"/>
      <c r="Y80" s="460"/>
      <c r="Z80" s="460"/>
      <c r="AA80" s="460"/>
      <c r="AB80" s="460"/>
      <c r="AC80" s="460"/>
      <c r="AD80" s="461"/>
      <c r="AF80" s="53"/>
    </row>
    <row r="81" spans="1:32" ht="30" customHeight="1">
      <c r="A81" s="446">
        <f t="shared" si="12"/>
        <v>9</v>
      </c>
      <c r="B81" s="447"/>
      <c r="C81" s="437"/>
      <c r="D81" s="437"/>
      <c r="E81" s="35"/>
      <c r="F81" s="447"/>
      <c r="G81" s="447"/>
      <c r="H81" s="447"/>
      <c r="I81" s="447"/>
      <c r="J81" s="447"/>
      <c r="K81" s="456"/>
      <c r="L81" s="457"/>
      <c r="M81" s="457"/>
      <c r="N81" s="457"/>
      <c r="O81" s="457"/>
      <c r="P81" s="457"/>
      <c r="Q81" s="457"/>
      <c r="R81" s="457"/>
      <c r="S81" s="458"/>
      <c r="T81" s="459"/>
      <c r="U81" s="459"/>
      <c r="V81" s="459"/>
      <c r="W81" s="459"/>
      <c r="X81" s="460"/>
      <c r="Y81" s="460"/>
      <c r="Z81" s="460"/>
      <c r="AA81" s="460"/>
      <c r="AB81" s="460"/>
      <c r="AC81" s="460"/>
      <c r="AD81" s="461"/>
      <c r="AF81" s="53"/>
    </row>
    <row r="82" spans="1:32" ht="36" thickBot="1">
      <c r="A82" s="454" t="s">
        <v>1168</v>
      </c>
      <c r="B82" s="454"/>
      <c r="C82" s="454"/>
      <c r="D82" s="454"/>
      <c r="E82" s="45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55" t="s">
        <v>37</v>
      </c>
      <c r="B83" s="450"/>
      <c r="C83" s="450" t="s">
        <v>53</v>
      </c>
      <c r="D83" s="450"/>
      <c r="E83" s="450" t="s">
        <v>54</v>
      </c>
      <c r="F83" s="450"/>
      <c r="G83" s="450"/>
      <c r="H83" s="450"/>
      <c r="I83" s="450"/>
      <c r="J83" s="450"/>
      <c r="K83" s="450" t="s">
        <v>55</v>
      </c>
      <c r="L83" s="450"/>
      <c r="M83" s="450"/>
      <c r="N83" s="450"/>
      <c r="O83" s="450"/>
      <c r="P83" s="450"/>
      <c r="Q83" s="450"/>
      <c r="R83" s="450"/>
      <c r="S83" s="450"/>
      <c r="T83" s="450" t="s">
        <v>56</v>
      </c>
      <c r="U83" s="450"/>
      <c r="V83" s="450" t="s">
        <v>57</v>
      </c>
      <c r="W83" s="450"/>
      <c r="X83" s="450"/>
      <c r="Y83" s="450" t="s">
        <v>52</v>
      </c>
      <c r="Z83" s="450"/>
      <c r="AA83" s="450"/>
      <c r="AB83" s="450"/>
      <c r="AC83" s="450"/>
      <c r="AD83" s="451"/>
      <c r="AF83" s="53"/>
    </row>
    <row r="84" spans="1:32" ht="30.75" customHeight="1">
      <c r="A84" s="452">
        <v>1</v>
      </c>
      <c r="B84" s="453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9"/>
      <c r="W84" s="449"/>
      <c r="X84" s="449"/>
      <c r="Y84" s="440"/>
      <c r="Z84" s="440"/>
      <c r="AA84" s="440"/>
      <c r="AB84" s="440"/>
      <c r="AC84" s="440"/>
      <c r="AD84" s="441"/>
      <c r="AF84" s="53"/>
    </row>
    <row r="85" spans="1:32" ht="30.75" customHeight="1">
      <c r="A85" s="446">
        <v>2</v>
      </c>
      <c r="B85" s="447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9"/>
      <c r="W85" s="449"/>
      <c r="X85" s="449"/>
      <c r="Y85" s="440"/>
      <c r="Z85" s="440"/>
      <c r="AA85" s="440"/>
      <c r="AB85" s="440"/>
      <c r="AC85" s="440"/>
      <c r="AD85" s="441"/>
      <c r="AF85" s="53"/>
    </row>
    <row r="86" spans="1:32" ht="30.75" customHeight="1" thickBot="1">
      <c r="A86" s="442">
        <v>3</v>
      </c>
      <c r="B86" s="443"/>
      <c r="C86" s="443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4"/>
      <c r="Z86" s="444"/>
      <c r="AA86" s="444"/>
      <c r="AB86" s="444"/>
      <c r="AC86" s="444"/>
      <c r="AD86" s="44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이름이 지정된 범위</vt:lpstr>
      </vt:variant>
      <vt:variant>
        <vt:i4>29</vt:i4>
      </vt:variant>
    </vt:vector>
  </HeadingPairs>
  <TitlesOfParts>
    <vt:vector size="59" baseType="lpstr">
      <vt:lpstr>총괄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24</vt:lpstr>
      <vt:lpstr>25</vt:lpstr>
      <vt:lpstr>26</vt:lpstr>
      <vt:lpstr>27</vt:lpstr>
      <vt:lpstr>28</vt:lpstr>
      <vt:lpstr>29</vt:lpstr>
      <vt:lpstr>30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2017-03-14T10:12:51Z</cp:lastPrinted>
  <dcterms:created xsi:type="dcterms:W3CDTF">2014-05-16T00:06:55Z</dcterms:created>
  <dcterms:modified xsi:type="dcterms:W3CDTF">2017-05-01T07:59:35Z</dcterms:modified>
</cp:coreProperties>
</file>