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45.xml" ContentType="application/vnd.openxmlformats-officedocument.drawingml.chartshapes+xml"/>
  <Override PartName="/xl/drawings/drawing46.xml" ContentType="application/vnd.openxmlformats-officedocument.drawing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drawings/drawing47.xml" ContentType="application/vnd.openxmlformats-officedocument.drawingml.chartshapes+xml"/>
  <Override PartName="/xl/drawings/drawing48.xml" ContentType="application/vnd.openxmlformats-officedocument.drawing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drawings/drawing49.xml" ContentType="application/vnd.openxmlformats-officedocument.drawingml.chartshapes+xml"/>
  <Override PartName="/xl/drawings/drawing50.xml" ContentType="application/vnd.openxmlformats-officedocument.drawing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drawings/drawing51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480" yWindow="1350" windowWidth="14880" windowHeight="7245" activeTab="26"/>
  </bookViews>
  <sheets>
    <sheet name="총괄" sheetId="16" r:id="rId1"/>
    <sheet name="01" sheetId="920" r:id="rId2"/>
    <sheet name="02" sheetId="921" r:id="rId3"/>
    <sheet name="03" sheetId="922" r:id="rId4"/>
    <sheet name="04" sheetId="923" r:id="rId5"/>
    <sheet name="05" sheetId="924" r:id="rId6"/>
    <sheet name="06" sheetId="925" r:id="rId7"/>
    <sheet name="07" sheetId="926" r:id="rId8"/>
    <sheet name="08" sheetId="927" r:id="rId9"/>
    <sheet name="09" sheetId="928" r:id="rId10"/>
    <sheet name="10" sheetId="929" r:id="rId11"/>
    <sheet name="11" sheetId="930" r:id="rId12"/>
    <sheet name="12" sheetId="931" r:id="rId13"/>
    <sheet name="15" sheetId="932" r:id="rId14"/>
    <sheet name="Sheet2" sheetId="933" r:id="rId15"/>
    <sheet name="16" sheetId="934" r:id="rId16"/>
    <sheet name="17" sheetId="935" r:id="rId17"/>
    <sheet name="18" sheetId="936" r:id="rId18"/>
    <sheet name="19" sheetId="937" r:id="rId19"/>
    <sheet name="22" sheetId="938" r:id="rId20"/>
    <sheet name="23" sheetId="939" r:id="rId21"/>
    <sheet name="24" sheetId="940" r:id="rId22"/>
    <sheet name="25" sheetId="941" r:id="rId23"/>
    <sheet name="26" sheetId="942" r:id="rId24"/>
    <sheet name="29" sheetId="943" r:id="rId25"/>
    <sheet name="30" sheetId="944" r:id="rId26"/>
    <sheet name="31" sheetId="945" r:id="rId27"/>
  </sheets>
  <definedNames>
    <definedName name="_xlnm.Print_Area" localSheetId="1">'01'!$A$1:$AD$86</definedName>
    <definedName name="_xlnm.Print_Area" localSheetId="2">'02'!$A$1:$AD$88</definedName>
    <definedName name="_xlnm.Print_Area" localSheetId="3">'03'!$A$1:$AD$87</definedName>
    <definedName name="_xlnm.Print_Area" localSheetId="4">'04'!$A$1:$AD$86</definedName>
    <definedName name="_xlnm.Print_Area" localSheetId="5">'05'!$A$1:$AD$86</definedName>
    <definedName name="_xlnm.Print_Area" localSheetId="6">'06'!$A$1:$AD$86</definedName>
    <definedName name="_xlnm.Print_Area" localSheetId="7">'07'!$A$1:$AD$86</definedName>
    <definedName name="_xlnm.Print_Area" localSheetId="8">'08'!$A$1:$AD$86</definedName>
    <definedName name="_xlnm.Print_Area" localSheetId="9">'09'!$A$1:$AD$87</definedName>
    <definedName name="_xlnm.Print_Area" localSheetId="10">'10'!$A$1:$AD$87</definedName>
    <definedName name="_xlnm.Print_Area" localSheetId="11">'11'!$A$1:$AD$86</definedName>
    <definedName name="_xlnm.Print_Area" localSheetId="12">'12'!$A$1:$AD$86</definedName>
    <definedName name="_xlnm.Print_Area" localSheetId="13">'15'!$A$1:$AD$86</definedName>
    <definedName name="_xlnm.Print_Area" localSheetId="15">'16'!$A$1:$AD$86</definedName>
    <definedName name="_xlnm.Print_Area" localSheetId="16">'17'!$A$1:$AD$86</definedName>
    <definedName name="_xlnm.Print_Area" localSheetId="17">'18'!$A$1:$AD$86</definedName>
    <definedName name="_xlnm.Print_Area" localSheetId="18">'19'!$A$1:$AD$86</definedName>
    <definedName name="_xlnm.Print_Area" localSheetId="19">'22'!$A$1:$AD$88</definedName>
    <definedName name="_xlnm.Print_Area" localSheetId="20">'23'!$A$1:$AD$86</definedName>
    <definedName name="_xlnm.Print_Area" localSheetId="21">'24'!$A$1:$AD$87</definedName>
    <definedName name="_xlnm.Print_Area" localSheetId="22">'25'!$A$1:$AD$87</definedName>
    <definedName name="_xlnm.Print_Area" localSheetId="23">'26'!$A$1:$AD$86</definedName>
    <definedName name="_xlnm.Print_Area" localSheetId="24">'29'!$A$1:$AD$86</definedName>
    <definedName name="_xlnm.Print_Area" localSheetId="25">'30'!$A$1:$AD$87</definedName>
    <definedName name="_xlnm.Print_Area" localSheetId="26">'31'!$A$1:$AD$86</definedName>
  </definedNames>
  <calcPr calcId="144525"/>
</workbook>
</file>

<file path=xl/calcChain.xml><?xml version="1.0" encoding="utf-8"?>
<calcChain xmlns="http://schemas.openxmlformats.org/spreadsheetml/2006/main">
  <c r="AF18" i="16" l="1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L20" i="945"/>
  <c r="K20" i="945" s="1"/>
  <c r="L19" i="945"/>
  <c r="K19" i="945" s="1"/>
  <c r="L18" i="945"/>
  <c r="K18" i="945" s="1"/>
  <c r="L16" i="945"/>
  <c r="K16" i="945" s="1"/>
  <c r="L12" i="945"/>
  <c r="AB12" i="945" s="1"/>
  <c r="L9" i="945"/>
  <c r="K9" i="945" s="1"/>
  <c r="L8" i="945"/>
  <c r="K8" i="945" s="1"/>
  <c r="K13" i="945"/>
  <c r="K11" i="945"/>
  <c r="A74" i="945"/>
  <c r="A75" i="945" s="1"/>
  <c r="A76" i="945" s="1"/>
  <c r="A77" i="945" s="1"/>
  <c r="A78" i="945" s="1"/>
  <c r="A79" i="945" s="1"/>
  <c r="A80" i="945" s="1"/>
  <c r="A81" i="945" s="1"/>
  <c r="AF62" i="945"/>
  <c r="AF60" i="945"/>
  <c r="AF59" i="945"/>
  <c r="AA21" i="945"/>
  <c r="Z21" i="945"/>
  <c r="Y21" i="945"/>
  <c r="X21" i="945"/>
  <c r="W21" i="945"/>
  <c r="V21" i="945"/>
  <c r="U21" i="945"/>
  <c r="T21" i="945"/>
  <c r="S21" i="945"/>
  <c r="R21" i="945"/>
  <c r="N21" i="945"/>
  <c r="J21" i="945"/>
  <c r="I21" i="945"/>
  <c r="AF20" i="945"/>
  <c r="Q20" i="945"/>
  <c r="AF19" i="945"/>
  <c r="Q19" i="945"/>
  <c r="AF18" i="945"/>
  <c r="Q18" i="945"/>
  <c r="AF17" i="945"/>
  <c r="AB17" i="945"/>
  <c r="Q17" i="945"/>
  <c r="P17" i="945"/>
  <c r="AC17" i="945" s="1"/>
  <c r="O17" i="945"/>
  <c r="M17" i="945"/>
  <c r="K17" i="945"/>
  <c r="AF16" i="945"/>
  <c r="AB16" i="945"/>
  <c r="Q16" i="945"/>
  <c r="AF15" i="945"/>
  <c r="AB15" i="945"/>
  <c r="Q15" i="945"/>
  <c r="P15" i="945"/>
  <c r="AC15" i="945" s="1"/>
  <c r="O15" i="945"/>
  <c r="M15" i="945"/>
  <c r="K15" i="945"/>
  <c r="AF14" i="945"/>
  <c r="AB14" i="945"/>
  <c r="Q14" i="945"/>
  <c r="P14" i="945"/>
  <c r="AC14" i="945" s="1"/>
  <c r="AD14" i="945" s="1"/>
  <c r="O14" i="945"/>
  <c r="M14" i="945"/>
  <c r="K14" i="945"/>
  <c r="AF13" i="945"/>
  <c r="Q13" i="945"/>
  <c r="P13" i="945" s="1"/>
  <c r="AC13" i="945" s="1"/>
  <c r="AF12" i="945"/>
  <c r="Q12" i="945"/>
  <c r="O12" i="945"/>
  <c r="AF11" i="945"/>
  <c r="AB11" i="945"/>
  <c r="Q11" i="945"/>
  <c r="P11" i="945"/>
  <c r="AC11" i="945" s="1"/>
  <c r="O11" i="945"/>
  <c r="M11" i="945"/>
  <c r="AF10" i="945"/>
  <c r="AB10" i="945"/>
  <c r="Q10" i="945"/>
  <c r="P10" i="945"/>
  <c r="AC10" i="945" s="1"/>
  <c r="O10" i="945"/>
  <c r="M10" i="945"/>
  <c r="K10" i="945"/>
  <c r="AF9" i="945"/>
  <c r="AB9" i="945"/>
  <c r="Q9" i="945"/>
  <c r="AF8" i="945"/>
  <c r="Q8" i="945"/>
  <c r="M8" i="945"/>
  <c r="AF7" i="945"/>
  <c r="AB7" i="945"/>
  <c r="Q7" i="945"/>
  <c r="P7" i="945"/>
  <c r="AC7" i="945" s="1"/>
  <c r="O7" i="945"/>
  <c r="M7" i="945"/>
  <c r="K7" i="945"/>
  <c r="AF6" i="945"/>
  <c r="AB6" i="945"/>
  <c r="Q6" i="945"/>
  <c r="P6" i="945"/>
  <c r="O6" i="945"/>
  <c r="M6" i="945"/>
  <c r="K6" i="945"/>
  <c r="O20" i="945" l="1"/>
  <c r="M20" i="945"/>
  <c r="P20" i="945"/>
  <c r="AC20" i="945" s="1"/>
  <c r="AB20" i="945"/>
  <c r="M19" i="945"/>
  <c r="P19" i="945"/>
  <c r="AC19" i="945" s="1"/>
  <c r="P18" i="945"/>
  <c r="AC18" i="945" s="1"/>
  <c r="P16" i="945"/>
  <c r="AC16" i="945" s="1"/>
  <c r="M16" i="945"/>
  <c r="P12" i="945"/>
  <c r="AC12" i="945" s="1"/>
  <c r="AD12" i="945" s="1"/>
  <c r="K12" i="945"/>
  <c r="AD10" i="945"/>
  <c r="M9" i="945"/>
  <c r="O9" i="945"/>
  <c r="P9" i="945"/>
  <c r="AC9" i="945" s="1"/>
  <c r="AD9" i="945" s="1"/>
  <c r="Q21" i="945"/>
  <c r="O8" i="945"/>
  <c r="P8" i="945"/>
  <c r="AC8" i="945" s="1"/>
  <c r="L21" i="945"/>
  <c r="O21" i="945" s="1"/>
  <c r="AD15" i="945"/>
  <c r="AD17" i="945"/>
  <c r="AD7" i="945"/>
  <c r="AD11" i="945"/>
  <c r="AB19" i="945"/>
  <c r="K21" i="945"/>
  <c r="M13" i="945"/>
  <c r="AB13" i="945"/>
  <c r="O16" i="945"/>
  <c r="M18" i="945"/>
  <c r="AB18" i="945"/>
  <c r="O19" i="945"/>
  <c r="AC6" i="945"/>
  <c r="AB8" i="945"/>
  <c r="M12" i="945"/>
  <c r="O13" i="945"/>
  <c r="O18" i="945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0" i="944"/>
  <c r="K20" i="944" s="1"/>
  <c r="L19" i="944"/>
  <c r="L17" i="944"/>
  <c r="L14" i="944"/>
  <c r="L13" i="944"/>
  <c r="K12" i="944"/>
  <c r="L10" i="944"/>
  <c r="K10" i="944" s="1"/>
  <c r="AF10" i="944"/>
  <c r="Q10" i="944"/>
  <c r="P10" i="944" s="1"/>
  <c r="AC10" i="944" s="1"/>
  <c r="O10" i="944"/>
  <c r="K9" i="944"/>
  <c r="L8" i="944"/>
  <c r="K21" i="944"/>
  <c r="K19" i="944"/>
  <c r="K17" i="944"/>
  <c r="K14" i="944"/>
  <c r="K13" i="944"/>
  <c r="K11" i="944"/>
  <c r="K8" i="944"/>
  <c r="A75" i="944"/>
  <c r="A76" i="944" s="1"/>
  <c r="A77" i="944" s="1"/>
  <c r="A78" i="944" s="1"/>
  <c r="A79" i="944" s="1"/>
  <c r="A80" i="944" s="1"/>
  <c r="A81" i="944" s="1"/>
  <c r="A82" i="944" s="1"/>
  <c r="AF61" i="944"/>
  <c r="AF63" i="944" s="1"/>
  <c r="AF60" i="944"/>
  <c r="AA22" i="944"/>
  <c r="Z22" i="944"/>
  <c r="Y22" i="944"/>
  <c r="X22" i="944"/>
  <c r="W22" i="944"/>
  <c r="V22" i="944"/>
  <c r="U22" i="944"/>
  <c r="T22" i="944"/>
  <c r="S22" i="944"/>
  <c r="R22" i="944"/>
  <c r="N22" i="944"/>
  <c r="J22" i="944"/>
  <c r="I22" i="944"/>
  <c r="AF21" i="944"/>
  <c r="AB21" i="944"/>
  <c r="Q21" i="944"/>
  <c r="O21" i="944"/>
  <c r="M21" i="944"/>
  <c r="P21" i="944"/>
  <c r="AC21" i="944" s="1"/>
  <c r="AD21" i="944" s="1"/>
  <c r="AF20" i="944"/>
  <c r="AB20" i="944"/>
  <c r="Q20" i="944"/>
  <c r="P20" i="944" s="1"/>
  <c r="AC20" i="944" s="1"/>
  <c r="O20" i="944"/>
  <c r="M20" i="944"/>
  <c r="AF19" i="944"/>
  <c r="Q19" i="944"/>
  <c r="P19" i="944"/>
  <c r="AC19" i="944" s="1"/>
  <c r="O19" i="944"/>
  <c r="M19" i="944"/>
  <c r="AB19" i="944"/>
  <c r="AF18" i="944"/>
  <c r="AC18" i="944"/>
  <c r="AB18" i="944"/>
  <c r="Q18" i="944"/>
  <c r="P18" i="944"/>
  <c r="O18" i="944"/>
  <c r="M18" i="944"/>
  <c r="K18" i="944"/>
  <c r="AF17" i="944"/>
  <c r="Q17" i="944"/>
  <c r="P17" i="944" s="1"/>
  <c r="AC17" i="944" s="1"/>
  <c r="O17" i="944"/>
  <c r="AF16" i="944"/>
  <c r="AC16" i="944"/>
  <c r="AB16" i="944"/>
  <c r="Q16" i="944"/>
  <c r="P16" i="944"/>
  <c r="O16" i="944"/>
  <c r="M16" i="944"/>
  <c r="K16" i="944"/>
  <c r="AF15" i="944"/>
  <c r="AB15" i="944"/>
  <c r="Q15" i="944"/>
  <c r="P15" i="944"/>
  <c r="AC15" i="944" s="1"/>
  <c r="O15" i="944"/>
  <c r="M15" i="944"/>
  <c r="K15" i="944"/>
  <c r="AF14" i="944"/>
  <c r="Q14" i="944"/>
  <c r="P14" i="944" s="1"/>
  <c r="AC14" i="944" s="1"/>
  <c r="O14" i="944"/>
  <c r="AB14" i="944"/>
  <c r="AF13" i="944"/>
  <c r="AB13" i="944"/>
  <c r="Q13" i="944"/>
  <c r="P13" i="944" s="1"/>
  <c r="AC13" i="944" s="1"/>
  <c r="AD13" i="944" s="1"/>
  <c r="O13" i="944"/>
  <c r="M13" i="944"/>
  <c r="AF12" i="944"/>
  <c r="AB12" i="944"/>
  <c r="Q12" i="944"/>
  <c r="P12" i="944" s="1"/>
  <c r="AC12" i="944" s="1"/>
  <c r="O12" i="944"/>
  <c r="M12" i="944"/>
  <c r="AF11" i="944"/>
  <c r="Q11" i="944"/>
  <c r="P11" i="944"/>
  <c r="AC11" i="944" s="1"/>
  <c r="O11" i="944"/>
  <c r="AB11" i="944"/>
  <c r="AF9" i="944"/>
  <c r="AB9" i="944"/>
  <c r="Q9" i="944"/>
  <c r="O9" i="944"/>
  <c r="M9" i="944"/>
  <c r="P9" i="944"/>
  <c r="AC9" i="944" s="1"/>
  <c r="AF8" i="944"/>
  <c r="Q8" i="944"/>
  <c r="L22" i="944"/>
  <c r="O22" i="944" s="1"/>
  <c r="AF7" i="944"/>
  <c r="AB7" i="944"/>
  <c r="Q7" i="944"/>
  <c r="P7" i="944"/>
  <c r="AC7" i="944" s="1"/>
  <c r="O7" i="944"/>
  <c r="M7" i="944"/>
  <c r="K7" i="944"/>
  <c r="AF6" i="944"/>
  <c r="AB6" i="944"/>
  <c r="Q6" i="944"/>
  <c r="Q22" i="944" s="1"/>
  <c r="P6" i="944"/>
  <c r="AC6" i="944" s="1"/>
  <c r="O6" i="944"/>
  <c r="M6" i="944"/>
  <c r="K6" i="944"/>
  <c r="AD20" i="945" l="1"/>
  <c r="AD16" i="945"/>
  <c r="AD19" i="945"/>
  <c r="M21" i="945"/>
  <c r="AD18" i="945"/>
  <c r="AD8" i="945"/>
  <c r="P21" i="945"/>
  <c r="AB21" i="945"/>
  <c r="AD13" i="945"/>
  <c r="AC21" i="945"/>
  <c r="AD6" i="945"/>
  <c r="AD20" i="944"/>
  <c r="AD12" i="944"/>
  <c r="AB10" i="944"/>
  <c r="M10" i="944"/>
  <c r="AD10" i="944"/>
  <c r="AD9" i="944"/>
  <c r="AD19" i="944"/>
  <c r="AD16" i="944"/>
  <c r="AD18" i="944"/>
  <c r="AD7" i="944"/>
  <c r="AD15" i="944"/>
  <c r="AD11" i="944"/>
  <c r="AD14" i="944"/>
  <c r="AB8" i="944"/>
  <c r="AD6" i="944"/>
  <c r="O8" i="944"/>
  <c r="M17" i="944"/>
  <c r="AB17" i="944"/>
  <c r="AD17" i="944" s="1"/>
  <c r="M8" i="944"/>
  <c r="K22" i="944"/>
  <c r="P8" i="944"/>
  <c r="AC8" i="944" s="1"/>
  <c r="M11" i="944"/>
  <c r="M14" i="944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0" i="943"/>
  <c r="K20" i="943" s="1"/>
  <c r="L18" i="943"/>
  <c r="L16" i="943"/>
  <c r="K16" i="943" s="1"/>
  <c r="L13" i="943"/>
  <c r="K13" i="943"/>
  <c r="AF12" i="943"/>
  <c r="Q12" i="943"/>
  <c r="P12" i="943"/>
  <c r="AC12" i="943" s="1"/>
  <c r="L12" i="943"/>
  <c r="AB12" i="943" s="1"/>
  <c r="K12" i="943"/>
  <c r="L10" i="943"/>
  <c r="K10" i="943" s="1"/>
  <c r="L9" i="943"/>
  <c r="K9" i="943" s="1"/>
  <c r="L8" i="943"/>
  <c r="K8" i="943" s="1"/>
  <c r="K18" i="943"/>
  <c r="K11" i="943"/>
  <c r="A74" i="943"/>
  <c r="A75" i="943" s="1"/>
  <c r="A76" i="943" s="1"/>
  <c r="A77" i="943" s="1"/>
  <c r="A78" i="943" s="1"/>
  <c r="A79" i="943" s="1"/>
  <c r="A80" i="943" s="1"/>
  <c r="A81" i="943" s="1"/>
  <c r="AF60" i="943"/>
  <c r="AF62" i="943" s="1"/>
  <c r="AF59" i="943"/>
  <c r="AA21" i="943"/>
  <c r="Z21" i="943"/>
  <c r="Y21" i="943"/>
  <c r="X21" i="943"/>
  <c r="W21" i="943"/>
  <c r="V21" i="943"/>
  <c r="U21" i="943"/>
  <c r="T21" i="943"/>
  <c r="S21" i="943"/>
  <c r="R21" i="943"/>
  <c r="N21" i="943"/>
  <c r="J21" i="943"/>
  <c r="I21" i="943"/>
  <c r="AF20" i="943"/>
  <c r="AB20" i="943"/>
  <c r="Q20" i="943"/>
  <c r="P20" i="943" s="1"/>
  <c r="AC20" i="943" s="1"/>
  <c r="AD20" i="943" s="1"/>
  <c r="O20" i="943"/>
  <c r="M20" i="943"/>
  <c r="AF19" i="943"/>
  <c r="AB19" i="943"/>
  <c r="Q19" i="943"/>
  <c r="P19" i="943"/>
  <c r="AC19" i="943" s="1"/>
  <c r="O19" i="943"/>
  <c r="M19" i="943"/>
  <c r="K19" i="943"/>
  <c r="AF18" i="943"/>
  <c r="AB18" i="943"/>
  <c r="Q18" i="943"/>
  <c r="P18" i="943" s="1"/>
  <c r="AC18" i="943" s="1"/>
  <c r="O18" i="943"/>
  <c r="M18" i="943"/>
  <c r="AF17" i="943"/>
  <c r="AB17" i="943"/>
  <c r="Q17" i="943"/>
  <c r="P17" i="943"/>
  <c r="AC17" i="943" s="1"/>
  <c r="O17" i="943"/>
  <c r="M17" i="943"/>
  <c r="K17" i="943"/>
  <c r="AF16" i="943"/>
  <c r="AB16" i="943"/>
  <c r="Q16" i="943"/>
  <c r="P16" i="943" s="1"/>
  <c r="AC16" i="943" s="1"/>
  <c r="O16" i="943"/>
  <c r="M16" i="943"/>
  <c r="AF15" i="943"/>
  <c r="AB15" i="943"/>
  <c r="Q15" i="943"/>
  <c r="P15" i="943"/>
  <c r="AC15" i="943" s="1"/>
  <c r="AD15" i="943" s="1"/>
  <c r="O15" i="943"/>
  <c r="M15" i="943"/>
  <c r="K15" i="943"/>
  <c r="AF14" i="943"/>
  <c r="AB14" i="943"/>
  <c r="Q14" i="943"/>
  <c r="P14" i="943"/>
  <c r="AC14" i="943" s="1"/>
  <c r="AD14" i="943" s="1"/>
  <c r="O14" i="943"/>
  <c r="M14" i="943"/>
  <c r="K14" i="943"/>
  <c r="AF13" i="943"/>
  <c r="AB13" i="943"/>
  <c r="Q13" i="943"/>
  <c r="P13" i="943" s="1"/>
  <c r="AC13" i="943" s="1"/>
  <c r="O13" i="943"/>
  <c r="M13" i="943"/>
  <c r="AF11" i="943"/>
  <c r="AB11" i="943"/>
  <c r="Q11" i="943"/>
  <c r="P11" i="943" s="1"/>
  <c r="AC11" i="943" s="1"/>
  <c r="O11" i="943"/>
  <c r="M11" i="943"/>
  <c r="AF10" i="943"/>
  <c r="AB10" i="943"/>
  <c r="Q10" i="943"/>
  <c r="P10" i="943" s="1"/>
  <c r="AC10" i="943" s="1"/>
  <c r="O10" i="943"/>
  <c r="M10" i="943"/>
  <c r="AF9" i="943"/>
  <c r="AB9" i="943"/>
  <c r="Q9" i="943"/>
  <c r="P9" i="943" s="1"/>
  <c r="AC9" i="943" s="1"/>
  <c r="O9" i="943"/>
  <c r="M9" i="943"/>
  <c r="AF8" i="943"/>
  <c r="AB8" i="943"/>
  <c r="Q8" i="943"/>
  <c r="P8" i="943"/>
  <c r="AC8" i="943" s="1"/>
  <c r="O8" i="943"/>
  <c r="M8" i="943"/>
  <c r="AF7" i="943"/>
  <c r="AB7" i="943"/>
  <c r="Q7" i="943"/>
  <c r="P7" i="943"/>
  <c r="AC7" i="943" s="1"/>
  <c r="O7" i="943"/>
  <c r="M7" i="943"/>
  <c r="K7" i="943"/>
  <c r="AF6" i="943"/>
  <c r="AC6" i="943"/>
  <c r="AB6" i="943"/>
  <c r="Q6" i="943"/>
  <c r="P6" i="943"/>
  <c r="O6" i="943"/>
  <c r="M6" i="943"/>
  <c r="K6" i="943"/>
  <c r="AD21" i="945" l="1"/>
  <c r="AE16" i="945" s="1"/>
  <c r="AB22" i="944"/>
  <c r="P22" i="944"/>
  <c r="AD8" i="944"/>
  <c r="AD22" i="944" s="1"/>
  <c r="AE10" i="944" s="1"/>
  <c r="M22" i="944"/>
  <c r="AC22" i="944"/>
  <c r="O12" i="943"/>
  <c r="AD12" i="943" s="1"/>
  <c r="L21" i="943"/>
  <c r="O21" i="943" s="1"/>
  <c r="M12" i="943"/>
  <c r="AD10" i="943"/>
  <c r="Q21" i="943"/>
  <c r="AD8" i="943"/>
  <c r="M21" i="943"/>
  <c r="AD9" i="943"/>
  <c r="AD19" i="943"/>
  <c r="AD11" i="943"/>
  <c r="AD17" i="943"/>
  <c r="AD18" i="943"/>
  <c r="AB21" i="943"/>
  <c r="AD13" i="943"/>
  <c r="AD7" i="943"/>
  <c r="AD16" i="943"/>
  <c r="P21" i="943"/>
  <c r="AC21" i="943"/>
  <c r="K21" i="943"/>
  <c r="AD6" i="943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K13" i="942"/>
  <c r="L20" i="942"/>
  <c r="O20" i="942" s="1"/>
  <c r="K18" i="942"/>
  <c r="K11" i="942"/>
  <c r="A74" i="942"/>
  <c r="A75" i="942" s="1"/>
  <c r="A76" i="942" s="1"/>
  <c r="A77" i="942" s="1"/>
  <c r="A78" i="942" s="1"/>
  <c r="A79" i="942" s="1"/>
  <c r="A80" i="942" s="1"/>
  <c r="A81" i="942" s="1"/>
  <c r="AF62" i="942"/>
  <c r="AF60" i="942"/>
  <c r="AF59" i="942"/>
  <c r="AA21" i="942"/>
  <c r="Z21" i="942"/>
  <c r="Y21" i="942"/>
  <c r="X21" i="942"/>
  <c r="W21" i="942"/>
  <c r="V21" i="942"/>
  <c r="U21" i="942"/>
  <c r="T21" i="942"/>
  <c r="S21" i="942"/>
  <c r="R21" i="942"/>
  <c r="N21" i="942"/>
  <c r="J21" i="942"/>
  <c r="I21" i="942"/>
  <c r="AF20" i="942"/>
  <c r="Q20" i="942"/>
  <c r="AB20" i="942"/>
  <c r="AF19" i="942"/>
  <c r="AB19" i="942"/>
  <c r="Q19" i="942"/>
  <c r="P19" i="942"/>
  <c r="AC19" i="942" s="1"/>
  <c r="O19" i="942"/>
  <c r="M19" i="942"/>
  <c r="K19" i="942"/>
  <c r="AF18" i="942"/>
  <c r="AB18" i="942"/>
  <c r="Q18" i="942"/>
  <c r="P18" i="942" s="1"/>
  <c r="AC18" i="942" s="1"/>
  <c r="O18" i="942"/>
  <c r="M18" i="942"/>
  <c r="AF17" i="942"/>
  <c r="AB17" i="942"/>
  <c r="Q17" i="942"/>
  <c r="P17" i="942"/>
  <c r="AC17" i="942" s="1"/>
  <c r="O17" i="942"/>
  <c r="M17" i="942"/>
  <c r="K17" i="942"/>
  <c r="AF16" i="942"/>
  <c r="AB16" i="942"/>
  <c r="Q16" i="942"/>
  <c r="P16" i="942"/>
  <c r="AC16" i="942" s="1"/>
  <c r="O16" i="942"/>
  <c r="M16" i="942"/>
  <c r="K16" i="942"/>
  <c r="AF15" i="942"/>
  <c r="AB15" i="942"/>
  <c r="Q15" i="942"/>
  <c r="P15" i="942"/>
  <c r="AC15" i="942" s="1"/>
  <c r="O15" i="942"/>
  <c r="M15" i="942"/>
  <c r="K15" i="942"/>
  <c r="AF14" i="942"/>
  <c r="AB14" i="942"/>
  <c r="Q14" i="942"/>
  <c r="P14" i="942"/>
  <c r="AC14" i="942" s="1"/>
  <c r="O14" i="942"/>
  <c r="M14" i="942"/>
  <c r="K14" i="942"/>
  <c r="AF13" i="942"/>
  <c r="AB13" i="942"/>
  <c r="Q13" i="942"/>
  <c r="P13" i="942"/>
  <c r="AC13" i="942" s="1"/>
  <c r="O13" i="942"/>
  <c r="M13" i="942"/>
  <c r="AF12" i="942"/>
  <c r="AB12" i="942"/>
  <c r="Q12" i="942"/>
  <c r="P12" i="942"/>
  <c r="AC12" i="942" s="1"/>
  <c r="AD12" i="942" s="1"/>
  <c r="O12" i="942"/>
  <c r="M12" i="942"/>
  <c r="K12" i="942"/>
  <c r="AF11" i="942"/>
  <c r="Q11" i="942"/>
  <c r="L21" i="942"/>
  <c r="O21" i="942" s="1"/>
  <c r="AF10" i="942"/>
  <c r="AB10" i="942"/>
  <c r="Q10" i="942"/>
  <c r="P10" i="942"/>
  <c r="AC10" i="942" s="1"/>
  <c r="O10" i="942"/>
  <c r="M10" i="942"/>
  <c r="K10" i="942"/>
  <c r="AF9" i="942"/>
  <c r="AC9" i="942"/>
  <c r="AB9" i="942"/>
  <c r="Q9" i="942"/>
  <c r="P9" i="942"/>
  <c r="O9" i="942"/>
  <c r="M9" i="942"/>
  <c r="K9" i="942"/>
  <c r="AF8" i="942"/>
  <c r="AB8" i="942"/>
  <c r="Q8" i="942"/>
  <c r="P8" i="942"/>
  <c r="AC8" i="942" s="1"/>
  <c r="O8" i="942"/>
  <c r="M8" i="942"/>
  <c r="K8" i="942"/>
  <c r="AF7" i="942"/>
  <c r="AC7" i="942"/>
  <c r="AB7" i="942"/>
  <c r="Q7" i="942"/>
  <c r="P7" i="942"/>
  <c r="O7" i="942"/>
  <c r="M7" i="942"/>
  <c r="K7" i="942"/>
  <c r="AF6" i="942"/>
  <c r="AB6" i="942"/>
  <c r="Q6" i="942"/>
  <c r="P6" i="942"/>
  <c r="O6" i="942"/>
  <c r="M6" i="942"/>
  <c r="K6" i="942"/>
  <c r="AE10" i="945" l="1"/>
  <c r="AE11" i="945"/>
  <c r="AE19" i="945"/>
  <c r="AE20" i="945"/>
  <c r="AE18" i="945"/>
  <c r="AE12" i="945"/>
  <c r="AE7" i="945"/>
  <c r="AE9" i="945"/>
  <c r="AE15" i="945"/>
  <c r="AE8" i="945"/>
  <c r="AE13" i="945"/>
  <c r="AE14" i="945"/>
  <c r="AE6" i="945"/>
  <c r="AE17" i="945"/>
  <c r="AE20" i="944"/>
  <c r="AE21" i="944"/>
  <c r="AE18" i="944"/>
  <c r="AE13" i="944"/>
  <c r="AE9" i="944"/>
  <c r="AE6" i="944"/>
  <c r="AE17" i="944"/>
  <c r="AE15" i="944"/>
  <c r="AE8" i="944"/>
  <c r="AE19" i="944"/>
  <c r="AE16" i="944"/>
  <c r="AE14" i="944"/>
  <c r="AE11" i="944"/>
  <c r="AE7" i="944"/>
  <c r="AE12" i="944"/>
  <c r="AD21" i="943"/>
  <c r="AD9" i="942"/>
  <c r="AD8" i="942"/>
  <c r="AD16" i="942"/>
  <c r="M20" i="942"/>
  <c r="AD7" i="942"/>
  <c r="AD10" i="942"/>
  <c r="AD19" i="942"/>
  <c r="K20" i="942"/>
  <c r="Q21" i="942"/>
  <c r="AD13" i="942"/>
  <c r="AD17" i="942"/>
  <c r="AD15" i="942"/>
  <c r="AD18" i="942"/>
  <c r="AD14" i="942"/>
  <c r="M11" i="942"/>
  <c r="AB11" i="942"/>
  <c r="P20" i="942"/>
  <c r="AC20" i="942" s="1"/>
  <c r="AD20" i="942" s="1"/>
  <c r="O11" i="942"/>
  <c r="AC6" i="942"/>
  <c r="K21" i="942"/>
  <c r="P11" i="942"/>
  <c r="AC11" i="942" s="1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AE11" i="943" l="1"/>
  <c r="AE12" i="943"/>
  <c r="AE8" i="943"/>
  <c r="AE18" i="943"/>
  <c r="AE20" i="943"/>
  <c r="AE15" i="943"/>
  <c r="AE10" i="943"/>
  <c r="AE7" i="943"/>
  <c r="AE17" i="943"/>
  <c r="AE16" i="943"/>
  <c r="AE13" i="943"/>
  <c r="AE19" i="943"/>
  <c r="AE6" i="943"/>
  <c r="AE14" i="943"/>
  <c r="AE9" i="943"/>
  <c r="AB21" i="942"/>
  <c r="M21" i="942"/>
  <c r="AD11" i="942"/>
  <c r="AC21" i="942"/>
  <c r="AD6" i="942"/>
  <c r="P21" i="942"/>
  <c r="L21" i="941"/>
  <c r="L13" i="941"/>
  <c r="K13" i="941" s="1"/>
  <c r="L11" i="941"/>
  <c r="K11" i="941" s="1"/>
  <c r="K21" i="941"/>
  <c r="K19" i="941"/>
  <c r="K14" i="941"/>
  <c r="K10" i="941"/>
  <c r="K9" i="941"/>
  <c r="A76" i="941"/>
  <c r="A77" i="941" s="1"/>
  <c r="A78" i="941" s="1"/>
  <c r="A79" i="941" s="1"/>
  <c r="A80" i="941" s="1"/>
  <c r="A81" i="941" s="1"/>
  <c r="A82" i="941" s="1"/>
  <c r="A75" i="941"/>
  <c r="AF61" i="941"/>
  <c r="AF60" i="941"/>
  <c r="AF63" i="941" s="1"/>
  <c r="AA22" i="941"/>
  <c r="Z22" i="941"/>
  <c r="Y22" i="941"/>
  <c r="X22" i="941"/>
  <c r="W22" i="941"/>
  <c r="V22" i="941"/>
  <c r="U22" i="941"/>
  <c r="T22" i="941"/>
  <c r="S22" i="941"/>
  <c r="R22" i="941"/>
  <c r="N22" i="941"/>
  <c r="J22" i="941"/>
  <c r="I22" i="941"/>
  <c r="AF21" i="941"/>
  <c r="Q21" i="941"/>
  <c r="O21" i="941"/>
  <c r="AF20" i="941"/>
  <c r="AB20" i="941"/>
  <c r="Q20" i="941"/>
  <c r="P20" i="941"/>
  <c r="AC20" i="941" s="1"/>
  <c r="AD20" i="941" s="1"/>
  <c r="O20" i="941"/>
  <c r="M20" i="941"/>
  <c r="K20" i="941"/>
  <c r="AF19" i="941"/>
  <c r="AB19" i="941"/>
  <c r="Q19" i="941"/>
  <c r="P19" i="941" s="1"/>
  <c r="AC19" i="941" s="1"/>
  <c r="O19" i="941"/>
  <c r="M19" i="941"/>
  <c r="AF18" i="941"/>
  <c r="AC18" i="941"/>
  <c r="AB18" i="941"/>
  <c r="Q18" i="941"/>
  <c r="P18" i="941"/>
  <c r="O18" i="941"/>
  <c r="M18" i="941"/>
  <c r="K18" i="941"/>
  <c r="AF17" i="941"/>
  <c r="AC17" i="941"/>
  <c r="AD17" i="941" s="1"/>
  <c r="AB17" i="941"/>
  <c r="Q17" i="941"/>
  <c r="P17" i="941"/>
  <c r="O17" i="941"/>
  <c r="M17" i="941"/>
  <c r="K17" i="941"/>
  <c r="AF16" i="941"/>
  <c r="AC16" i="941"/>
  <c r="AD16" i="941" s="1"/>
  <c r="AB16" i="941"/>
  <c r="Q16" i="941"/>
  <c r="P16" i="941"/>
  <c r="O16" i="941"/>
  <c r="M16" i="941"/>
  <c r="K16" i="941"/>
  <c r="AF15" i="941"/>
  <c r="AC15" i="941"/>
  <c r="AB15" i="941"/>
  <c r="Q15" i="941"/>
  <c r="P15" i="941"/>
  <c r="O15" i="941"/>
  <c r="M15" i="941"/>
  <c r="K15" i="941"/>
  <c r="AF14" i="941"/>
  <c r="AB14" i="941"/>
  <c r="Q14" i="941"/>
  <c r="P14" i="941" s="1"/>
  <c r="AC14" i="941" s="1"/>
  <c r="O14" i="941"/>
  <c r="M14" i="941"/>
  <c r="AF13" i="941"/>
  <c r="AB13" i="941"/>
  <c r="Q13" i="941"/>
  <c r="P13" i="941" s="1"/>
  <c r="AC13" i="941" s="1"/>
  <c r="O13" i="941"/>
  <c r="M13" i="941"/>
  <c r="AF12" i="941"/>
  <c r="AC12" i="941"/>
  <c r="AB12" i="941"/>
  <c r="Q12" i="941"/>
  <c r="P12" i="941"/>
  <c r="O12" i="941"/>
  <c r="M12" i="941"/>
  <c r="K12" i="941"/>
  <c r="AF11" i="941"/>
  <c r="AB11" i="941"/>
  <c r="Q11" i="941"/>
  <c r="AF10" i="941"/>
  <c r="AB10" i="941"/>
  <c r="Q10" i="941"/>
  <c r="P10" i="941" s="1"/>
  <c r="AC10" i="941" s="1"/>
  <c r="AD10" i="941" s="1"/>
  <c r="O10" i="941"/>
  <c r="M10" i="941"/>
  <c r="AF9" i="941"/>
  <c r="Q9" i="941"/>
  <c r="O9" i="941"/>
  <c r="L22" i="941"/>
  <c r="O22" i="941" s="1"/>
  <c r="AF8" i="941"/>
  <c r="AB8" i="941"/>
  <c r="Q8" i="941"/>
  <c r="P8" i="941"/>
  <c r="AC8" i="941" s="1"/>
  <c r="O8" i="941"/>
  <c r="M8" i="941"/>
  <c r="K8" i="941"/>
  <c r="AF7" i="941"/>
  <c r="AB7" i="941"/>
  <c r="Q7" i="941"/>
  <c r="P7" i="941"/>
  <c r="AC7" i="941" s="1"/>
  <c r="O7" i="941"/>
  <c r="M7" i="941"/>
  <c r="K7" i="941"/>
  <c r="AF6" i="941"/>
  <c r="AB6" i="941"/>
  <c r="Q6" i="941"/>
  <c r="P6" i="941"/>
  <c r="O6" i="941"/>
  <c r="M6" i="941"/>
  <c r="K6" i="941"/>
  <c r="AD21" i="942" l="1"/>
  <c r="AE19" i="942" s="1"/>
  <c r="AD19" i="941"/>
  <c r="Q22" i="941"/>
  <c r="M11" i="941"/>
  <c r="O11" i="941"/>
  <c r="P11" i="941"/>
  <c r="AC11" i="941" s="1"/>
  <c r="AD11" i="941" s="1"/>
  <c r="AD8" i="941"/>
  <c r="AD12" i="941"/>
  <c r="AD7" i="941"/>
  <c r="AD14" i="941"/>
  <c r="AD15" i="941"/>
  <c r="AD18" i="941"/>
  <c r="AD13" i="941"/>
  <c r="M9" i="941"/>
  <c r="AB9" i="941"/>
  <c r="P21" i="941"/>
  <c r="AC21" i="941" s="1"/>
  <c r="AC6" i="941"/>
  <c r="K22" i="941"/>
  <c r="P9" i="941"/>
  <c r="AC9" i="941" s="1"/>
  <c r="AD9" i="941" s="1"/>
  <c r="M21" i="941"/>
  <c r="AB21" i="941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AD22" i="940"/>
  <c r="L21" i="940"/>
  <c r="L19" i="940"/>
  <c r="M19" i="940" s="1"/>
  <c r="K14" i="940"/>
  <c r="AF14" i="940"/>
  <c r="AB14" i="940"/>
  <c r="Q14" i="940"/>
  <c r="P14" i="940" s="1"/>
  <c r="AC14" i="940" s="1"/>
  <c r="O14" i="940"/>
  <c r="M14" i="940"/>
  <c r="K13" i="940"/>
  <c r="K11" i="940"/>
  <c r="K10" i="940"/>
  <c r="L9" i="940"/>
  <c r="K21" i="940"/>
  <c r="K19" i="940"/>
  <c r="K17" i="940"/>
  <c r="K9" i="940"/>
  <c r="A76" i="940"/>
  <c r="A77" i="940" s="1"/>
  <c r="A78" i="940" s="1"/>
  <c r="A79" i="940" s="1"/>
  <c r="A80" i="940" s="1"/>
  <c r="A81" i="940" s="1"/>
  <c r="A82" i="940" s="1"/>
  <c r="A75" i="940"/>
  <c r="AF61" i="940"/>
  <c r="AF60" i="940"/>
  <c r="AF63" i="940" s="1"/>
  <c r="AA22" i="940"/>
  <c r="Z22" i="940"/>
  <c r="Y22" i="940"/>
  <c r="X22" i="940"/>
  <c r="W22" i="940"/>
  <c r="V22" i="940"/>
  <c r="U22" i="940"/>
  <c r="T22" i="940"/>
  <c r="S22" i="940"/>
  <c r="R22" i="940"/>
  <c r="N22" i="940"/>
  <c r="J22" i="940"/>
  <c r="I22" i="940"/>
  <c r="AF21" i="940"/>
  <c r="Q21" i="940"/>
  <c r="O21" i="940"/>
  <c r="AF20" i="940"/>
  <c r="AB20" i="940"/>
  <c r="Q20" i="940"/>
  <c r="P20" i="940"/>
  <c r="AC20" i="940" s="1"/>
  <c r="O20" i="940"/>
  <c r="M20" i="940"/>
  <c r="K20" i="940"/>
  <c r="AF19" i="940"/>
  <c r="AB19" i="940"/>
  <c r="Q19" i="940"/>
  <c r="AF18" i="940"/>
  <c r="AB18" i="940"/>
  <c r="Q18" i="940"/>
  <c r="P18" i="940"/>
  <c r="AC18" i="940" s="1"/>
  <c r="O18" i="940"/>
  <c r="M18" i="940"/>
  <c r="K18" i="940"/>
  <c r="AF17" i="940"/>
  <c r="Q17" i="940"/>
  <c r="O17" i="940"/>
  <c r="P17" i="940"/>
  <c r="AC17" i="940" s="1"/>
  <c r="AF16" i="940"/>
  <c r="AB16" i="940"/>
  <c r="Q16" i="940"/>
  <c r="P16" i="940"/>
  <c r="AC16" i="940" s="1"/>
  <c r="O16" i="940"/>
  <c r="M16" i="940"/>
  <c r="K16" i="940"/>
  <c r="AF15" i="940"/>
  <c r="AB15" i="940"/>
  <c r="Q15" i="940"/>
  <c r="P15" i="940"/>
  <c r="AC15" i="940" s="1"/>
  <c r="O15" i="940"/>
  <c r="M15" i="940"/>
  <c r="K15" i="940"/>
  <c r="AF13" i="940"/>
  <c r="AB13" i="940"/>
  <c r="Q13" i="940"/>
  <c r="P13" i="940"/>
  <c r="AC13" i="940" s="1"/>
  <c r="M13" i="940"/>
  <c r="O13" i="940"/>
  <c r="AF12" i="940"/>
  <c r="AC12" i="940"/>
  <c r="AB12" i="940"/>
  <c r="Q12" i="940"/>
  <c r="P12" i="940"/>
  <c r="O12" i="940"/>
  <c r="M12" i="940"/>
  <c r="K12" i="940"/>
  <c r="AF11" i="940"/>
  <c r="AB11" i="940"/>
  <c r="Q11" i="940"/>
  <c r="P11" i="940"/>
  <c r="AC11" i="940" s="1"/>
  <c r="O11" i="940"/>
  <c r="M11" i="940"/>
  <c r="AF10" i="940"/>
  <c r="Q10" i="940"/>
  <c r="AB10" i="940"/>
  <c r="AF9" i="940"/>
  <c r="AB9" i="940"/>
  <c r="Q9" i="940"/>
  <c r="P9" i="940" s="1"/>
  <c r="AC9" i="940" s="1"/>
  <c r="M9" i="940"/>
  <c r="L22" i="940"/>
  <c r="O22" i="940" s="1"/>
  <c r="AF8" i="940"/>
  <c r="AB8" i="940"/>
  <c r="Q8" i="940"/>
  <c r="P8" i="940"/>
  <c r="AC8" i="940" s="1"/>
  <c r="AD8" i="940" s="1"/>
  <c r="O8" i="940"/>
  <c r="M8" i="940"/>
  <c r="K8" i="940"/>
  <c r="AF7" i="940"/>
  <c r="AB7" i="940"/>
  <c r="Q7" i="940"/>
  <c r="P7" i="940"/>
  <c r="AC7" i="940" s="1"/>
  <c r="O7" i="940"/>
  <c r="M7" i="940"/>
  <c r="K7" i="940"/>
  <c r="AF6" i="940"/>
  <c r="AB6" i="940"/>
  <c r="Q6" i="940"/>
  <c r="P6" i="940"/>
  <c r="AC6" i="940" s="1"/>
  <c r="O6" i="940"/>
  <c r="M6" i="940"/>
  <c r="K6" i="940"/>
  <c r="AE16" i="942" l="1"/>
  <c r="AE12" i="942"/>
  <c r="AE9" i="942"/>
  <c r="AE10" i="942"/>
  <c r="AE18" i="942"/>
  <c r="AE20" i="942"/>
  <c r="AE13" i="942"/>
  <c r="AE11" i="942"/>
  <c r="AE8" i="942"/>
  <c r="AE15" i="942"/>
  <c r="AE14" i="942"/>
  <c r="AE6" i="942"/>
  <c r="AE7" i="942"/>
  <c r="AE17" i="942"/>
  <c r="AB22" i="941"/>
  <c r="M22" i="941"/>
  <c r="AC22" i="941"/>
  <c r="AD6" i="941"/>
  <c r="AD21" i="941"/>
  <c r="P22" i="941"/>
  <c r="P19" i="940"/>
  <c r="AC19" i="940" s="1"/>
  <c r="AD14" i="940"/>
  <c r="AD7" i="940"/>
  <c r="AD11" i="940"/>
  <c r="Q22" i="940"/>
  <c r="AD15" i="940"/>
  <c r="AD20" i="940"/>
  <c r="AD12" i="940"/>
  <c r="AD18" i="940"/>
  <c r="AD16" i="940"/>
  <c r="AD13" i="940"/>
  <c r="O10" i="940"/>
  <c r="O9" i="940"/>
  <c r="AD9" i="940" s="1"/>
  <c r="K22" i="940"/>
  <c r="P10" i="940"/>
  <c r="AC10" i="940" s="1"/>
  <c r="M17" i="940"/>
  <c r="AB17" i="940"/>
  <c r="AD17" i="940" s="1"/>
  <c r="P21" i="940"/>
  <c r="AC21" i="940" s="1"/>
  <c r="AD6" i="940"/>
  <c r="M10" i="940"/>
  <c r="O19" i="940"/>
  <c r="AD19" i="940" s="1"/>
  <c r="M21" i="940"/>
  <c r="AB21" i="940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0" i="939"/>
  <c r="K20" i="939" s="1"/>
  <c r="L18" i="939"/>
  <c r="K18" i="939" s="1"/>
  <c r="L16" i="939"/>
  <c r="K16" i="939" s="1"/>
  <c r="L13" i="939"/>
  <c r="K13" i="939" s="1"/>
  <c r="L10" i="939"/>
  <c r="K10" i="939" s="1"/>
  <c r="L9" i="939"/>
  <c r="K9" i="939" s="1"/>
  <c r="K17" i="939"/>
  <c r="K12" i="939"/>
  <c r="A74" i="939"/>
  <c r="A75" i="939" s="1"/>
  <c r="A76" i="939" s="1"/>
  <c r="A77" i="939" s="1"/>
  <c r="A78" i="939" s="1"/>
  <c r="A79" i="939" s="1"/>
  <c r="A80" i="939" s="1"/>
  <c r="A81" i="939" s="1"/>
  <c r="AF62" i="939"/>
  <c r="AF60" i="939"/>
  <c r="AF59" i="939"/>
  <c r="AA21" i="939"/>
  <c r="Z21" i="939"/>
  <c r="Y21" i="939"/>
  <c r="X21" i="939"/>
  <c r="W21" i="939"/>
  <c r="V21" i="939"/>
  <c r="U21" i="939"/>
  <c r="T21" i="939"/>
  <c r="S21" i="939"/>
  <c r="R21" i="939"/>
  <c r="N21" i="939"/>
  <c r="J21" i="939"/>
  <c r="I21" i="939"/>
  <c r="AF20" i="939"/>
  <c r="Q20" i="939"/>
  <c r="AF19" i="939"/>
  <c r="AB19" i="939"/>
  <c r="Q19" i="939"/>
  <c r="P19" i="939"/>
  <c r="AC19" i="939" s="1"/>
  <c r="O19" i="939"/>
  <c r="M19" i="939"/>
  <c r="K19" i="939"/>
  <c r="AF18" i="939"/>
  <c r="Q18" i="939"/>
  <c r="P18" i="939"/>
  <c r="AC18" i="939" s="1"/>
  <c r="O18" i="939"/>
  <c r="AF17" i="939"/>
  <c r="Q17" i="939"/>
  <c r="O17" i="939"/>
  <c r="AB17" i="939"/>
  <c r="AF16" i="939"/>
  <c r="AB16" i="939"/>
  <c r="Q16" i="939"/>
  <c r="P16" i="939" s="1"/>
  <c r="AC16" i="939" s="1"/>
  <c r="O16" i="939"/>
  <c r="M16" i="939"/>
  <c r="AF15" i="939"/>
  <c r="AB15" i="939"/>
  <c r="Q15" i="939"/>
  <c r="P15" i="939"/>
  <c r="AC15" i="939" s="1"/>
  <c r="O15" i="939"/>
  <c r="M15" i="939"/>
  <c r="K15" i="939"/>
  <c r="AF14" i="939"/>
  <c r="AB14" i="939"/>
  <c r="Q14" i="939"/>
  <c r="P14" i="939"/>
  <c r="AC14" i="939" s="1"/>
  <c r="O14" i="939"/>
  <c r="M14" i="939"/>
  <c r="K14" i="939"/>
  <c r="AF13" i="939"/>
  <c r="AB13" i="939"/>
  <c r="Q13" i="939"/>
  <c r="P13" i="939" s="1"/>
  <c r="AC13" i="939" s="1"/>
  <c r="M13" i="939"/>
  <c r="O13" i="939"/>
  <c r="AF12" i="939"/>
  <c r="AB12" i="939"/>
  <c r="Q12" i="939"/>
  <c r="P12" i="939" s="1"/>
  <c r="AC12" i="939" s="1"/>
  <c r="O12" i="939"/>
  <c r="M12" i="939"/>
  <c r="AF11" i="939"/>
  <c r="AC11" i="939"/>
  <c r="AB11" i="939"/>
  <c r="Q11" i="939"/>
  <c r="P11" i="939"/>
  <c r="O11" i="939"/>
  <c r="M11" i="939"/>
  <c r="K11" i="939"/>
  <c r="AF10" i="939"/>
  <c r="Q10" i="939"/>
  <c r="O10" i="939"/>
  <c r="AF9" i="939"/>
  <c r="AB9" i="939"/>
  <c r="Q9" i="939"/>
  <c r="P9" i="939" s="1"/>
  <c r="AC9" i="939" s="1"/>
  <c r="O9" i="939"/>
  <c r="AF8" i="939"/>
  <c r="AC8" i="939"/>
  <c r="AB8" i="939"/>
  <c r="Q8" i="939"/>
  <c r="P8" i="939"/>
  <c r="O8" i="939"/>
  <c r="M8" i="939"/>
  <c r="K8" i="939"/>
  <c r="AF7" i="939"/>
  <c r="AC7" i="939"/>
  <c r="AB7" i="939"/>
  <c r="Q7" i="939"/>
  <c r="P7" i="939"/>
  <c r="O7" i="939"/>
  <c r="M7" i="939"/>
  <c r="K7" i="939"/>
  <c r="AF6" i="939"/>
  <c r="AC6" i="939"/>
  <c r="AB6" i="939"/>
  <c r="Q6" i="939"/>
  <c r="P6" i="939"/>
  <c r="O6" i="939"/>
  <c r="M6" i="939"/>
  <c r="K6" i="939"/>
  <c r="AD22" i="941" l="1"/>
  <c r="M22" i="940"/>
  <c r="AD10" i="940"/>
  <c r="AB22" i="940"/>
  <c r="P22" i="940"/>
  <c r="AD21" i="940"/>
  <c r="AC22" i="940"/>
  <c r="AD7" i="939"/>
  <c r="AD12" i="939"/>
  <c r="AD19" i="939"/>
  <c r="AB20" i="939"/>
  <c r="AD8" i="939"/>
  <c r="AD16" i="939"/>
  <c r="M9" i="939"/>
  <c r="M18" i="939"/>
  <c r="AD11" i="939"/>
  <c r="Q21" i="939"/>
  <c r="L21" i="939"/>
  <c r="O21" i="939" s="1"/>
  <c r="M20" i="939"/>
  <c r="O20" i="939"/>
  <c r="AD9" i="939"/>
  <c r="AD15" i="939"/>
  <c r="AD14" i="939"/>
  <c r="AD13" i="939"/>
  <c r="K21" i="939"/>
  <c r="P10" i="939"/>
  <c r="AC10" i="939" s="1"/>
  <c r="P17" i="939"/>
  <c r="AC17" i="939" s="1"/>
  <c r="AD17" i="939" s="1"/>
  <c r="P20" i="939"/>
  <c r="AC20" i="939" s="1"/>
  <c r="AD20" i="939" s="1"/>
  <c r="AB18" i="939"/>
  <c r="AD18" i="939" s="1"/>
  <c r="AD6" i="939"/>
  <c r="M10" i="939"/>
  <c r="AB10" i="939"/>
  <c r="M17" i="939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2" i="938"/>
  <c r="L20" i="938"/>
  <c r="P20" i="938" s="1"/>
  <c r="AC20" i="938" s="1"/>
  <c r="L19" i="938"/>
  <c r="K19" i="938"/>
  <c r="L15" i="938"/>
  <c r="K15" i="938" s="1"/>
  <c r="K14" i="938"/>
  <c r="K13" i="938"/>
  <c r="AF14" i="938"/>
  <c r="AB14" i="938"/>
  <c r="Q14" i="938"/>
  <c r="P14" i="938" s="1"/>
  <c r="AC14" i="938" s="1"/>
  <c r="O14" i="938"/>
  <c r="M14" i="938"/>
  <c r="AF13" i="938"/>
  <c r="AB13" i="938"/>
  <c r="Q13" i="938"/>
  <c r="P13" i="938" s="1"/>
  <c r="AC13" i="938" s="1"/>
  <c r="O13" i="938"/>
  <c r="M13" i="938"/>
  <c r="L10" i="938"/>
  <c r="K10" i="938" s="1"/>
  <c r="L9" i="938"/>
  <c r="K22" i="938"/>
  <c r="K12" i="938"/>
  <c r="K8" i="938"/>
  <c r="A76" i="938"/>
  <c r="A77" i="938" s="1"/>
  <c r="A78" i="938" s="1"/>
  <c r="A79" i="938" s="1"/>
  <c r="A80" i="938" s="1"/>
  <c r="A81" i="938" s="1"/>
  <c r="A82" i="938" s="1"/>
  <c r="A83" i="938" s="1"/>
  <c r="AF62" i="938"/>
  <c r="AF64" i="938" s="1"/>
  <c r="AF61" i="938"/>
  <c r="AA23" i="938"/>
  <c r="Z23" i="938"/>
  <c r="Y23" i="938"/>
  <c r="X23" i="938"/>
  <c r="W23" i="938"/>
  <c r="V23" i="938"/>
  <c r="U23" i="938"/>
  <c r="T23" i="938"/>
  <c r="S23" i="938"/>
  <c r="R23" i="938"/>
  <c r="N23" i="938"/>
  <c r="J23" i="938"/>
  <c r="AF22" i="938"/>
  <c r="AB22" i="938"/>
  <c r="Q22" i="938"/>
  <c r="P22" i="938" s="1"/>
  <c r="AC22" i="938" s="1"/>
  <c r="O22" i="938"/>
  <c r="M22" i="938"/>
  <c r="AF21" i="938"/>
  <c r="AB21" i="938"/>
  <c r="Q21" i="938"/>
  <c r="P21" i="938"/>
  <c r="AC21" i="938" s="1"/>
  <c r="AD21" i="938" s="1"/>
  <c r="O21" i="938"/>
  <c r="M21" i="938"/>
  <c r="K21" i="938"/>
  <c r="AF20" i="938"/>
  <c r="Q20" i="938"/>
  <c r="AF19" i="938"/>
  <c r="AB19" i="938"/>
  <c r="Q19" i="938"/>
  <c r="P19" i="938" s="1"/>
  <c r="AC19" i="938" s="1"/>
  <c r="O19" i="938"/>
  <c r="M19" i="938"/>
  <c r="AF18" i="938"/>
  <c r="AB18" i="938"/>
  <c r="Q18" i="938"/>
  <c r="P18" i="938"/>
  <c r="AC18" i="938" s="1"/>
  <c r="AD18" i="938" s="1"/>
  <c r="O18" i="938"/>
  <c r="M18" i="938"/>
  <c r="K18" i="938"/>
  <c r="AF17" i="938"/>
  <c r="AB17" i="938"/>
  <c r="Q17" i="938"/>
  <c r="P17" i="938"/>
  <c r="AC17" i="938" s="1"/>
  <c r="O17" i="938"/>
  <c r="M17" i="938"/>
  <c r="K17" i="938"/>
  <c r="AF16" i="938"/>
  <c r="AC16" i="938"/>
  <c r="AB16" i="938"/>
  <c r="Q16" i="938"/>
  <c r="P16" i="938"/>
  <c r="O16" i="938"/>
  <c r="M16" i="938"/>
  <c r="K16" i="938"/>
  <c r="AF15" i="938"/>
  <c r="AB15" i="938"/>
  <c r="Q15" i="938"/>
  <c r="I23" i="938"/>
  <c r="AF12" i="938"/>
  <c r="AB12" i="938"/>
  <c r="Q12" i="938"/>
  <c r="P12" i="938" s="1"/>
  <c r="AC12" i="938" s="1"/>
  <c r="O12" i="938"/>
  <c r="M12" i="938"/>
  <c r="AF11" i="938"/>
  <c r="AB11" i="938"/>
  <c r="Q11" i="938"/>
  <c r="P11" i="938"/>
  <c r="AC11" i="938" s="1"/>
  <c r="O11" i="938"/>
  <c r="M11" i="938"/>
  <c r="K11" i="938"/>
  <c r="AF10" i="938"/>
  <c r="AB10" i="938"/>
  <c r="Q10" i="938"/>
  <c r="P10" i="938" s="1"/>
  <c r="AC10" i="938" s="1"/>
  <c r="AD10" i="938" s="1"/>
  <c r="O10" i="938"/>
  <c r="M10" i="938"/>
  <c r="AF9" i="938"/>
  <c r="AB9" i="938"/>
  <c r="Q9" i="938"/>
  <c r="P9" i="938" s="1"/>
  <c r="AC9" i="938" s="1"/>
  <c r="O9" i="938"/>
  <c r="M9" i="938"/>
  <c r="K9" i="938"/>
  <c r="AF8" i="938"/>
  <c r="Q8" i="938"/>
  <c r="P8" i="938"/>
  <c r="AC8" i="938" s="1"/>
  <c r="L23" i="938"/>
  <c r="O23" i="938" s="1"/>
  <c r="AF7" i="938"/>
  <c r="AB7" i="938"/>
  <c r="Q7" i="938"/>
  <c r="P7" i="938"/>
  <c r="AC7" i="938" s="1"/>
  <c r="O7" i="938"/>
  <c r="M7" i="938"/>
  <c r="K7" i="938"/>
  <c r="AF6" i="938"/>
  <c r="AB6" i="938"/>
  <c r="Q6" i="938"/>
  <c r="P6" i="938"/>
  <c r="O6" i="938"/>
  <c r="M6" i="938"/>
  <c r="K6" i="938"/>
  <c r="AE20" i="941" l="1"/>
  <c r="AE7" i="941"/>
  <c r="AE16" i="941"/>
  <c r="AE14" i="941"/>
  <c r="AE12" i="941"/>
  <c r="AE10" i="941"/>
  <c r="AE21" i="941"/>
  <c r="AE18" i="941"/>
  <c r="AE19" i="941"/>
  <c r="AE8" i="941"/>
  <c r="AE6" i="941"/>
  <c r="AE17" i="941"/>
  <c r="AE15" i="941"/>
  <c r="AE13" i="941"/>
  <c r="AE11" i="941"/>
  <c r="AE9" i="941"/>
  <c r="AE14" i="940"/>
  <c r="AE6" i="940"/>
  <c r="AE20" i="940"/>
  <c r="AE15" i="940"/>
  <c r="AE9" i="940"/>
  <c r="AE18" i="940"/>
  <c r="AE10" i="940"/>
  <c r="AE21" i="940"/>
  <c r="AE12" i="940"/>
  <c r="AE19" i="940"/>
  <c r="AE16" i="940"/>
  <c r="AE13" i="940"/>
  <c r="AE11" i="940"/>
  <c r="AE8" i="940"/>
  <c r="M21" i="939"/>
  <c r="AB21" i="939"/>
  <c r="AC21" i="939"/>
  <c r="P21" i="939"/>
  <c r="AD10" i="939"/>
  <c r="AD21" i="939" s="1"/>
  <c r="M20" i="938"/>
  <c r="AB20" i="938"/>
  <c r="K20" i="938"/>
  <c r="K23" i="938" s="1"/>
  <c r="O20" i="938"/>
  <c r="M15" i="938"/>
  <c r="O15" i="938"/>
  <c r="P15" i="938"/>
  <c r="AC15" i="938" s="1"/>
  <c r="AD15" i="938" s="1"/>
  <c r="AD14" i="938"/>
  <c r="AD13" i="938"/>
  <c r="AD22" i="938"/>
  <c r="AD20" i="938"/>
  <c r="Q23" i="938"/>
  <c r="AD9" i="938"/>
  <c r="AD7" i="938"/>
  <c r="AD12" i="938"/>
  <c r="AD17" i="938"/>
  <c r="AD11" i="938"/>
  <c r="AD16" i="938"/>
  <c r="AD19" i="938"/>
  <c r="P23" i="938"/>
  <c r="AC6" i="938"/>
  <c r="M8" i="938"/>
  <c r="M23" i="938" s="1"/>
  <c r="AB8" i="938"/>
  <c r="AB23" i="938" s="1"/>
  <c r="O8" i="938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K20" i="937"/>
  <c r="K20" i="936"/>
  <c r="L20" i="937"/>
  <c r="K18" i="937"/>
  <c r="K12" i="937"/>
  <c r="K10" i="937"/>
  <c r="AE7" i="940" l="1"/>
  <c r="AE17" i="940"/>
  <c r="AE11" i="939"/>
  <c r="AE8" i="939"/>
  <c r="AE19" i="939"/>
  <c r="AE16" i="939"/>
  <c r="AE14" i="939"/>
  <c r="AE9" i="939"/>
  <c r="AE10" i="939"/>
  <c r="AE20" i="939"/>
  <c r="AE17" i="939"/>
  <c r="AE12" i="939"/>
  <c r="AE18" i="939"/>
  <c r="AE15" i="939"/>
  <c r="AE13" i="939"/>
  <c r="AE6" i="939"/>
  <c r="AE7" i="939"/>
  <c r="AD8" i="938"/>
  <c r="AC23" i="938"/>
  <c r="AD6" i="938"/>
  <c r="K9" i="937"/>
  <c r="L8" i="937"/>
  <c r="K8" i="937" s="1"/>
  <c r="K17" i="937"/>
  <c r="K16" i="937"/>
  <c r="K13" i="937"/>
  <c r="K7" i="937"/>
  <c r="AD23" i="938" l="1"/>
  <c r="A75" i="937"/>
  <c r="A76" i="937" s="1"/>
  <c r="A77" i="937" s="1"/>
  <c r="A78" i="937" s="1"/>
  <c r="A79" i="937" s="1"/>
  <c r="A80" i="937" s="1"/>
  <c r="A81" i="937" s="1"/>
  <c r="A74" i="937"/>
  <c r="AF60" i="937"/>
  <c r="AF59" i="937"/>
  <c r="AF62" i="937" s="1"/>
  <c r="AA21" i="937"/>
  <c r="Z21" i="937"/>
  <c r="Y21" i="937"/>
  <c r="X21" i="937"/>
  <c r="W21" i="937"/>
  <c r="V21" i="937"/>
  <c r="U21" i="937"/>
  <c r="T21" i="937"/>
  <c r="S21" i="937"/>
  <c r="R21" i="937"/>
  <c r="N21" i="937"/>
  <c r="J21" i="937"/>
  <c r="AF20" i="937"/>
  <c r="Q20" i="937"/>
  <c r="O20" i="937"/>
  <c r="AF19" i="937"/>
  <c r="AB19" i="937"/>
  <c r="Q19" i="937"/>
  <c r="P19" i="937"/>
  <c r="AC19" i="937" s="1"/>
  <c r="AD19" i="937" s="1"/>
  <c r="O19" i="937"/>
  <c r="M19" i="937"/>
  <c r="K19" i="937"/>
  <c r="AF18" i="937"/>
  <c r="AB18" i="937"/>
  <c r="Q18" i="937"/>
  <c r="P18" i="937"/>
  <c r="AC18" i="937" s="1"/>
  <c r="O18" i="937"/>
  <c r="M18" i="937"/>
  <c r="AF17" i="937"/>
  <c r="Q17" i="937"/>
  <c r="P17" i="937"/>
  <c r="AC17" i="937" s="1"/>
  <c r="O17" i="937"/>
  <c r="AB17" i="937"/>
  <c r="AF16" i="937"/>
  <c r="AB16" i="937"/>
  <c r="Q16" i="937"/>
  <c r="O16" i="937"/>
  <c r="M16" i="937"/>
  <c r="P16" i="937"/>
  <c r="AC16" i="937" s="1"/>
  <c r="AF15" i="937"/>
  <c r="AB15" i="937"/>
  <c r="Q15" i="937"/>
  <c r="P15" i="937"/>
  <c r="AC15" i="937" s="1"/>
  <c r="O15" i="937"/>
  <c r="M15" i="937"/>
  <c r="K15" i="937"/>
  <c r="AF14" i="937"/>
  <c r="AB14" i="937"/>
  <c r="Q14" i="937"/>
  <c r="P14" i="937"/>
  <c r="AC14" i="937" s="1"/>
  <c r="AD14" i="937" s="1"/>
  <c r="O14" i="937"/>
  <c r="M14" i="937"/>
  <c r="K14" i="937"/>
  <c r="AF13" i="937"/>
  <c r="AB13" i="937"/>
  <c r="Q13" i="937"/>
  <c r="P13" i="937" s="1"/>
  <c r="AC13" i="937" s="1"/>
  <c r="M13" i="937"/>
  <c r="I13" i="937"/>
  <c r="I21" i="937" s="1"/>
  <c r="AF12" i="937"/>
  <c r="AB12" i="937"/>
  <c r="Q12" i="937"/>
  <c r="P12" i="937" s="1"/>
  <c r="AC12" i="937" s="1"/>
  <c r="O12" i="937"/>
  <c r="M12" i="937"/>
  <c r="AF11" i="937"/>
  <c r="AB11" i="937"/>
  <c r="Q11" i="937"/>
  <c r="P11" i="937"/>
  <c r="AC11" i="937" s="1"/>
  <c r="AD11" i="937" s="1"/>
  <c r="O11" i="937"/>
  <c r="M11" i="937"/>
  <c r="K11" i="937"/>
  <c r="AF10" i="937"/>
  <c r="AB10" i="937"/>
  <c r="Q10" i="937"/>
  <c r="P10" i="937" s="1"/>
  <c r="AC10" i="937" s="1"/>
  <c r="O10" i="937"/>
  <c r="M10" i="937"/>
  <c r="AF9" i="937"/>
  <c r="Q9" i="937"/>
  <c r="P9" i="937"/>
  <c r="AC9" i="937" s="1"/>
  <c r="O9" i="937"/>
  <c r="AB9" i="937"/>
  <c r="AF8" i="937"/>
  <c r="AB8" i="937"/>
  <c r="Q8" i="937"/>
  <c r="P8" i="937" s="1"/>
  <c r="AC8" i="937" s="1"/>
  <c r="O8" i="937"/>
  <c r="M8" i="937"/>
  <c r="AF7" i="937"/>
  <c r="AB7" i="937"/>
  <c r="Q7" i="937"/>
  <c r="M7" i="937"/>
  <c r="P7" i="937"/>
  <c r="AC7" i="937" s="1"/>
  <c r="AF6" i="937"/>
  <c r="AB6" i="937"/>
  <c r="Q6" i="937"/>
  <c r="P6" i="937"/>
  <c r="AC6" i="937" s="1"/>
  <c r="O6" i="937"/>
  <c r="M6" i="937"/>
  <c r="K6" i="937"/>
  <c r="AE12" i="938" l="1"/>
  <c r="AE14" i="938"/>
  <c r="AE13" i="938"/>
  <c r="AE11" i="938"/>
  <c r="AE15" i="938"/>
  <c r="AE18" i="938"/>
  <c r="AE19" i="938"/>
  <c r="AE16" i="938"/>
  <c r="AE17" i="938"/>
  <c r="AE10" i="938"/>
  <c r="AE21" i="938"/>
  <c r="AE7" i="938"/>
  <c r="AE9" i="938"/>
  <c r="AE6" i="938"/>
  <c r="AE8" i="938"/>
  <c r="AE20" i="938"/>
  <c r="AE22" i="938"/>
  <c r="AD8" i="937"/>
  <c r="Q21" i="937"/>
  <c r="AD9" i="937"/>
  <c r="AD12" i="937"/>
  <c r="AD15" i="937"/>
  <c r="AD16" i="937"/>
  <c r="AD10" i="937"/>
  <c r="AD18" i="937"/>
  <c r="AD17" i="937"/>
  <c r="AD6" i="937"/>
  <c r="P20" i="937"/>
  <c r="AC20" i="937" s="1"/>
  <c r="O7" i="937"/>
  <c r="AD7" i="937" s="1"/>
  <c r="O13" i="937"/>
  <c r="AD13" i="937" s="1"/>
  <c r="M20" i="937"/>
  <c r="AB20" i="937"/>
  <c r="AB21" i="937" s="1"/>
  <c r="L21" i="937"/>
  <c r="O21" i="937" s="1"/>
  <c r="K21" i="937"/>
  <c r="M9" i="937"/>
  <c r="M17" i="937"/>
  <c r="AD21" i="93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0" i="936"/>
  <c r="L17" i="936"/>
  <c r="K17" i="936" s="1"/>
  <c r="L16" i="936"/>
  <c r="L13" i="936"/>
  <c r="L9" i="936"/>
  <c r="K9" i="936" s="1"/>
  <c r="L8" i="936"/>
  <c r="K8" i="936" s="1"/>
  <c r="L7" i="936"/>
  <c r="K7" i="936" s="1"/>
  <c r="K18" i="936"/>
  <c r="K16" i="936"/>
  <c r="K14" i="936"/>
  <c r="K13" i="936"/>
  <c r="K11" i="936"/>
  <c r="K10" i="936"/>
  <c r="A75" i="936"/>
  <c r="A76" i="936" s="1"/>
  <c r="A77" i="936" s="1"/>
  <c r="A78" i="936" s="1"/>
  <c r="A79" i="936" s="1"/>
  <c r="A80" i="936" s="1"/>
  <c r="A81" i="936" s="1"/>
  <c r="A74" i="936"/>
  <c r="AF60" i="936"/>
  <c r="AF59" i="936"/>
  <c r="AF62" i="936" s="1"/>
  <c r="AA21" i="936"/>
  <c r="Z21" i="936"/>
  <c r="Y21" i="936"/>
  <c r="X21" i="936"/>
  <c r="W21" i="936"/>
  <c r="V21" i="936"/>
  <c r="U21" i="936"/>
  <c r="T21" i="936"/>
  <c r="S21" i="936"/>
  <c r="R21" i="936"/>
  <c r="N21" i="936"/>
  <c r="J21" i="936"/>
  <c r="AF20" i="936"/>
  <c r="Q20" i="936"/>
  <c r="O20" i="936"/>
  <c r="AF19" i="936"/>
  <c r="AB19" i="936"/>
  <c r="Q19" i="936"/>
  <c r="P19" i="936"/>
  <c r="AC19" i="936" s="1"/>
  <c r="O19" i="936"/>
  <c r="M19" i="936"/>
  <c r="K19" i="936"/>
  <c r="AF18" i="936"/>
  <c r="AB18" i="936"/>
  <c r="Q18" i="936"/>
  <c r="P18" i="936"/>
  <c r="AC18" i="936" s="1"/>
  <c r="O18" i="936"/>
  <c r="M18" i="936"/>
  <c r="AF17" i="936"/>
  <c r="AB17" i="936"/>
  <c r="Q17" i="936"/>
  <c r="P17" i="936" s="1"/>
  <c r="AC17" i="936" s="1"/>
  <c r="O17" i="936"/>
  <c r="M17" i="936"/>
  <c r="AF16" i="936"/>
  <c r="AB16" i="936"/>
  <c r="Q16" i="936"/>
  <c r="P16" i="936"/>
  <c r="AC16" i="936" s="1"/>
  <c r="M16" i="936"/>
  <c r="O16" i="936"/>
  <c r="AF15" i="936"/>
  <c r="AB15" i="936"/>
  <c r="Q15" i="936"/>
  <c r="P15" i="936"/>
  <c r="AC15" i="936" s="1"/>
  <c r="AD15" i="936" s="1"/>
  <c r="O15" i="936"/>
  <c r="M15" i="936"/>
  <c r="K15" i="936"/>
  <c r="AF14" i="936"/>
  <c r="Q14" i="936"/>
  <c r="O14" i="936"/>
  <c r="P14" i="936"/>
  <c r="AC14" i="936" s="1"/>
  <c r="AF13" i="936"/>
  <c r="AB13" i="936"/>
  <c r="Q13" i="936"/>
  <c r="P13" i="936"/>
  <c r="AC13" i="936" s="1"/>
  <c r="M13" i="936"/>
  <c r="O13" i="936"/>
  <c r="I13" i="936"/>
  <c r="I21" i="936" s="1"/>
  <c r="AF12" i="936"/>
  <c r="AB12" i="936"/>
  <c r="Q12" i="936"/>
  <c r="P12" i="936"/>
  <c r="AC12" i="936" s="1"/>
  <c r="O12" i="936"/>
  <c r="M12" i="936"/>
  <c r="K12" i="936"/>
  <c r="AF11" i="936"/>
  <c r="AB11" i="936"/>
  <c r="Q11" i="936"/>
  <c r="P11" i="936"/>
  <c r="AC11" i="936" s="1"/>
  <c r="O11" i="936"/>
  <c r="M11" i="936"/>
  <c r="AF10" i="936"/>
  <c r="AB10" i="936"/>
  <c r="Q10" i="936"/>
  <c r="P10" i="936"/>
  <c r="AC10" i="936" s="1"/>
  <c r="AD10" i="936" s="1"/>
  <c r="O10" i="936"/>
  <c r="M10" i="936"/>
  <c r="AF9" i="936"/>
  <c r="AB9" i="936"/>
  <c r="Q9" i="936"/>
  <c r="P9" i="936" s="1"/>
  <c r="AC9" i="936" s="1"/>
  <c r="O9" i="936"/>
  <c r="M9" i="936"/>
  <c r="AF8" i="936"/>
  <c r="AB8" i="936"/>
  <c r="Q8" i="936"/>
  <c r="P8" i="936" s="1"/>
  <c r="AC8" i="936" s="1"/>
  <c r="AD8" i="936" s="1"/>
  <c r="O8" i="936"/>
  <c r="M8" i="936"/>
  <c r="AF7" i="936"/>
  <c r="AB7" i="936"/>
  <c r="Q7" i="936"/>
  <c r="P7" i="936" s="1"/>
  <c r="AC7" i="936" s="1"/>
  <c r="M7" i="936"/>
  <c r="L21" i="936"/>
  <c r="O21" i="936" s="1"/>
  <c r="AF6" i="936"/>
  <c r="AC6" i="936"/>
  <c r="AB6" i="936"/>
  <c r="Q6" i="936"/>
  <c r="P6" i="936"/>
  <c r="O6" i="936"/>
  <c r="M6" i="936"/>
  <c r="K6" i="936"/>
  <c r="AD20" i="937" l="1"/>
  <c r="M21" i="937"/>
  <c r="AD21" i="937"/>
  <c r="P21" i="937"/>
  <c r="AC21" i="937"/>
  <c r="Q21" i="936"/>
  <c r="AD9" i="936"/>
  <c r="AD11" i="936"/>
  <c r="AD19" i="936"/>
  <c r="AD18" i="936"/>
  <c r="AD12" i="936"/>
  <c r="AD17" i="936"/>
  <c r="AD16" i="936"/>
  <c r="AD13" i="936"/>
  <c r="O7" i="936"/>
  <c r="AD7" i="936" s="1"/>
  <c r="M14" i="936"/>
  <c r="AB14" i="936"/>
  <c r="P20" i="936"/>
  <c r="AC20" i="936" s="1"/>
  <c r="AC21" i="936" s="1"/>
  <c r="AD6" i="936"/>
  <c r="K21" i="936"/>
  <c r="M20" i="936"/>
  <c r="M21" i="936" s="1"/>
  <c r="AB20" i="936"/>
  <c r="L20" i="935"/>
  <c r="K20" i="935" s="1"/>
  <c r="L16" i="935"/>
  <c r="K16" i="935" s="1"/>
  <c r="L14" i="935"/>
  <c r="I13" i="935"/>
  <c r="I21" i="935" s="1"/>
  <c r="L13" i="935"/>
  <c r="K13" i="935" s="1"/>
  <c r="L7" i="935"/>
  <c r="K7" i="935" s="1"/>
  <c r="K18" i="935"/>
  <c r="K11" i="935"/>
  <c r="K10" i="935"/>
  <c r="K9" i="935"/>
  <c r="K8" i="935"/>
  <c r="A75" i="935"/>
  <c r="A76" i="935" s="1"/>
  <c r="A77" i="935" s="1"/>
  <c r="A78" i="935" s="1"/>
  <c r="A79" i="935" s="1"/>
  <c r="A80" i="935" s="1"/>
  <c r="A81" i="935" s="1"/>
  <c r="A74" i="935"/>
  <c r="AF60" i="935"/>
  <c r="AF59" i="935"/>
  <c r="AF62" i="935" s="1"/>
  <c r="AA21" i="935"/>
  <c r="Z21" i="935"/>
  <c r="Y21" i="935"/>
  <c r="X21" i="935"/>
  <c r="W21" i="935"/>
  <c r="V21" i="935"/>
  <c r="U21" i="935"/>
  <c r="T21" i="935"/>
  <c r="S21" i="935"/>
  <c r="R21" i="935"/>
  <c r="N21" i="935"/>
  <c r="J21" i="935"/>
  <c r="AF20" i="935"/>
  <c r="Q20" i="935"/>
  <c r="O20" i="935"/>
  <c r="AF19" i="935"/>
  <c r="AB19" i="935"/>
  <c r="Q19" i="935"/>
  <c r="P19" i="935"/>
  <c r="AC19" i="935" s="1"/>
  <c r="AD19" i="935" s="1"/>
  <c r="O19" i="935"/>
  <c r="M19" i="935"/>
  <c r="K19" i="935"/>
  <c r="AF18" i="935"/>
  <c r="AB18" i="935"/>
  <c r="Q18" i="935"/>
  <c r="P18" i="935" s="1"/>
  <c r="AC18" i="935" s="1"/>
  <c r="O18" i="935"/>
  <c r="M18" i="935"/>
  <c r="AF17" i="935"/>
  <c r="AB17" i="935"/>
  <c r="Q17" i="935"/>
  <c r="P17" i="935"/>
  <c r="AC17" i="935" s="1"/>
  <c r="O17" i="935"/>
  <c r="M17" i="935"/>
  <c r="K17" i="935"/>
  <c r="AF16" i="935"/>
  <c r="Q16" i="935"/>
  <c r="P16" i="935" s="1"/>
  <c r="AC16" i="935" s="1"/>
  <c r="O16" i="935"/>
  <c r="AB16" i="935"/>
  <c r="AF15" i="935"/>
  <c r="AB15" i="935"/>
  <c r="Q15" i="935"/>
  <c r="P15" i="935"/>
  <c r="AC15" i="935" s="1"/>
  <c r="AD15" i="935" s="1"/>
  <c r="O15" i="935"/>
  <c r="M15" i="935"/>
  <c r="K15" i="935"/>
  <c r="AF14" i="935"/>
  <c r="AB14" i="935"/>
  <c r="Q14" i="935"/>
  <c r="P14" i="935" s="1"/>
  <c r="AC14" i="935" s="1"/>
  <c r="O14" i="935"/>
  <c r="M14" i="935"/>
  <c r="K14" i="935"/>
  <c r="AF13" i="935"/>
  <c r="Q13" i="935"/>
  <c r="AF12" i="935"/>
  <c r="AB12" i="935"/>
  <c r="Q12" i="935"/>
  <c r="P12" i="935"/>
  <c r="AC12" i="935" s="1"/>
  <c r="AD12" i="935" s="1"/>
  <c r="O12" i="935"/>
  <c r="M12" i="935"/>
  <c r="K12" i="935"/>
  <c r="AF11" i="935"/>
  <c r="Q11" i="935"/>
  <c r="P11" i="935" s="1"/>
  <c r="AC11" i="935" s="1"/>
  <c r="O11" i="935"/>
  <c r="AB11" i="935"/>
  <c r="AF10" i="935"/>
  <c r="AB10" i="935"/>
  <c r="Q10" i="935"/>
  <c r="P10" i="935"/>
  <c r="AC10" i="935" s="1"/>
  <c r="O10" i="935"/>
  <c r="M10" i="935"/>
  <c r="AF9" i="935"/>
  <c r="AB9" i="935"/>
  <c r="Q9" i="935"/>
  <c r="P9" i="935" s="1"/>
  <c r="AC9" i="935" s="1"/>
  <c r="M9" i="935"/>
  <c r="AF8" i="935"/>
  <c r="Q8" i="935"/>
  <c r="AF7" i="935"/>
  <c r="AB7" i="935"/>
  <c r="Q7" i="935"/>
  <c r="P7" i="935"/>
  <c r="AC7" i="935" s="1"/>
  <c r="AD7" i="935" s="1"/>
  <c r="O7" i="935"/>
  <c r="M7" i="935"/>
  <c r="AF6" i="935"/>
  <c r="AB6" i="935"/>
  <c r="Q6" i="935"/>
  <c r="P6" i="935"/>
  <c r="AC6" i="935" s="1"/>
  <c r="O6" i="935"/>
  <c r="M6" i="935"/>
  <c r="K6" i="935"/>
  <c r="AE16" i="937" l="1"/>
  <c r="AE8" i="937"/>
  <c r="AE19" i="937"/>
  <c r="AE17" i="937"/>
  <c r="AE14" i="937"/>
  <c r="AE11" i="937"/>
  <c r="AE9" i="937"/>
  <c r="AE20" i="937"/>
  <c r="AE18" i="937"/>
  <c r="AE15" i="937"/>
  <c r="AE13" i="937"/>
  <c r="AE12" i="937"/>
  <c r="AE10" i="937"/>
  <c r="AE7" i="937"/>
  <c r="AE6" i="937"/>
  <c r="AB21" i="936"/>
  <c r="AD14" i="936"/>
  <c r="P21" i="936"/>
  <c r="AD20" i="936"/>
  <c r="L21" i="935"/>
  <c r="O21" i="935" s="1"/>
  <c r="M13" i="935"/>
  <c r="AB13" i="935"/>
  <c r="O13" i="935"/>
  <c r="P13" i="935"/>
  <c r="AC13" i="935" s="1"/>
  <c r="Q21" i="935"/>
  <c r="AD14" i="935"/>
  <c r="AD10" i="935"/>
  <c r="AD17" i="935"/>
  <c r="AD18" i="935"/>
  <c r="AD11" i="935"/>
  <c r="AD16" i="935"/>
  <c r="M8" i="935"/>
  <c r="AB8" i="935"/>
  <c r="O9" i="935"/>
  <c r="AD9" i="935" s="1"/>
  <c r="AD6" i="935"/>
  <c r="O8" i="935"/>
  <c r="M11" i="935"/>
  <c r="M16" i="935"/>
  <c r="P20" i="935"/>
  <c r="AC20" i="935" s="1"/>
  <c r="K21" i="935"/>
  <c r="P8" i="935"/>
  <c r="AC8" i="935" s="1"/>
  <c r="M20" i="935"/>
  <c r="AB20" i="935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20" i="934"/>
  <c r="K20" i="934" s="1"/>
  <c r="L18" i="934"/>
  <c r="K18" i="934" s="1"/>
  <c r="L16" i="934"/>
  <c r="K16" i="934" s="1"/>
  <c r="L13" i="934"/>
  <c r="L11" i="934"/>
  <c r="K11" i="934" s="1"/>
  <c r="L10" i="934"/>
  <c r="K10" i="934" s="1"/>
  <c r="L9" i="934"/>
  <c r="O9" i="934" s="1"/>
  <c r="K9" i="934"/>
  <c r="L8" i="934"/>
  <c r="K13" i="934"/>
  <c r="K8" i="934"/>
  <c r="A74" i="934"/>
  <c r="A75" i="934" s="1"/>
  <c r="A76" i="934" s="1"/>
  <c r="A77" i="934" s="1"/>
  <c r="A78" i="934" s="1"/>
  <c r="A79" i="934" s="1"/>
  <c r="A80" i="934" s="1"/>
  <c r="A81" i="934" s="1"/>
  <c r="AF62" i="934"/>
  <c r="AF60" i="934"/>
  <c r="AF59" i="934"/>
  <c r="AA21" i="934"/>
  <c r="Z21" i="934"/>
  <c r="Y21" i="934"/>
  <c r="X21" i="934"/>
  <c r="W21" i="934"/>
  <c r="V21" i="934"/>
  <c r="U21" i="934"/>
  <c r="T21" i="934"/>
  <c r="S21" i="934"/>
  <c r="R21" i="934"/>
  <c r="N21" i="934"/>
  <c r="J21" i="934"/>
  <c r="I21" i="934"/>
  <c r="AF20" i="934"/>
  <c r="Q20" i="934"/>
  <c r="M20" i="934"/>
  <c r="AB20" i="934"/>
  <c r="AF19" i="934"/>
  <c r="AB19" i="934"/>
  <c r="Q19" i="934"/>
  <c r="P19" i="934"/>
  <c r="AC19" i="934" s="1"/>
  <c r="O19" i="934"/>
  <c r="M19" i="934"/>
  <c r="K19" i="934"/>
  <c r="AF18" i="934"/>
  <c r="Q18" i="934"/>
  <c r="P18" i="934" s="1"/>
  <c r="AC18" i="934" s="1"/>
  <c r="M18" i="934"/>
  <c r="O18" i="934"/>
  <c r="AF17" i="934"/>
  <c r="AB17" i="934"/>
  <c r="Q17" i="934"/>
  <c r="P17" i="934"/>
  <c r="AC17" i="934" s="1"/>
  <c r="AD17" i="934" s="1"/>
  <c r="O17" i="934"/>
  <c r="M17" i="934"/>
  <c r="K17" i="934"/>
  <c r="AF16" i="934"/>
  <c r="Q16" i="934"/>
  <c r="AF15" i="934"/>
  <c r="AB15" i="934"/>
  <c r="Q15" i="934"/>
  <c r="P15" i="934"/>
  <c r="AC15" i="934" s="1"/>
  <c r="O15" i="934"/>
  <c r="M15" i="934"/>
  <c r="K15" i="934"/>
  <c r="AF14" i="934"/>
  <c r="AB14" i="934"/>
  <c r="Q14" i="934"/>
  <c r="P14" i="934"/>
  <c r="AC14" i="934" s="1"/>
  <c r="O14" i="934"/>
  <c r="M14" i="934"/>
  <c r="K14" i="934"/>
  <c r="AF13" i="934"/>
  <c r="Q13" i="934"/>
  <c r="P13" i="934"/>
  <c r="AC13" i="934" s="1"/>
  <c r="AF12" i="934"/>
  <c r="AB12" i="934"/>
  <c r="Q12" i="934"/>
  <c r="P12" i="934"/>
  <c r="AC12" i="934" s="1"/>
  <c r="O12" i="934"/>
  <c r="M12" i="934"/>
  <c r="K12" i="934"/>
  <c r="AF11" i="934"/>
  <c r="AB11" i="934"/>
  <c r="Q11" i="934"/>
  <c r="P11" i="934" s="1"/>
  <c r="AC11" i="934" s="1"/>
  <c r="O11" i="934"/>
  <c r="M11" i="934"/>
  <c r="AF10" i="934"/>
  <c r="Q10" i="934"/>
  <c r="P10" i="934"/>
  <c r="AC10" i="934" s="1"/>
  <c r="AF9" i="934"/>
  <c r="Q9" i="934"/>
  <c r="P9" i="934" s="1"/>
  <c r="AC9" i="934" s="1"/>
  <c r="AF8" i="934"/>
  <c r="Q8" i="934"/>
  <c r="P8" i="934" s="1"/>
  <c r="AC8" i="934" s="1"/>
  <c r="O8" i="934"/>
  <c r="AF7" i="934"/>
  <c r="AB7" i="934"/>
  <c r="Q7" i="934"/>
  <c r="P7" i="934"/>
  <c r="AC7" i="934" s="1"/>
  <c r="AD7" i="934" s="1"/>
  <c r="O7" i="934"/>
  <c r="M7" i="934"/>
  <c r="K7" i="934"/>
  <c r="AF6" i="934"/>
  <c r="AB6" i="934"/>
  <c r="Q6" i="934"/>
  <c r="P6" i="934"/>
  <c r="O6" i="934"/>
  <c r="M6" i="934"/>
  <c r="K6" i="934"/>
  <c r="AE19" i="936" l="1"/>
  <c r="AB21" i="935"/>
  <c r="AD13" i="935"/>
  <c r="AD8" i="935"/>
  <c r="M21" i="935"/>
  <c r="AD20" i="935"/>
  <c r="P21" i="935"/>
  <c r="AC21" i="935"/>
  <c r="O20" i="934"/>
  <c r="P16" i="934"/>
  <c r="AC16" i="934" s="1"/>
  <c r="Q21" i="934"/>
  <c r="L21" i="934"/>
  <c r="O21" i="934" s="1"/>
  <c r="AD14" i="934"/>
  <c r="AD12" i="934"/>
  <c r="AD19" i="934"/>
  <c r="AD11" i="934"/>
  <c r="AD15" i="934"/>
  <c r="M10" i="934"/>
  <c r="AB10" i="934"/>
  <c r="M13" i="934"/>
  <c r="AB13" i="934"/>
  <c r="M16" i="934"/>
  <c r="AB16" i="934"/>
  <c r="P20" i="934"/>
  <c r="AC20" i="934" s="1"/>
  <c r="AD20" i="934" s="1"/>
  <c r="AB9" i="934"/>
  <c r="AD9" i="934" s="1"/>
  <c r="O10" i="934"/>
  <c r="O13" i="934"/>
  <c r="O16" i="934"/>
  <c r="AB18" i="934"/>
  <c r="AD18" i="934" s="1"/>
  <c r="M9" i="934"/>
  <c r="AC6" i="934"/>
  <c r="M8" i="934"/>
  <c r="AB8" i="934"/>
  <c r="K21" i="934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0" i="932"/>
  <c r="M20" i="932" s="1"/>
  <c r="L18" i="932"/>
  <c r="L16" i="932"/>
  <c r="K16" i="932" s="1"/>
  <c r="L14" i="932"/>
  <c r="K14" i="932" s="1"/>
  <c r="L13" i="932"/>
  <c r="L11" i="932"/>
  <c r="K11" i="932" s="1"/>
  <c r="L10" i="932"/>
  <c r="K10" i="932"/>
  <c r="L9" i="932"/>
  <c r="L8" i="932"/>
  <c r="K8" i="932" s="1"/>
  <c r="K13" i="932"/>
  <c r="K9" i="932"/>
  <c r="A77" i="932"/>
  <c r="A78" i="932" s="1"/>
  <c r="A79" i="932" s="1"/>
  <c r="A80" i="932" s="1"/>
  <c r="A81" i="932" s="1"/>
  <c r="A76" i="932"/>
  <c r="A75" i="932"/>
  <c r="A74" i="932"/>
  <c r="AF62" i="932"/>
  <c r="AF60" i="932"/>
  <c r="AF59" i="932"/>
  <c r="AA21" i="932"/>
  <c r="Z21" i="932"/>
  <c r="Y21" i="932"/>
  <c r="X21" i="932"/>
  <c r="W21" i="932"/>
  <c r="V21" i="932"/>
  <c r="U21" i="932"/>
  <c r="T21" i="932"/>
  <c r="S21" i="932"/>
  <c r="R21" i="932"/>
  <c r="N21" i="932"/>
  <c r="J21" i="932"/>
  <c r="I21" i="932"/>
  <c r="AF20" i="932"/>
  <c r="AB20" i="932"/>
  <c r="Q20" i="932"/>
  <c r="O20" i="932"/>
  <c r="P20" i="932"/>
  <c r="AC20" i="932" s="1"/>
  <c r="AF19" i="932"/>
  <c r="AB19" i="932"/>
  <c r="Q19" i="932"/>
  <c r="P19" i="932"/>
  <c r="AC19" i="932" s="1"/>
  <c r="O19" i="932"/>
  <c r="M19" i="932"/>
  <c r="K19" i="932"/>
  <c r="AF18" i="932"/>
  <c r="Q18" i="932"/>
  <c r="AF17" i="932"/>
  <c r="AB17" i="932"/>
  <c r="Q17" i="932"/>
  <c r="P17" i="932"/>
  <c r="AC17" i="932" s="1"/>
  <c r="AD17" i="932" s="1"/>
  <c r="O17" i="932"/>
  <c r="M17" i="932"/>
  <c r="K17" i="932"/>
  <c r="AF16" i="932"/>
  <c r="Q16" i="932"/>
  <c r="P16" i="932" s="1"/>
  <c r="AC16" i="932" s="1"/>
  <c r="O16" i="932"/>
  <c r="AF15" i="932"/>
  <c r="AB15" i="932"/>
  <c r="Q15" i="932"/>
  <c r="P15" i="932"/>
  <c r="AC15" i="932" s="1"/>
  <c r="O15" i="932"/>
  <c r="M15" i="932"/>
  <c r="K15" i="932"/>
  <c r="AF14" i="932"/>
  <c r="AB14" i="932"/>
  <c r="Q14" i="932"/>
  <c r="P14" i="932"/>
  <c r="AC14" i="932" s="1"/>
  <c r="O14" i="932"/>
  <c r="M14" i="932"/>
  <c r="AF13" i="932"/>
  <c r="AB13" i="932"/>
  <c r="Q13" i="932"/>
  <c r="P13" i="932" s="1"/>
  <c r="AC13" i="932" s="1"/>
  <c r="O13" i="932"/>
  <c r="M13" i="932"/>
  <c r="AF12" i="932"/>
  <c r="AB12" i="932"/>
  <c r="Q12" i="932"/>
  <c r="P12" i="932"/>
  <c r="AC12" i="932" s="1"/>
  <c r="AD12" i="932" s="1"/>
  <c r="O12" i="932"/>
  <c r="M12" i="932"/>
  <c r="K12" i="932"/>
  <c r="AF11" i="932"/>
  <c r="Q11" i="932"/>
  <c r="AF10" i="932"/>
  <c r="AB10" i="932"/>
  <c r="Q10" i="932"/>
  <c r="P10" i="932" s="1"/>
  <c r="AC10" i="932" s="1"/>
  <c r="O10" i="932"/>
  <c r="M10" i="932"/>
  <c r="AF9" i="932"/>
  <c r="AB9" i="932"/>
  <c r="Q9" i="932"/>
  <c r="P9" i="932" s="1"/>
  <c r="AC9" i="932" s="1"/>
  <c r="O9" i="932"/>
  <c r="M9" i="932"/>
  <c r="AF8" i="932"/>
  <c r="Q8" i="932"/>
  <c r="O8" i="932"/>
  <c r="AF7" i="932"/>
  <c r="AB7" i="932"/>
  <c r="Q7" i="932"/>
  <c r="P7" i="932"/>
  <c r="AC7" i="932" s="1"/>
  <c r="O7" i="932"/>
  <c r="M7" i="932"/>
  <c r="K7" i="932"/>
  <c r="AF6" i="932"/>
  <c r="AB6" i="932"/>
  <c r="Q6" i="932"/>
  <c r="P6" i="932"/>
  <c r="O6" i="932"/>
  <c r="M6" i="932"/>
  <c r="K6" i="932"/>
  <c r="AE10" i="936" l="1"/>
  <c r="AE9" i="936"/>
  <c r="AE6" i="936"/>
  <c r="AE12" i="936"/>
  <c r="AE15" i="936"/>
  <c r="AE11" i="936"/>
  <c r="AE14" i="936"/>
  <c r="AE13" i="936"/>
  <c r="AE20" i="936"/>
  <c r="AE17" i="936"/>
  <c r="AE18" i="936"/>
  <c r="AE8" i="936"/>
  <c r="AE16" i="936"/>
  <c r="AE7" i="936"/>
  <c r="AD21" i="935"/>
  <c r="AE16" i="935" s="1"/>
  <c r="AD16" i="934"/>
  <c r="AB21" i="934"/>
  <c r="AD10" i="934"/>
  <c r="AD13" i="934"/>
  <c r="M21" i="934"/>
  <c r="AC21" i="934"/>
  <c r="AD6" i="934"/>
  <c r="AD8" i="934"/>
  <c r="P21" i="934"/>
  <c r="Q21" i="932"/>
  <c r="P18" i="932"/>
  <c r="AC18" i="932" s="1"/>
  <c r="K20" i="932"/>
  <c r="O18" i="932"/>
  <c r="AB18" i="932"/>
  <c r="L21" i="932"/>
  <c r="O21" i="932" s="1"/>
  <c r="M18" i="932"/>
  <c r="K18" i="932"/>
  <c r="K21" i="932" s="1"/>
  <c r="O11" i="932"/>
  <c r="M11" i="932"/>
  <c r="P11" i="932"/>
  <c r="AC11" i="932" s="1"/>
  <c r="AD11" i="932" s="1"/>
  <c r="AB11" i="932"/>
  <c r="AD7" i="932"/>
  <c r="AD13" i="932"/>
  <c r="AD9" i="932"/>
  <c r="AD15" i="932"/>
  <c r="AD10" i="932"/>
  <c r="AD14" i="932"/>
  <c r="AD19" i="932"/>
  <c r="AD20" i="932"/>
  <c r="P8" i="932"/>
  <c r="AC8" i="932" s="1"/>
  <c r="M16" i="932"/>
  <c r="AB16" i="932"/>
  <c r="AD16" i="932" s="1"/>
  <c r="AC6" i="932"/>
  <c r="M8" i="932"/>
  <c r="M21" i="932" s="1"/>
  <c r="AB8" i="932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0" i="931"/>
  <c r="L18" i="931"/>
  <c r="O18" i="931" s="1"/>
  <c r="L16" i="931"/>
  <c r="L13" i="931"/>
  <c r="K9" i="931"/>
  <c r="L8" i="931"/>
  <c r="K8" i="931" s="1"/>
  <c r="K20" i="931"/>
  <c r="K17" i="931"/>
  <c r="K16" i="931"/>
  <c r="K13" i="931"/>
  <c r="K11" i="931"/>
  <c r="A75" i="931"/>
  <c r="A76" i="931" s="1"/>
  <c r="A77" i="931" s="1"/>
  <c r="A78" i="931" s="1"/>
  <c r="A79" i="931" s="1"/>
  <c r="A80" i="931" s="1"/>
  <c r="A81" i="931" s="1"/>
  <c r="A74" i="931"/>
  <c r="AF60" i="931"/>
  <c r="AF59" i="931"/>
  <c r="AF62" i="931" s="1"/>
  <c r="AA21" i="931"/>
  <c r="Z21" i="931"/>
  <c r="Y21" i="931"/>
  <c r="X21" i="931"/>
  <c r="W21" i="931"/>
  <c r="V21" i="931"/>
  <c r="U21" i="931"/>
  <c r="T21" i="931"/>
  <c r="S21" i="931"/>
  <c r="R21" i="931"/>
  <c r="N21" i="931"/>
  <c r="J21" i="931"/>
  <c r="I21" i="931"/>
  <c r="AF20" i="931"/>
  <c r="Q20" i="931"/>
  <c r="O20" i="931"/>
  <c r="AF19" i="931"/>
  <c r="AB19" i="931"/>
  <c r="Q19" i="931"/>
  <c r="P19" i="931"/>
  <c r="AC19" i="931" s="1"/>
  <c r="AD19" i="931" s="1"/>
  <c r="O19" i="931"/>
  <c r="M19" i="931"/>
  <c r="K19" i="931"/>
  <c r="AF18" i="931"/>
  <c r="Q18" i="931"/>
  <c r="AF17" i="931"/>
  <c r="Q17" i="931"/>
  <c r="O17" i="931"/>
  <c r="AF16" i="931"/>
  <c r="Q16" i="931"/>
  <c r="P16" i="931" s="1"/>
  <c r="AC16" i="931" s="1"/>
  <c r="AB16" i="931"/>
  <c r="AF15" i="931"/>
  <c r="AB15" i="931"/>
  <c r="Q15" i="931"/>
  <c r="P15" i="931"/>
  <c r="AC15" i="931" s="1"/>
  <c r="AD15" i="931" s="1"/>
  <c r="O15" i="931"/>
  <c r="M15" i="931"/>
  <c r="K15" i="931"/>
  <c r="AF14" i="931"/>
  <c r="AB14" i="931"/>
  <c r="Q14" i="931"/>
  <c r="P14" i="931"/>
  <c r="AC14" i="931" s="1"/>
  <c r="AD14" i="931" s="1"/>
  <c r="O14" i="931"/>
  <c r="M14" i="931"/>
  <c r="K14" i="931"/>
  <c r="AF13" i="931"/>
  <c r="Q13" i="931"/>
  <c r="P13" i="931"/>
  <c r="AC13" i="931" s="1"/>
  <c r="O13" i="931"/>
  <c r="M13" i="931"/>
  <c r="AB13" i="931"/>
  <c r="AF12" i="931"/>
  <c r="AB12" i="931"/>
  <c r="Q12" i="931"/>
  <c r="P12" i="931"/>
  <c r="AC12" i="931" s="1"/>
  <c r="AD12" i="931" s="1"/>
  <c r="O12" i="931"/>
  <c r="M12" i="931"/>
  <c r="K12" i="931"/>
  <c r="AF11" i="931"/>
  <c r="Q11" i="931"/>
  <c r="P11" i="931" s="1"/>
  <c r="AC11" i="931" s="1"/>
  <c r="AB11" i="931"/>
  <c r="AF10" i="931"/>
  <c r="AB10" i="931"/>
  <c r="Q10" i="931"/>
  <c r="P10" i="931"/>
  <c r="AC10" i="931" s="1"/>
  <c r="AD10" i="931" s="1"/>
  <c r="O10" i="931"/>
  <c r="M10" i="931"/>
  <c r="K10" i="931"/>
  <c r="AF9" i="931"/>
  <c r="AB9" i="931"/>
  <c r="Q9" i="931"/>
  <c r="P9" i="931" s="1"/>
  <c r="AC9" i="931" s="1"/>
  <c r="O9" i="931"/>
  <c r="M9" i="931"/>
  <c r="AF8" i="931"/>
  <c r="Q8" i="931"/>
  <c r="P8" i="931" s="1"/>
  <c r="AC8" i="931" s="1"/>
  <c r="O8" i="931"/>
  <c r="AF7" i="931"/>
  <c r="AB7" i="931"/>
  <c r="Q7" i="931"/>
  <c r="P7" i="931"/>
  <c r="AC7" i="931" s="1"/>
  <c r="AD7" i="931" s="1"/>
  <c r="O7" i="931"/>
  <c r="M7" i="931"/>
  <c r="K7" i="931"/>
  <c r="AF6" i="931"/>
  <c r="AB6" i="931"/>
  <c r="Q6" i="931"/>
  <c r="P6" i="931"/>
  <c r="O6" i="931"/>
  <c r="M6" i="931"/>
  <c r="K6" i="931"/>
  <c r="AE19" i="935" l="1"/>
  <c r="AE11" i="935"/>
  <c r="AE7" i="935"/>
  <c r="AE10" i="935"/>
  <c r="AE20" i="935"/>
  <c r="AE13" i="935"/>
  <c r="AE15" i="935"/>
  <c r="AE18" i="935"/>
  <c r="AE8" i="935"/>
  <c r="AE14" i="935"/>
  <c r="AE6" i="935"/>
  <c r="AE9" i="935"/>
  <c r="AE17" i="935"/>
  <c r="AE12" i="935"/>
  <c r="AD21" i="934"/>
  <c r="AE19" i="934" s="1"/>
  <c r="AD18" i="932"/>
  <c r="AB21" i="932"/>
  <c r="AC21" i="932"/>
  <c r="AD6" i="932"/>
  <c r="AD8" i="932"/>
  <c r="P21" i="932"/>
  <c r="L21" i="931"/>
  <c r="O21" i="931" s="1"/>
  <c r="P18" i="931"/>
  <c r="AC18" i="931" s="1"/>
  <c r="AB18" i="931"/>
  <c r="M18" i="931"/>
  <c r="K18" i="931"/>
  <c r="Q21" i="931"/>
  <c r="AD9" i="931"/>
  <c r="K21" i="931"/>
  <c r="AD13" i="931"/>
  <c r="AC6" i="931"/>
  <c r="M8" i="931"/>
  <c r="AB8" i="931"/>
  <c r="AD8" i="931" s="1"/>
  <c r="O11" i="931"/>
  <c r="AD11" i="931" s="1"/>
  <c r="O16" i="931"/>
  <c r="AD16" i="931" s="1"/>
  <c r="P17" i="931"/>
  <c r="AC17" i="931" s="1"/>
  <c r="P20" i="931"/>
  <c r="AC20" i="931" s="1"/>
  <c r="M17" i="931"/>
  <c r="AB17" i="931"/>
  <c r="M20" i="931"/>
  <c r="AB20" i="931"/>
  <c r="M11" i="931"/>
  <c r="M16" i="931"/>
  <c r="L20" i="930"/>
  <c r="AB20" i="930" s="1"/>
  <c r="L18" i="930"/>
  <c r="M18" i="930" s="1"/>
  <c r="L17" i="930"/>
  <c r="L16" i="930"/>
  <c r="L13" i="930"/>
  <c r="K13" i="930" s="1"/>
  <c r="L11" i="930"/>
  <c r="AB11" i="930" s="1"/>
  <c r="L8" i="930"/>
  <c r="K17" i="930"/>
  <c r="K16" i="930"/>
  <c r="K10" i="930"/>
  <c r="K8" i="930"/>
  <c r="A74" i="930"/>
  <c r="A75" i="930" s="1"/>
  <c r="A76" i="930" s="1"/>
  <c r="A77" i="930" s="1"/>
  <c r="A78" i="930" s="1"/>
  <c r="A79" i="930" s="1"/>
  <c r="A80" i="930" s="1"/>
  <c r="A81" i="930" s="1"/>
  <c r="AF60" i="930"/>
  <c r="AF59" i="930"/>
  <c r="AF62" i="930" s="1"/>
  <c r="AA21" i="930"/>
  <c r="Z21" i="930"/>
  <c r="Y21" i="930"/>
  <c r="X21" i="930"/>
  <c r="W21" i="930"/>
  <c r="V21" i="930"/>
  <c r="U21" i="930"/>
  <c r="T21" i="930"/>
  <c r="S21" i="930"/>
  <c r="R21" i="930"/>
  <c r="N21" i="930"/>
  <c r="J21" i="930"/>
  <c r="I21" i="930"/>
  <c r="AF20" i="930"/>
  <c r="Q20" i="930"/>
  <c r="O20" i="930"/>
  <c r="AF19" i="930"/>
  <c r="AB19" i="930"/>
  <c r="Q19" i="930"/>
  <c r="P19" i="930"/>
  <c r="AC19" i="930" s="1"/>
  <c r="O19" i="930"/>
  <c r="M19" i="930"/>
  <c r="K19" i="930"/>
  <c r="AF18" i="930"/>
  <c r="Q18" i="930"/>
  <c r="AF17" i="930"/>
  <c r="Q17" i="930"/>
  <c r="O17" i="930"/>
  <c r="AF16" i="930"/>
  <c r="Q16" i="930"/>
  <c r="P16" i="930" s="1"/>
  <c r="AC16" i="930" s="1"/>
  <c r="O16" i="930"/>
  <c r="AB16" i="930"/>
  <c r="AF15" i="930"/>
  <c r="AB15" i="930"/>
  <c r="Q15" i="930"/>
  <c r="P15" i="930"/>
  <c r="AC15" i="930" s="1"/>
  <c r="O15" i="930"/>
  <c r="M15" i="930"/>
  <c r="K15" i="930"/>
  <c r="AF14" i="930"/>
  <c r="AB14" i="930"/>
  <c r="Q14" i="930"/>
  <c r="P14" i="930"/>
  <c r="AC14" i="930" s="1"/>
  <c r="O14" i="930"/>
  <c r="M14" i="930"/>
  <c r="K14" i="930"/>
  <c r="AF13" i="930"/>
  <c r="AB13" i="930"/>
  <c r="Q13" i="930"/>
  <c r="P13" i="930"/>
  <c r="AC13" i="930" s="1"/>
  <c r="O13" i="930"/>
  <c r="M13" i="930"/>
  <c r="AF12" i="930"/>
  <c r="AB12" i="930"/>
  <c r="Q12" i="930"/>
  <c r="P12" i="930"/>
  <c r="AC12" i="930" s="1"/>
  <c r="O12" i="930"/>
  <c r="M12" i="930"/>
  <c r="K12" i="930"/>
  <c r="AF11" i="930"/>
  <c r="Q11" i="930"/>
  <c r="AF10" i="930"/>
  <c r="AB10" i="930"/>
  <c r="Q10" i="930"/>
  <c r="P10" i="930"/>
  <c r="AC10" i="930" s="1"/>
  <c r="O10" i="930"/>
  <c r="M10" i="930"/>
  <c r="AF9" i="930"/>
  <c r="AB9" i="930"/>
  <c r="Q9" i="930"/>
  <c r="P9" i="930"/>
  <c r="AC9" i="930" s="1"/>
  <c r="AD9" i="930" s="1"/>
  <c r="O9" i="930"/>
  <c r="M9" i="930"/>
  <c r="K9" i="930"/>
  <c r="AF8" i="930"/>
  <c r="AB8" i="930"/>
  <c r="Q8" i="930"/>
  <c r="P8" i="930" s="1"/>
  <c r="AC8" i="930" s="1"/>
  <c r="O8" i="930"/>
  <c r="M8" i="930"/>
  <c r="AF7" i="930"/>
  <c r="AB7" i="930"/>
  <c r="Q7" i="930"/>
  <c r="P7" i="930"/>
  <c r="AC7" i="930" s="1"/>
  <c r="O7" i="930"/>
  <c r="M7" i="930"/>
  <c r="K7" i="930"/>
  <c r="AF6" i="930"/>
  <c r="AB6" i="930"/>
  <c r="Q6" i="930"/>
  <c r="P6" i="930"/>
  <c r="O6" i="930"/>
  <c r="M6" i="930"/>
  <c r="K6" i="930"/>
  <c r="AE9" i="934" l="1"/>
  <c r="AE10" i="934"/>
  <c r="AE13" i="934"/>
  <c r="AE11" i="934"/>
  <c r="AE18" i="934"/>
  <c r="AE7" i="934"/>
  <c r="AE12" i="934"/>
  <c r="AE16" i="934"/>
  <c r="AE6" i="934"/>
  <c r="AE14" i="934"/>
  <c r="AE20" i="934"/>
  <c r="AE15" i="934"/>
  <c r="AE17" i="934"/>
  <c r="AE8" i="934"/>
  <c r="AD21" i="932"/>
  <c r="AE19" i="932" s="1"/>
  <c r="AD18" i="931"/>
  <c r="M21" i="931"/>
  <c r="P21" i="931"/>
  <c r="AB21" i="931"/>
  <c r="AD17" i="931"/>
  <c r="AD20" i="931"/>
  <c r="AC21" i="931"/>
  <c r="AD6" i="931"/>
  <c r="M20" i="930"/>
  <c r="K20" i="930"/>
  <c r="P18" i="930"/>
  <c r="AC18" i="930" s="1"/>
  <c r="K18" i="930"/>
  <c r="K11" i="930"/>
  <c r="K21" i="930" s="1"/>
  <c r="AD15" i="930"/>
  <c r="Q21" i="930"/>
  <c r="AD8" i="930"/>
  <c r="AD7" i="930"/>
  <c r="AD13" i="930"/>
  <c r="AD19" i="930"/>
  <c r="AD10" i="930"/>
  <c r="AD14" i="930"/>
  <c r="AD12" i="930"/>
  <c r="AD16" i="930"/>
  <c r="O11" i="930"/>
  <c r="P17" i="930"/>
  <c r="AC17" i="930" s="1"/>
  <c r="P20" i="930"/>
  <c r="AC20" i="930" s="1"/>
  <c r="AD20" i="930" s="1"/>
  <c r="AC6" i="930"/>
  <c r="P11" i="930"/>
  <c r="AC11" i="930" s="1"/>
  <c r="AD11" i="930" s="1"/>
  <c r="AB18" i="930"/>
  <c r="M17" i="930"/>
  <c r="AB17" i="930"/>
  <c r="O18" i="930"/>
  <c r="L21" i="930"/>
  <c r="O21" i="930" s="1"/>
  <c r="M11" i="930"/>
  <c r="M16" i="930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21" i="929"/>
  <c r="K21" i="929" s="1"/>
  <c r="L19" i="929"/>
  <c r="L18" i="929"/>
  <c r="K18" i="929" s="1"/>
  <c r="L17" i="929"/>
  <c r="K17" i="929" s="1"/>
  <c r="L14" i="929"/>
  <c r="K14" i="929" s="1"/>
  <c r="L12" i="929"/>
  <c r="L11" i="929"/>
  <c r="K11" i="929" s="1"/>
  <c r="K9" i="929"/>
  <c r="AF9" i="929"/>
  <c r="Q9" i="929"/>
  <c r="P9" i="929" s="1"/>
  <c r="AC9" i="929" s="1"/>
  <c r="O9" i="929"/>
  <c r="AB9" i="929"/>
  <c r="L8" i="929"/>
  <c r="K8" i="929" s="1"/>
  <c r="K19" i="929"/>
  <c r="K16" i="929"/>
  <c r="K13" i="929"/>
  <c r="K12" i="929"/>
  <c r="A75" i="929"/>
  <c r="A76" i="929" s="1"/>
  <c r="A77" i="929" s="1"/>
  <c r="A78" i="929" s="1"/>
  <c r="A79" i="929" s="1"/>
  <c r="A80" i="929" s="1"/>
  <c r="A81" i="929" s="1"/>
  <c r="A82" i="929" s="1"/>
  <c r="AF61" i="929"/>
  <c r="AF63" i="929" s="1"/>
  <c r="AF60" i="929"/>
  <c r="AA22" i="929"/>
  <c r="Z22" i="929"/>
  <c r="Y22" i="929"/>
  <c r="X22" i="929"/>
  <c r="W22" i="929"/>
  <c r="V22" i="929"/>
  <c r="U22" i="929"/>
  <c r="T22" i="929"/>
  <c r="S22" i="929"/>
  <c r="R22" i="929"/>
  <c r="N22" i="929"/>
  <c r="J22" i="929"/>
  <c r="I22" i="929"/>
  <c r="AF21" i="929"/>
  <c r="AB21" i="929"/>
  <c r="Q21" i="929"/>
  <c r="O21" i="929"/>
  <c r="M21" i="929"/>
  <c r="P21" i="929"/>
  <c r="AC21" i="929" s="1"/>
  <c r="AF20" i="929"/>
  <c r="AB20" i="929"/>
  <c r="Q20" i="929"/>
  <c r="P20" i="929"/>
  <c r="AC20" i="929" s="1"/>
  <c r="O20" i="929"/>
  <c r="M20" i="929"/>
  <c r="K20" i="929"/>
  <c r="AF19" i="929"/>
  <c r="Q19" i="929"/>
  <c r="P19" i="929" s="1"/>
  <c r="AC19" i="929" s="1"/>
  <c r="O19" i="929"/>
  <c r="M19" i="929"/>
  <c r="AF18" i="929"/>
  <c r="AB18" i="929"/>
  <c r="Q18" i="929"/>
  <c r="M18" i="929"/>
  <c r="O18" i="929"/>
  <c r="AF17" i="929"/>
  <c r="Q17" i="929"/>
  <c r="AB17" i="929"/>
  <c r="AF16" i="929"/>
  <c r="AB16" i="929"/>
  <c r="Q16" i="929"/>
  <c r="P16" i="929" s="1"/>
  <c r="AC16" i="929" s="1"/>
  <c r="O16" i="929"/>
  <c r="M16" i="929"/>
  <c r="AF15" i="929"/>
  <c r="AB15" i="929"/>
  <c r="Q15" i="929"/>
  <c r="P15" i="929"/>
  <c r="AC15" i="929" s="1"/>
  <c r="O15" i="929"/>
  <c r="M15" i="929"/>
  <c r="K15" i="929"/>
  <c r="AF14" i="929"/>
  <c r="AB14" i="929"/>
  <c r="Q14" i="929"/>
  <c r="P14" i="929" s="1"/>
  <c r="AC14" i="929" s="1"/>
  <c r="O14" i="929"/>
  <c r="M14" i="929"/>
  <c r="AF13" i="929"/>
  <c r="Q13" i="929"/>
  <c r="P13" i="929"/>
  <c r="AC13" i="929" s="1"/>
  <c r="O13" i="929"/>
  <c r="AF12" i="929"/>
  <c r="Q12" i="929"/>
  <c r="P12" i="929" s="1"/>
  <c r="AC12" i="929" s="1"/>
  <c r="O12" i="929"/>
  <c r="M12" i="929"/>
  <c r="AB12" i="929"/>
  <c r="AF11" i="929"/>
  <c r="AB11" i="929"/>
  <c r="Q11" i="929"/>
  <c r="P11" i="929" s="1"/>
  <c r="AC11" i="929" s="1"/>
  <c r="O11" i="929"/>
  <c r="M11" i="929"/>
  <c r="AF10" i="929"/>
  <c r="AB10" i="929"/>
  <c r="Q10" i="929"/>
  <c r="P10" i="929"/>
  <c r="AC10" i="929" s="1"/>
  <c r="O10" i="929"/>
  <c r="M10" i="929"/>
  <c r="K10" i="929"/>
  <c r="AF8" i="929"/>
  <c r="Q8" i="929"/>
  <c r="AF7" i="929"/>
  <c r="AB7" i="929"/>
  <c r="Q7" i="929"/>
  <c r="P7" i="929"/>
  <c r="AC7" i="929" s="1"/>
  <c r="O7" i="929"/>
  <c r="M7" i="929"/>
  <c r="K7" i="929"/>
  <c r="AF6" i="929"/>
  <c r="AB6" i="929"/>
  <c r="Q6" i="929"/>
  <c r="P6" i="929"/>
  <c r="AC6" i="929" s="1"/>
  <c r="O6" i="929"/>
  <c r="M6" i="929"/>
  <c r="K6" i="929"/>
  <c r="AE15" i="932" l="1"/>
  <c r="AE11" i="932"/>
  <c r="AE17" i="932"/>
  <c r="AE18" i="932"/>
  <c r="AE7" i="932"/>
  <c r="AE6" i="932"/>
  <c r="AE20" i="932"/>
  <c r="AE10" i="932"/>
  <c r="AE14" i="932"/>
  <c r="AE16" i="932"/>
  <c r="AE8" i="932"/>
  <c r="AE13" i="932"/>
  <c r="AE9" i="932"/>
  <c r="AE12" i="932"/>
  <c r="AD21" i="931"/>
  <c r="M21" i="930"/>
  <c r="AD18" i="930"/>
  <c r="P21" i="930"/>
  <c r="AB21" i="930"/>
  <c r="AD17" i="930"/>
  <c r="AC21" i="930"/>
  <c r="AD6" i="930"/>
  <c r="AD11" i="929"/>
  <c r="AD9" i="929"/>
  <c r="Q22" i="929"/>
  <c r="AD10" i="929"/>
  <c r="M9" i="929"/>
  <c r="AD20" i="929"/>
  <c r="AD21" i="929"/>
  <c r="AB8" i="929"/>
  <c r="M8" i="929"/>
  <c r="L22" i="929"/>
  <c r="O22" i="929" s="1"/>
  <c r="O8" i="929"/>
  <c r="AD7" i="929"/>
  <c r="AD16" i="929"/>
  <c r="AD15" i="929"/>
  <c r="AD14" i="929"/>
  <c r="AD12" i="929"/>
  <c r="P8" i="929"/>
  <c r="AC8" i="929" s="1"/>
  <c r="M13" i="929"/>
  <c r="AB13" i="929"/>
  <c r="O17" i="929"/>
  <c r="P18" i="929"/>
  <c r="AC18" i="929" s="1"/>
  <c r="AD18" i="929" s="1"/>
  <c r="AD6" i="929"/>
  <c r="K22" i="929"/>
  <c r="P17" i="929"/>
  <c r="AC17" i="929" s="1"/>
  <c r="AD17" i="929" s="1"/>
  <c r="AB19" i="929"/>
  <c r="AD19" i="929" s="1"/>
  <c r="M17" i="929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AF16" i="928"/>
  <c r="AB16" i="928"/>
  <c r="Q16" i="928"/>
  <c r="P16" i="928"/>
  <c r="AC16" i="928" s="1"/>
  <c r="O16" i="928"/>
  <c r="M16" i="928"/>
  <c r="K16" i="928"/>
  <c r="L21" i="928"/>
  <c r="K21" i="928" s="1"/>
  <c r="L19" i="928"/>
  <c r="K19" i="928" s="1"/>
  <c r="L18" i="928"/>
  <c r="K18" i="928"/>
  <c r="L17" i="928"/>
  <c r="K17" i="928" s="1"/>
  <c r="L12" i="928"/>
  <c r="K12" i="928" s="1"/>
  <c r="L11" i="928"/>
  <c r="L8" i="928"/>
  <c r="K8" i="928" s="1"/>
  <c r="K11" i="928"/>
  <c r="K9" i="928"/>
  <c r="A76" i="928"/>
  <c r="A77" i="928" s="1"/>
  <c r="A78" i="928" s="1"/>
  <c r="A79" i="928" s="1"/>
  <c r="A80" i="928" s="1"/>
  <c r="A81" i="928" s="1"/>
  <c r="A82" i="928" s="1"/>
  <c r="A75" i="928"/>
  <c r="AF61" i="928"/>
  <c r="AF60" i="928"/>
  <c r="AF63" i="928" s="1"/>
  <c r="AA22" i="928"/>
  <c r="Z22" i="928"/>
  <c r="Y22" i="928"/>
  <c r="X22" i="928"/>
  <c r="W22" i="928"/>
  <c r="V22" i="928"/>
  <c r="U22" i="928"/>
  <c r="T22" i="928"/>
  <c r="S22" i="928"/>
  <c r="R22" i="928"/>
  <c r="N22" i="928"/>
  <c r="J22" i="928"/>
  <c r="I22" i="928"/>
  <c r="AF21" i="928"/>
  <c r="AB21" i="928"/>
  <c r="Q21" i="928"/>
  <c r="P21" i="928" s="1"/>
  <c r="AC21" i="928" s="1"/>
  <c r="AD21" i="928" s="1"/>
  <c r="O21" i="928"/>
  <c r="M21" i="928"/>
  <c r="AF20" i="928"/>
  <c r="AC20" i="928"/>
  <c r="AB20" i="928"/>
  <c r="Q20" i="928"/>
  <c r="P20" i="928"/>
  <c r="O20" i="928"/>
  <c r="M20" i="928"/>
  <c r="K20" i="928"/>
  <c r="AF19" i="928"/>
  <c r="Q19" i="928"/>
  <c r="O19" i="928"/>
  <c r="AF18" i="928"/>
  <c r="AB18" i="928"/>
  <c r="Q18" i="928"/>
  <c r="P18" i="928" s="1"/>
  <c r="AC18" i="928" s="1"/>
  <c r="O18" i="928"/>
  <c r="M18" i="928"/>
  <c r="AF17" i="928"/>
  <c r="AB17" i="928"/>
  <c r="Q17" i="928"/>
  <c r="O17" i="928"/>
  <c r="M17" i="928"/>
  <c r="P17" i="928"/>
  <c r="AC17" i="928" s="1"/>
  <c r="AF15" i="928"/>
  <c r="AB15" i="928"/>
  <c r="Q15" i="928"/>
  <c r="P15" i="928"/>
  <c r="AC15" i="928" s="1"/>
  <c r="O15" i="928"/>
  <c r="M15" i="928"/>
  <c r="K15" i="928"/>
  <c r="AF14" i="928"/>
  <c r="AB14" i="928"/>
  <c r="Q14" i="928"/>
  <c r="P14" i="928"/>
  <c r="AC14" i="928" s="1"/>
  <c r="O14" i="928"/>
  <c r="M14" i="928"/>
  <c r="K14" i="928"/>
  <c r="AF13" i="928"/>
  <c r="AB13" i="928"/>
  <c r="Q13" i="928"/>
  <c r="P13" i="928"/>
  <c r="AC13" i="928" s="1"/>
  <c r="O13" i="928"/>
  <c r="M13" i="928"/>
  <c r="K13" i="928"/>
  <c r="AF12" i="928"/>
  <c r="AB12" i="928"/>
  <c r="Q12" i="928"/>
  <c r="P12" i="928" s="1"/>
  <c r="AC12" i="928" s="1"/>
  <c r="O12" i="928"/>
  <c r="M12" i="928"/>
  <c r="AF11" i="928"/>
  <c r="Q11" i="928"/>
  <c r="O11" i="928"/>
  <c r="AF10" i="928"/>
  <c r="AB10" i="928"/>
  <c r="Q10" i="928"/>
  <c r="P10" i="928"/>
  <c r="AC10" i="928" s="1"/>
  <c r="O10" i="928"/>
  <c r="M10" i="928"/>
  <c r="K10" i="928"/>
  <c r="AF9" i="928"/>
  <c r="AB9" i="928"/>
  <c r="Q9" i="928"/>
  <c r="O9" i="928"/>
  <c r="M9" i="928"/>
  <c r="P9" i="928"/>
  <c r="AC9" i="928" s="1"/>
  <c r="AD9" i="928" s="1"/>
  <c r="AF8" i="928"/>
  <c r="Q8" i="928"/>
  <c r="O8" i="928"/>
  <c r="AF7" i="928"/>
  <c r="AB7" i="928"/>
  <c r="Q7" i="928"/>
  <c r="P7" i="928"/>
  <c r="AC7" i="928" s="1"/>
  <c r="O7" i="928"/>
  <c r="M7" i="928"/>
  <c r="K7" i="928"/>
  <c r="AF6" i="928"/>
  <c r="AC6" i="928"/>
  <c r="AB6" i="928"/>
  <c r="Q6" i="928"/>
  <c r="P6" i="928"/>
  <c r="O6" i="928"/>
  <c r="M6" i="928"/>
  <c r="K6" i="928"/>
  <c r="AE15" i="931" l="1"/>
  <c r="AE13" i="931"/>
  <c r="AE10" i="931"/>
  <c r="AE8" i="931"/>
  <c r="AE19" i="931"/>
  <c r="AE16" i="931"/>
  <c r="AE11" i="931"/>
  <c r="AE6" i="931"/>
  <c r="AE17" i="931"/>
  <c r="AE14" i="931"/>
  <c r="AE9" i="931"/>
  <c r="AE20" i="931"/>
  <c r="AE18" i="931"/>
  <c r="AE12" i="931"/>
  <c r="AE7" i="931"/>
  <c r="AD21" i="930"/>
  <c r="AE15" i="930" s="1"/>
  <c r="AB22" i="929"/>
  <c r="AD8" i="929"/>
  <c r="M22" i="929"/>
  <c r="AD13" i="929"/>
  <c r="AC22" i="929"/>
  <c r="P22" i="929"/>
  <c r="AD16" i="928"/>
  <c r="Q22" i="928"/>
  <c r="AD7" i="928"/>
  <c r="AD10" i="928"/>
  <c r="AD12" i="928"/>
  <c r="AD15" i="928"/>
  <c r="AD13" i="928"/>
  <c r="AD18" i="928"/>
  <c r="AD20" i="928"/>
  <c r="AD14" i="928"/>
  <c r="AD17" i="928"/>
  <c r="AB11" i="928"/>
  <c r="P8" i="928"/>
  <c r="AC8" i="928" s="1"/>
  <c r="K22" i="928"/>
  <c r="P11" i="928"/>
  <c r="AC11" i="928" s="1"/>
  <c r="P19" i="928"/>
  <c r="AC19" i="928" s="1"/>
  <c r="M8" i="928"/>
  <c r="M19" i="928"/>
  <c r="AB19" i="928"/>
  <c r="L22" i="928"/>
  <c r="O22" i="928" s="1"/>
  <c r="AB8" i="928"/>
  <c r="M11" i="928"/>
  <c r="AD6" i="928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18" i="927"/>
  <c r="K18" i="927" s="1"/>
  <c r="L16" i="927"/>
  <c r="K16" i="927" s="1"/>
  <c r="L11" i="927"/>
  <c r="K11" i="927" s="1"/>
  <c r="L9" i="927"/>
  <c r="K9" i="927"/>
  <c r="L8" i="927"/>
  <c r="A74" i="927"/>
  <c r="A75" i="927" s="1"/>
  <c r="A76" i="927" s="1"/>
  <c r="A77" i="927" s="1"/>
  <c r="A78" i="927" s="1"/>
  <c r="A79" i="927" s="1"/>
  <c r="A80" i="927" s="1"/>
  <c r="A81" i="927" s="1"/>
  <c r="AF60" i="927"/>
  <c r="AF62" i="927" s="1"/>
  <c r="AF59" i="927"/>
  <c r="AA21" i="927"/>
  <c r="Z21" i="927"/>
  <c r="Y21" i="927"/>
  <c r="X21" i="927"/>
  <c r="W21" i="927"/>
  <c r="V21" i="927"/>
  <c r="U21" i="927"/>
  <c r="T21" i="927"/>
  <c r="S21" i="927"/>
  <c r="R21" i="927"/>
  <c r="N21" i="927"/>
  <c r="L21" i="927"/>
  <c r="O21" i="927" s="1"/>
  <c r="J21" i="927"/>
  <c r="I21" i="927"/>
  <c r="AF20" i="927"/>
  <c r="AC20" i="927"/>
  <c r="AD20" i="927" s="1"/>
  <c r="AB20" i="927"/>
  <c r="Q20" i="927"/>
  <c r="P20" i="927"/>
  <c r="O20" i="927"/>
  <c r="M20" i="927"/>
  <c r="K20" i="927"/>
  <c r="AF19" i="927"/>
  <c r="AB19" i="927"/>
  <c r="Q19" i="927"/>
  <c r="P19" i="927"/>
  <c r="AC19" i="927" s="1"/>
  <c r="AD19" i="927" s="1"/>
  <c r="O19" i="927"/>
  <c r="M19" i="927"/>
  <c r="K19" i="927"/>
  <c r="AF18" i="927"/>
  <c r="AB18" i="927"/>
  <c r="Q18" i="927"/>
  <c r="O18" i="927"/>
  <c r="M18" i="927"/>
  <c r="AF17" i="927"/>
  <c r="AB17" i="927"/>
  <c r="Q17" i="927"/>
  <c r="P17" i="927"/>
  <c r="AC17" i="927" s="1"/>
  <c r="AD17" i="927" s="1"/>
  <c r="O17" i="927"/>
  <c r="M17" i="927"/>
  <c r="K17" i="927"/>
  <c r="AF16" i="927"/>
  <c r="AB16" i="927"/>
  <c r="Q16" i="927"/>
  <c r="P16" i="927" s="1"/>
  <c r="AC16" i="927" s="1"/>
  <c r="O16" i="927"/>
  <c r="M16" i="927"/>
  <c r="AF15" i="927"/>
  <c r="AB15" i="927"/>
  <c r="Q15" i="927"/>
  <c r="P15" i="927"/>
  <c r="AC15" i="927" s="1"/>
  <c r="AD15" i="927" s="1"/>
  <c r="O15" i="927"/>
  <c r="M15" i="927"/>
  <c r="K15" i="927"/>
  <c r="AF14" i="927"/>
  <c r="AC14" i="927"/>
  <c r="AD14" i="927" s="1"/>
  <c r="AB14" i="927"/>
  <c r="Q14" i="927"/>
  <c r="P14" i="927"/>
  <c r="O14" i="927"/>
  <c r="M14" i="927"/>
  <c r="K14" i="927"/>
  <c r="AF13" i="927"/>
  <c r="AB13" i="927"/>
  <c r="Q13" i="927"/>
  <c r="P13" i="927"/>
  <c r="AC13" i="927" s="1"/>
  <c r="AD13" i="927" s="1"/>
  <c r="O13" i="927"/>
  <c r="M13" i="927"/>
  <c r="K13" i="927"/>
  <c r="AF12" i="927"/>
  <c r="AC12" i="927"/>
  <c r="AD12" i="927" s="1"/>
  <c r="AB12" i="927"/>
  <c r="Q12" i="927"/>
  <c r="P12" i="927"/>
  <c r="O12" i="927"/>
  <c r="M12" i="927"/>
  <c r="K12" i="927"/>
  <c r="AF11" i="927"/>
  <c r="AB11" i="927"/>
  <c r="Q11" i="927"/>
  <c r="P11" i="927" s="1"/>
  <c r="AC11" i="927" s="1"/>
  <c r="O11" i="927"/>
  <c r="M11" i="927"/>
  <c r="AF10" i="927"/>
  <c r="AC10" i="927"/>
  <c r="AD10" i="927" s="1"/>
  <c r="AB10" i="927"/>
  <c r="Q10" i="927"/>
  <c r="P10" i="927"/>
  <c r="O10" i="927"/>
  <c r="M10" i="927"/>
  <c r="K10" i="927"/>
  <c r="AF9" i="927"/>
  <c r="AB9" i="927"/>
  <c r="Q9" i="927"/>
  <c r="P9" i="927" s="1"/>
  <c r="AC9" i="927" s="1"/>
  <c r="O9" i="927"/>
  <c r="M9" i="927"/>
  <c r="AF8" i="927"/>
  <c r="AB8" i="927"/>
  <c r="Q8" i="927"/>
  <c r="P8" i="927" s="1"/>
  <c r="AC8" i="927" s="1"/>
  <c r="O8" i="927"/>
  <c r="M8" i="927"/>
  <c r="K8" i="927"/>
  <c r="AF7" i="927"/>
  <c r="AB7" i="927"/>
  <c r="Q7" i="927"/>
  <c r="P7" i="927"/>
  <c r="O7" i="927"/>
  <c r="M7" i="927"/>
  <c r="K7" i="927"/>
  <c r="AF6" i="927"/>
  <c r="AC6" i="927"/>
  <c r="AB6" i="927"/>
  <c r="Q6" i="927"/>
  <c r="P6" i="927"/>
  <c r="O6" i="927"/>
  <c r="M6" i="927"/>
  <c r="K6" i="927"/>
  <c r="AE8" i="930" l="1"/>
  <c r="AE17" i="930"/>
  <c r="AE6" i="930"/>
  <c r="AE12" i="930"/>
  <c r="AE11" i="930"/>
  <c r="AE18" i="930"/>
  <c r="AE20" i="930"/>
  <c r="AE10" i="930"/>
  <c r="AE7" i="930"/>
  <c r="AE16" i="930"/>
  <c r="AE13" i="930"/>
  <c r="AE9" i="930"/>
  <c r="AE14" i="930"/>
  <c r="AE19" i="930"/>
  <c r="AD22" i="929"/>
  <c r="AE13" i="929" s="1"/>
  <c r="AB22" i="928"/>
  <c r="AD19" i="928"/>
  <c r="M22" i="928"/>
  <c r="AD11" i="928"/>
  <c r="AC22" i="928"/>
  <c r="AD8" i="928"/>
  <c r="AD22" i="928" s="1"/>
  <c r="AE16" i="928" s="1"/>
  <c r="P22" i="928"/>
  <c r="P18" i="927"/>
  <c r="AC18" i="927" s="1"/>
  <c r="AD18" i="927" s="1"/>
  <c r="AD16" i="927"/>
  <c r="AD11" i="927"/>
  <c r="K21" i="927"/>
  <c r="Q21" i="927"/>
  <c r="AD8" i="927"/>
  <c r="M21" i="927"/>
  <c r="AB21" i="927"/>
  <c r="AD9" i="927"/>
  <c r="AD6" i="927"/>
  <c r="AC7" i="927"/>
  <c r="AD7" i="927" s="1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K19" i="926"/>
  <c r="K9" i="926"/>
  <c r="A75" i="926"/>
  <c r="A76" i="926" s="1"/>
  <c r="A77" i="926" s="1"/>
  <c r="A78" i="926" s="1"/>
  <c r="A79" i="926" s="1"/>
  <c r="A80" i="926" s="1"/>
  <c r="A81" i="926" s="1"/>
  <c r="A74" i="926"/>
  <c r="AF60" i="926"/>
  <c r="AF59" i="926"/>
  <c r="AF62" i="926" s="1"/>
  <c r="AA21" i="926"/>
  <c r="Z21" i="926"/>
  <c r="Y21" i="926"/>
  <c r="X21" i="926"/>
  <c r="W21" i="926"/>
  <c r="V21" i="926"/>
  <c r="U21" i="926"/>
  <c r="T21" i="926"/>
  <c r="S21" i="926"/>
  <c r="R21" i="926"/>
  <c r="N21" i="926"/>
  <c r="J21" i="926"/>
  <c r="I21" i="926"/>
  <c r="AF20" i="926"/>
  <c r="AB20" i="926"/>
  <c r="Q20" i="926"/>
  <c r="P20" i="926"/>
  <c r="AC20" i="926" s="1"/>
  <c r="AD20" i="926" s="1"/>
  <c r="O20" i="926"/>
  <c r="M20" i="926"/>
  <c r="K20" i="926"/>
  <c r="AF19" i="926"/>
  <c r="Q19" i="926"/>
  <c r="O19" i="926"/>
  <c r="P19" i="926"/>
  <c r="AC19" i="926" s="1"/>
  <c r="AF18" i="926"/>
  <c r="AB18" i="926"/>
  <c r="Q18" i="926"/>
  <c r="P18" i="926"/>
  <c r="AC18" i="926" s="1"/>
  <c r="AD18" i="926" s="1"/>
  <c r="O18" i="926"/>
  <c r="M18" i="926"/>
  <c r="K18" i="926"/>
  <c r="AF17" i="926"/>
  <c r="AB17" i="926"/>
  <c r="Q17" i="926"/>
  <c r="P17" i="926"/>
  <c r="AC17" i="926" s="1"/>
  <c r="AD17" i="926" s="1"/>
  <c r="O17" i="926"/>
  <c r="M17" i="926"/>
  <c r="K17" i="926"/>
  <c r="AF16" i="926"/>
  <c r="AB16" i="926"/>
  <c r="Q16" i="926"/>
  <c r="P16" i="926"/>
  <c r="AC16" i="926" s="1"/>
  <c r="AD16" i="926" s="1"/>
  <c r="O16" i="926"/>
  <c r="M16" i="926"/>
  <c r="K16" i="926"/>
  <c r="AF15" i="926"/>
  <c r="AB15" i="926"/>
  <c r="Q15" i="926"/>
  <c r="P15" i="926"/>
  <c r="AC15" i="926" s="1"/>
  <c r="AD15" i="926" s="1"/>
  <c r="O15" i="926"/>
  <c r="M15" i="926"/>
  <c r="K15" i="926"/>
  <c r="AF14" i="926"/>
  <c r="AB14" i="926"/>
  <c r="Q14" i="926"/>
  <c r="P14" i="926"/>
  <c r="AC14" i="926" s="1"/>
  <c r="AD14" i="926" s="1"/>
  <c r="O14" i="926"/>
  <c r="M14" i="926"/>
  <c r="K14" i="926"/>
  <c r="AF13" i="926"/>
  <c r="AB13" i="926"/>
  <c r="Q13" i="926"/>
  <c r="P13" i="926"/>
  <c r="AC13" i="926" s="1"/>
  <c r="AD13" i="926" s="1"/>
  <c r="O13" i="926"/>
  <c r="M13" i="926"/>
  <c r="K13" i="926"/>
  <c r="AF12" i="926"/>
  <c r="AB12" i="926"/>
  <c r="Q12" i="926"/>
  <c r="P12" i="926"/>
  <c r="AC12" i="926" s="1"/>
  <c r="AD12" i="926" s="1"/>
  <c r="O12" i="926"/>
  <c r="M12" i="926"/>
  <c r="K12" i="926"/>
  <c r="AF11" i="926"/>
  <c r="AB11" i="926"/>
  <c r="Q11" i="926"/>
  <c r="P11" i="926"/>
  <c r="AC11" i="926" s="1"/>
  <c r="AD11" i="926" s="1"/>
  <c r="O11" i="926"/>
  <c r="M11" i="926"/>
  <c r="K11" i="926"/>
  <c r="AF10" i="926"/>
  <c r="AB10" i="926"/>
  <c r="Q10" i="926"/>
  <c r="P10" i="926"/>
  <c r="AC10" i="926" s="1"/>
  <c r="AD10" i="926" s="1"/>
  <c r="O10" i="926"/>
  <c r="M10" i="926"/>
  <c r="K10" i="926"/>
  <c r="AF9" i="926"/>
  <c r="AB9" i="926"/>
  <c r="Q9" i="926"/>
  <c r="P9" i="926" s="1"/>
  <c r="AC9" i="926" s="1"/>
  <c r="O9" i="926"/>
  <c r="M9" i="926"/>
  <c r="L21" i="926"/>
  <c r="O21" i="926" s="1"/>
  <c r="AF8" i="926"/>
  <c r="AC8" i="926"/>
  <c r="AD8" i="926" s="1"/>
  <c r="AB8" i="926"/>
  <c r="Q8" i="926"/>
  <c r="P8" i="926"/>
  <c r="O8" i="926"/>
  <c r="M8" i="926"/>
  <c r="K8" i="926"/>
  <c r="AF7" i="926"/>
  <c r="AB7" i="926"/>
  <c r="Q7" i="926"/>
  <c r="P7" i="926"/>
  <c r="AC7" i="926" s="1"/>
  <c r="AD7" i="926" s="1"/>
  <c r="O7" i="926"/>
  <c r="M7" i="926"/>
  <c r="K7" i="926"/>
  <c r="AF6" i="926"/>
  <c r="AC6" i="926"/>
  <c r="AB6" i="926"/>
  <c r="Q6" i="926"/>
  <c r="Q21" i="926" s="1"/>
  <c r="P6" i="926"/>
  <c r="O6" i="926"/>
  <c r="M6" i="926"/>
  <c r="K6" i="92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19" i="925"/>
  <c r="L9" i="925"/>
  <c r="K9" i="925" s="1"/>
  <c r="K20" i="925"/>
  <c r="K19" i="925"/>
  <c r="K18" i="925"/>
  <c r="K11" i="925"/>
  <c r="K8" i="925"/>
  <c r="A75" i="925"/>
  <c r="A76" i="925" s="1"/>
  <c r="A77" i="925" s="1"/>
  <c r="A78" i="925" s="1"/>
  <c r="A79" i="925" s="1"/>
  <c r="A80" i="925" s="1"/>
  <c r="A81" i="925" s="1"/>
  <c r="A74" i="925"/>
  <c r="AF60" i="925"/>
  <c r="AF59" i="925"/>
  <c r="AF62" i="925" s="1"/>
  <c r="AA21" i="925"/>
  <c r="Z21" i="925"/>
  <c r="Y21" i="925"/>
  <c r="X21" i="925"/>
  <c r="W21" i="925"/>
  <c r="V21" i="925"/>
  <c r="U21" i="925"/>
  <c r="T21" i="925"/>
  <c r="S21" i="925"/>
  <c r="R21" i="925"/>
  <c r="N21" i="925"/>
  <c r="J21" i="925"/>
  <c r="I21" i="925"/>
  <c r="AF20" i="925"/>
  <c r="Q20" i="925"/>
  <c r="O20" i="925"/>
  <c r="AF19" i="925"/>
  <c r="Q19" i="925"/>
  <c r="P19" i="925"/>
  <c r="AC19" i="925" s="1"/>
  <c r="AB19" i="925"/>
  <c r="AF18" i="925"/>
  <c r="Q18" i="925"/>
  <c r="P18" i="925"/>
  <c r="AC18" i="925" s="1"/>
  <c r="O18" i="925"/>
  <c r="AB18" i="925"/>
  <c r="AF17" i="925"/>
  <c r="AB17" i="925"/>
  <c r="Q17" i="925"/>
  <c r="P17" i="925"/>
  <c r="AC17" i="925" s="1"/>
  <c r="O17" i="925"/>
  <c r="M17" i="925"/>
  <c r="K17" i="925"/>
  <c r="AF16" i="925"/>
  <c r="AB16" i="925"/>
  <c r="Q16" i="925"/>
  <c r="P16" i="925"/>
  <c r="AC16" i="925" s="1"/>
  <c r="AD16" i="925" s="1"/>
  <c r="O16" i="925"/>
  <c r="M16" i="925"/>
  <c r="K16" i="925"/>
  <c r="AF15" i="925"/>
  <c r="AB15" i="925"/>
  <c r="Q15" i="925"/>
  <c r="P15" i="925"/>
  <c r="AC15" i="925" s="1"/>
  <c r="O15" i="925"/>
  <c r="M15" i="925"/>
  <c r="K15" i="925"/>
  <c r="AF14" i="925"/>
  <c r="AB14" i="925"/>
  <c r="Q14" i="925"/>
  <c r="P14" i="925"/>
  <c r="AC14" i="925" s="1"/>
  <c r="O14" i="925"/>
  <c r="M14" i="925"/>
  <c r="K14" i="925"/>
  <c r="AF13" i="925"/>
  <c r="AB13" i="925"/>
  <c r="Q13" i="925"/>
  <c r="P13" i="925"/>
  <c r="AC13" i="925" s="1"/>
  <c r="O13" i="925"/>
  <c r="M13" i="925"/>
  <c r="K13" i="925"/>
  <c r="AF12" i="925"/>
  <c r="AB12" i="925"/>
  <c r="Q12" i="925"/>
  <c r="P12" i="925"/>
  <c r="AC12" i="925" s="1"/>
  <c r="AD12" i="925" s="1"/>
  <c r="O12" i="925"/>
  <c r="M12" i="925"/>
  <c r="K12" i="925"/>
  <c r="AF11" i="925"/>
  <c r="AB11" i="925"/>
  <c r="Q11" i="925"/>
  <c r="P11" i="925"/>
  <c r="AC11" i="925" s="1"/>
  <c r="O11" i="925"/>
  <c r="M11" i="925"/>
  <c r="AF10" i="925"/>
  <c r="AC10" i="925"/>
  <c r="AB10" i="925"/>
  <c r="Q10" i="925"/>
  <c r="P10" i="925"/>
  <c r="O10" i="925"/>
  <c r="M10" i="925"/>
  <c r="K10" i="925"/>
  <c r="AF9" i="925"/>
  <c r="Q9" i="925"/>
  <c r="P9" i="925" s="1"/>
  <c r="AC9" i="925" s="1"/>
  <c r="O9" i="925"/>
  <c r="AF8" i="925"/>
  <c r="AB8" i="925"/>
  <c r="Q8" i="925"/>
  <c r="P8" i="925"/>
  <c r="AC8" i="925" s="1"/>
  <c r="O8" i="925"/>
  <c r="M8" i="925"/>
  <c r="L21" i="925"/>
  <c r="O21" i="925" s="1"/>
  <c r="AF7" i="925"/>
  <c r="AB7" i="925"/>
  <c r="Q7" i="925"/>
  <c r="P7" i="925"/>
  <c r="AC7" i="925" s="1"/>
  <c r="AD7" i="925" s="1"/>
  <c r="O7" i="925"/>
  <c r="M7" i="925"/>
  <c r="K7" i="925"/>
  <c r="AF6" i="925"/>
  <c r="AB6" i="925"/>
  <c r="Q6" i="925"/>
  <c r="P6" i="925"/>
  <c r="AC6" i="925" s="1"/>
  <c r="O6" i="925"/>
  <c r="M6" i="925"/>
  <c r="K6" i="925"/>
  <c r="AE12" i="929" l="1"/>
  <c r="AE14" i="929"/>
  <c r="AE17" i="929"/>
  <c r="AE11" i="929"/>
  <c r="AE19" i="929"/>
  <c r="AE16" i="929"/>
  <c r="AE15" i="929"/>
  <c r="AE7" i="929"/>
  <c r="AE10" i="929"/>
  <c r="AE21" i="929"/>
  <c r="AE6" i="929"/>
  <c r="AE8" i="929"/>
  <c r="AE18" i="929"/>
  <c r="AE20" i="929"/>
  <c r="AE9" i="929"/>
  <c r="AE20" i="928"/>
  <c r="AE14" i="928"/>
  <c r="AE12" i="928"/>
  <c r="AE7" i="928"/>
  <c r="AE11" i="928"/>
  <c r="AE18" i="928"/>
  <c r="AE10" i="928"/>
  <c r="AE19" i="928"/>
  <c r="AE15" i="928"/>
  <c r="AE13" i="928"/>
  <c r="AE21" i="928"/>
  <c r="AE17" i="928"/>
  <c r="AE9" i="928"/>
  <c r="AE6" i="928"/>
  <c r="AE8" i="928"/>
  <c r="P21" i="927"/>
  <c r="AD21" i="927"/>
  <c r="AE20" i="927" s="1"/>
  <c r="AC21" i="927"/>
  <c r="AD9" i="926"/>
  <c r="P21" i="926"/>
  <c r="AC21" i="926"/>
  <c r="M21" i="926"/>
  <c r="M19" i="926"/>
  <c r="AB19" i="926"/>
  <c r="AD19" i="926" s="1"/>
  <c r="AD6" i="926"/>
  <c r="K21" i="926"/>
  <c r="Q21" i="925"/>
  <c r="AD11" i="925"/>
  <c r="AD8" i="925"/>
  <c r="AD13" i="925"/>
  <c r="AD17" i="925"/>
  <c r="AD15" i="925"/>
  <c r="AD10" i="925"/>
  <c r="AD14" i="925"/>
  <c r="AD18" i="925"/>
  <c r="M9" i="925"/>
  <c r="AB9" i="925"/>
  <c r="AD9" i="925" s="1"/>
  <c r="M18" i="925"/>
  <c r="O19" i="925"/>
  <c r="AD19" i="925" s="1"/>
  <c r="P20" i="925"/>
  <c r="AC20" i="925" s="1"/>
  <c r="AC21" i="925" s="1"/>
  <c r="AD6" i="925"/>
  <c r="K21" i="925"/>
  <c r="M20" i="925"/>
  <c r="AB20" i="925"/>
  <c r="M19" i="925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20" i="924"/>
  <c r="K20" i="924" s="1"/>
  <c r="L19" i="924"/>
  <c r="K19" i="924" s="1"/>
  <c r="L18" i="924"/>
  <c r="K18" i="924" s="1"/>
  <c r="L11" i="924"/>
  <c r="P11" i="924" s="1"/>
  <c r="AC11" i="924" s="1"/>
  <c r="L9" i="924"/>
  <c r="P9" i="924" s="1"/>
  <c r="AC9" i="924" s="1"/>
  <c r="L8" i="924"/>
  <c r="AB8" i="924" s="1"/>
  <c r="K7" i="924"/>
  <c r="A75" i="924"/>
  <c r="A76" i="924" s="1"/>
  <c r="A77" i="924" s="1"/>
  <c r="A78" i="924" s="1"/>
  <c r="A79" i="924" s="1"/>
  <c r="A80" i="924" s="1"/>
  <c r="A81" i="924" s="1"/>
  <c r="A74" i="924"/>
  <c r="AF60" i="924"/>
  <c r="AF59" i="924"/>
  <c r="AF62" i="924" s="1"/>
  <c r="AA21" i="924"/>
  <c r="Z21" i="924"/>
  <c r="Y21" i="924"/>
  <c r="X21" i="924"/>
  <c r="W21" i="924"/>
  <c r="V21" i="924"/>
  <c r="U21" i="924"/>
  <c r="T21" i="924"/>
  <c r="S21" i="924"/>
  <c r="R21" i="924"/>
  <c r="N21" i="924"/>
  <c r="J21" i="924"/>
  <c r="I21" i="924"/>
  <c r="AF20" i="924"/>
  <c r="Q20" i="924"/>
  <c r="AF19" i="924"/>
  <c r="Q19" i="924"/>
  <c r="P19" i="924"/>
  <c r="AC19" i="924" s="1"/>
  <c r="AB19" i="924"/>
  <c r="AF18" i="924"/>
  <c r="Q18" i="924"/>
  <c r="AB18" i="924"/>
  <c r="AF17" i="924"/>
  <c r="AC17" i="924"/>
  <c r="AD17" i="924" s="1"/>
  <c r="AB17" i="924"/>
  <c r="Q17" i="924"/>
  <c r="P17" i="924"/>
  <c r="O17" i="924"/>
  <c r="M17" i="924"/>
  <c r="K17" i="924"/>
  <c r="AF16" i="924"/>
  <c r="AB16" i="924"/>
  <c r="Q16" i="924"/>
  <c r="P16" i="924"/>
  <c r="AC16" i="924" s="1"/>
  <c r="O16" i="924"/>
  <c r="M16" i="924"/>
  <c r="K16" i="924"/>
  <c r="AF15" i="924"/>
  <c r="AC15" i="924"/>
  <c r="AB15" i="924"/>
  <c r="Q15" i="924"/>
  <c r="P15" i="924"/>
  <c r="O15" i="924"/>
  <c r="M15" i="924"/>
  <c r="K15" i="924"/>
  <c r="AF14" i="924"/>
  <c r="AB14" i="924"/>
  <c r="Q14" i="924"/>
  <c r="P14" i="924"/>
  <c r="AC14" i="924" s="1"/>
  <c r="O14" i="924"/>
  <c r="M14" i="924"/>
  <c r="K14" i="924"/>
  <c r="AF13" i="924"/>
  <c r="AC13" i="924"/>
  <c r="AB13" i="924"/>
  <c r="Q13" i="924"/>
  <c r="P13" i="924"/>
  <c r="O13" i="924"/>
  <c r="M13" i="924"/>
  <c r="K13" i="924"/>
  <c r="AF12" i="924"/>
  <c r="AB12" i="924"/>
  <c r="Q12" i="924"/>
  <c r="P12" i="924"/>
  <c r="AC12" i="924" s="1"/>
  <c r="AD12" i="924" s="1"/>
  <c r="O12" i="924"/>
  <c r="M12" i="924"/>
  <c r="K12" i="924"/>
  <c r="AF11" i="924"/>
  <c r="Q11" i="924"/>
  <c r="O11" i="924"/>
  <c r="AF10" i="924"/>
  <c r="AB10" i="924"/>
  <c r="Q10" i="924"/>
  <c r="P10" i="924"/>
  <c r="AC10" i="924" s="1"/>
  <c r="O10" i="924"/>
  <c r="M10" i="924"/>
  <c r="K10" i="924"/>
  <c r="AF9" i="924"/>
  <c r="Q9" i="924"/>
  <c r="AF8" i="924"/>
  <c r="Q8" i="924"/>
  <c r="M8" i="924"/>
  <c r="AF7" i="924"/>
  <c r="AB7" i="924"/>
  <c r="Q7" i="924"/>
  <c r="M7" i="924"/>
  <c r="O7" i="924"/>
  <c r="AF6" i="924"/>
  <c r="AB6" i="924"/>
  <c r="Q6" i="924"/>
  <c r="P6" i="924"/>
  <c r="O6" i="924"/>
  <c r="M6" i="924"/>
  <c r="K6" i="924"/>
  <c r="AE11" i="927" l="1"/>
  <c r="AE19" i="927"/>
  <c r="AE17" i="927"/>
  <c r="AE7" i="927"/>
  <c r="AE6" i="927"/>
  <c r="AE10" i="927"/>
  <c r="AE13" i="927"/>
  <c r="AE15" i="927"/>
  <c r="AE8" i="927"/>
  <c r="AE14" i="927"/>
  <c r="AE9" i="927"/>
  <c r="AE16" i="927"/>
  <c r="AE18" i="927"/>
  <c r="AE12" i="927"/>
  <c r="AB21" i="926"/>
  <c r="AD21" i="926"/>
  <c r="M21" i="925"/>
  <c r="AB21" i="925"/>
  <c r="AD20" i="925"/>
  <c r="AD21" i="925" s="1"/>
  <c r="P21" i="925"/>
  <c r="O20" i="924"/>
  <c r="O18" i="924"/>
  <c r="AD18" i="924" s="1"/>
  <c r="P18" i="924"/>
  <c r="AC18" i="924" s="1"/>
  <c r="Q21" i="924"/>
  <c r="M11" i="924"/>
  <c r="AB11" i="924"/>
  <c r="AD11" i="924" s="1"/>
  <c r="K11" i="924"/>
  <c r="AB9" i="924"/>
  <c r="AD9" i="924" s="1"/>
  <c r="O9" i="924"/>
  <c r="K9" i="924"/>
  <c r="O8" i="924"/>
  <c r="K8" i="924"/>
  <c r="P8" i="924"/>
  <c r="AC8" i="924" s="1"/>
  <c r="AD15" i="924"/>
  <c r="AD10" i="924"/>
  <c r="AD13" i="924"/>
  <c r="AD14" i="924"/>
  <c r="AD16" i="924"/>
  <c r="AC6" i="924"/>
  <c r="K21" i="924"/>
  <c r="P7" i="924"/>
  <c r="AC7" i="924" s="1"/>
  <c r="AD7" i="924" s="1"/>
  <c r="M9" i="924"/>
  <c r="M18" i="924"/>
  <c r="O19" i="924"/>
  <c r="AD19" i="924" s="1"/>
  <c r="P20" i="924"/>
  <c r="AC20" i="924" s="1"/>
  <c r="M20" i="924"/>
  <c r="AB20" i="924"/>
  <c r="L21" i="924"/>
  <c r="O21" i="924" s="1"/>
  <c r="M19" i="924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0" i="923"/>
  <c r="K20" i="923" s="1"/>
  <c r="L19" i="923"/>
  <c r="L18" i="923"/>
  <c r="K18" i="923" s="1"/>
  <c r="L11" i="923"/>
  <c r="K11" i="923" s="1"/>
  <c r="L9" i="923"/>
  <c r="K9" i="923" s="1"/>
  <c r="L8" i="923"/>
  <c r="K8" i="923" s="1"/>
  <c r="L7" i="923"/>
  <c r="K7" i="923" s="1"/>
  <c r="K19" i="923"/>
  <c r="K13" i="923"/>
  <c r="A75" i="923"/>
  <c r="A76" i="923" s="1"/>
  <c r="A77" i="923" s="1"/>
  <c r="A78" i="923" s="1"/>
  <c r="A79" i="923" s="1"/>
  <c r="A80" i="923" s="1"/>
  <c r="A81" i="923" s="1"/>
  <c r="A74" i="923"/>
  <c r="AF60" i="923"/>
  <c r="AF59" i="923"/>
  <c r="AA21" i="923"/>
  <c r="Z21" i="923"/>
  <c r="Y21" i="923"/>
  <c r="X21" i="923"/>
  <c r="W21" i="923"/>
  <c r="V21" i="923"/>
  <c r="U21" i="923"/>
  <c r="T21" i="923"/>
  <c r="S21" i="923"/>
  <c r="R21" i="923"/>
  <c r="N21" i="923"/>
  <c r="J21" i="923"/>
  <c r="I21" i="923"/>
  <c r="AF20" i="923"/>
  <c r="Q20" i="923"/>
  <c r="AF19" i="923"/>
  <c r="AB19" i="923"/>
  <c r="Q19" i="923"/>
  <c r="P19" i="923" s="1"/>
  <c r="AC19" i="923" s="1"/>
  <c r="M19" i="923"/>
  <c r="O19" i="923"/>
  <c r="AF18" i="923"/>
  <c r="Q18" i="923"/>
  <c r="AF17" i="923"/>
  <c r="AB17" i="923"/>
  <c r="Q17" i="923"/>
  <c r="P17" i="923"/>
  <c r="AC17" i="923" s="1"/>
  <c r="O17" i="923"/>
  <c r="M17" i="923"/>
  <c r="K17" i="923"/>
  <c r="AF16" i="923"/>
  <c r="AB16" i="923"/>
  <c r="Q16" i="923"/>
  <c r="P16" i="923"/>
  <c r="AC16" i="923" s="1"/>
  <c r="O16" i="923"/>
  <c r="M16" i="923"/>
  <c r="K16" i="923"/>
  <c r="AF15" i="923"/>
  <c r="AB15" i="923"/>
  <c r="Q15" i="923"/>
  <c r="P15" i="923"/>
  <c r="AC15" i="923" s="1"/>
  <c r="O15" i="923"/>
  <c r="M15" i="923"/>
  <c r="K15" i="923"/>
  <c r="AF14" i="923"/>
  <c r="AB14" i="923"/>
  <c r="Q14" i="923"/>
  <c r="P14" i="923"/>
  <c r="AC14" i="923" s="1"/>
  <c r="O14" i="923"/>
  <c r="M14" i="923"/>
  <c r="K14" i="923"/>
  <c r="AF13" i="923"/>
  <c r="Q13" i="923"/>
  <c r="P13" i="923"/>
  <c r="AC13" i="923" s="1"/>
  <c r="O13" i="923"/>
  <c r="M13" i="923"/>
  <c r="AB13" i="923"/>
  <c r="AF12" i="923"/>
  <c r="AC12" i="923"/>
  <c r="AB12" i="923"/>
  <c r="Q12" i="923"/>
  <c r="P12" i="923"/>
  <c r="O12" i="923"/>
  <c r="M12" i="923"/>
  <c r="K12" i="923"/>
  <c r="AF11" i="923"/>
  <c r="Q11" i="923"/>
  <c r="O11" i="923"/>
  <c r="AF10" i="923"/>
  <c r="AB10" i="923"/>
  <c r="Q10" i="923"/>
  <c r="P10" i="923"/>
  <c r="AC10" i="923" s="1"/>
  <c r="O10" i="923"/>
  <c r="M10" i="923"/>
  <c r="K10" i="923"/>
  <c r="AF9" i="923"/>
  <c r="AB9" i="923"/>
  <c r="Q9" i="923"/>
  <c r="P9" i="923" s="1"/>
  <c r="AC9" i="923" s="1"/>
  <c r="M9" i="923"/>
  <c r="AF8" i="923"/>
  <c r="Q8" i="923"/>
  <c r="O8" i="923"/>
  <c r="AF7" i="923"/>
  <c r="Q7" i="923"/>
  <c r="AB7" i="923"/>
  <c r="AF6" i="923"/>
  <c r="AB6" i="923"/>
  <c r="Q6" i="923"/>
  <c r="P6" i="923"/>
  <c r="AC6" i="923" s="1"/>
  <c r="O6" i="923"/>
  <c r="M6" i="923"/>
  <c r="K6" i="923"/>
  <c r="AE19" i="926" l="1"/>
  <c r="AE8" i="926"/>
  <c r="AE6" i="926"/>
  <c r="AE7" i="926"/>
  <c r="AE17" i="926"/>
  <c r="AE15" i="926"/>
  <c r="AE13" i="926"/>
  <c r="AE11" i="926"/>
  <c r="AE9" i="926"/>
  <c r="AE20" i="926"/>
  <c r="AE18" i="926"/>
  <c r="AE16" i="926"/>
  <c r="AE14" i="926"/>
  <c r="AE12" i="926"/>
  <c r="AE10" i="926"/>
  <c r="AE18" i="925"/>
  <c r="AE19" i="925"/>
  <c r="AE16" i="925"/>
  <c r="AE14" i="925"/>
  <c r="AE12" i="925"/>
  <c r="AE7" i="925"/>
  <c r="AE20" i="925"/>
  <c r="AE10" i="925"/>
  <c r="AE6" i="925"/>
  <c r="AE17" i="925"/>
  <c r="AE15" i="925"/>
  <c r="AE13" i="925"/>
  <c r="AE11" i="925"/>
  <c r="AE8" i="925"/>
  <c r="AE9" i="925"/>
  <c r="AD20" i="924"/>
  <c r="AB21" i="924"/>
  <c r="AD8" i="924"/>
  <c r="M21" i="924"/>
  <c r="AC21" i="924"/>
  <c r="AD6" i="924"/>
  <c r="P21" i="924"/>
  <c r="AF62" i="923"/>
  <c r="AD17" i="923"/>
  <c r="O18" i="923"/>
  <c r="O20" i="923"/>
  <c r="Q21" i="923"/>
  <c r="O7" i="923"/>
  <c r="P7" i="923"/>
  <c r="AC7" i="923" s="1"/>
  <c r="AD7" i="923" s="1"/>
  <c r="AD16" i="923"/>
  <c r="AD10" i="923"/>
  <c r="AD14" i="923"/>
  <c r="AD12" i="923"/>
  <c r="AD13" i="923"/>
  <c r="AD15" i="923"/>
  <c r="AD19" i="923"/>
  <c r="K21" i="923"/>
  <c r="P8" i="923"/>
  <c r="AC8" i="923" s="1"/>
  <c r="P11" i="923"/>
  <c r="AC11" i="923" s="1"/>
  <c r="P18" i="923"/>
  <c r="AC18" i="923" s="1"/>
  <c r="P20" i="923"/>
  <c r="AC20" i="923" s="1"/>
  <c r="AD6" i="923"/>
  <c r="M8" i="923"/>
  <c r="AB8" i="923"/>
  <c r="O9" i="923"/>
  <c r="AD9" i="923" s="1"/>
  <c r="M11" i="923"/>
  <c r="AB11" i="923"/>
  <c r="M18" i="923"/>
  <c r="AB18" i="923"/>
  <c r="M20" i="923"/>
  <c r="AB20" i="923"/>
  <c r="L21" i="923"/>
  <c r="O21" i="923" s="1"/>
  <c r="M7" i="923"/>
  <c r="K18" i="922"/>
  <c r="D17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K21" i="922"/>
  <c r="L21" i="922"/>
  <c r="L20" i="922"/>
  <c r="K20" i="922" s="1"/>
  <c r="K19" i="922"/>
  <c r="L18" i="922"/>
  <c r="L13" i="922"/>
  <c r="K13" i="922" s="1"/>
  <c r="L11" i="922"/>
  <c r="K11" i="922" s="1"/>
  <c r="L9" i="922"/>
  <c r="L8" i="922"/>
  <c r="L7" i="922"/>
  <c r="K7" i="922" s="1"/>
  <c r="K12" i="922"/>
  <c r="K8" i="922"/>
  <c r="A75" i="922"/>
  <c r="A76" i="922" s="1"/>
  <c r="A77" i="922" s="1"/>
  <c r="A78" i="922" s="1"/>
  <c r="A79" i="922" s="1"/>
  <c r="A80" i="922" s="1"/>
  <c r="A81" i="922" s="1"/>
  <c r="A82" i="922" s="1"/>
  <c r="AF61" i="922"/>
  <c r="AF60" i="922"/>
  <c r="AA22" i="922"/>
  <c r="Z22" i="922"/>
  <c r="Y22" i="922"/>
  <c r="X22" i="922"/>
  <c r="W22" i="922"/>
  <c r="V22" i="922"/>
  <c r="U22" i="922"/>
  <c r="T22" i="922"/>
  <c r="S22" i="922"/>
  <c r="R22" i="922"/>
  <c r="N22" i="922"/>
  <c r="J22" i="922"/>
  <c r="AF21" i="922"/>
  <c r="AB21" i="922"/>
  <c r="Q21" i="922"/>
  <c r="M21" i="922"/>
  <c r="AF20" i="922"/>
  <c r="Q20" i="922"/>
  <c r="AF19" i="922"/>
  <c r="AB19" i="922"/>
  <c r="Q19" i="922"/>
  <c r="P19" i="922" s="1"/>
  <c r="AC19" i="922" s="1"/>
  <c r="O19" i="922"/>
  <c r="M19" i="922"/>
  <c r="AF18" i="922"/>
  <c r="AB18" i="922"/>
  <c r="Q18" i="922"/>
  <c r="M18" i="922"/>
  <c r="I22" i="922"/>
  <c r="AF17" i="922"/>
  <c r="AC17" i="922"/>
  <c r="AD17" i="922" s="1"/>
  <c r="AB17" i="922"/>
  <c r="Q17" i="922"/>
  <c r="P17" i="922"/>
  <c r="O17" i="922"/>
  <c r="M17" i="922"/>
  <c r="K17" i="922"/>
  <c r="AF16" i="922"/>
  <c r="AB16" i="922"/>
  <c r="Q16" i="922"/>
  <c r="P16" i="922"/>
  <c r="AC16" i="922" s="1"/>
  <c r="O16" i="922"/>
  <c r="M16" i="922"/>
  <c r="K16" i="922"/>
  <c r="AF15" i="922"/>
  <c r="AB15" i="922"/>
  <c r="Q15" i="922"/>
  <c r="P15" i="922"/>
  <c r="AC15" i="922" s="1"/>
  <c r="O15" i="922"/>
  <c r="M15" i="922"/>
  <c r="K15" i="922"/>
  <c r="AF14" i="922"/>
  <c r="AB14" i="922"/>
  <c r="Q14" i="922"/>
  <c r="P14" i="922"/>
  <c r="AC14" i="922" s="1"/>
  <c r="AD14" i="922" s="1"/>
  <c r="O14" i="922"/>
  <c r="M14" i="922"/>
  <c r="K14" i="922"/>
  <c r="AF13" i="922"/>
  <c r="AB13" i="922"/>
  <c r="Q13" i="922"/>
  <c r="O13" i="922"/>
  <c r="M13" i="922"/>
  <c r="P13" i="922"/>
  <c r="AC13" i="922" s="1"/>
  <c r="AF12" i="922"/>
  <c r="AB12" i="922"/>
  <c r="Q12" i="922"/>
  <c r="P12" i="922"/>
  <c r="AC12" i="922" s="1"/>
  <c r="O12" i="922"/>
  <c r="M12" i="922"/>
  <c r="AF11" i="922"/>
  <c r="AB11" i="922"/>
  <c r="Q11" i="922"/>
  <c r="P11" i="922" s="1"/>
  <c r="AC11" i="922" s="1"/>
  <c r="O11" i="922"/>
  <c r="M11" i="922"/>
  <c r="AF10" i="922"/>
  <c r="AB10" i="922"/>
  <c r="Q10" i="922"/>
  <c r="P10" i="922"/>
  <c r="AC10" i="922" s="1"/>
  <c r="O10" i="922"/>
  <c r="M10" i="922"/>
  <c r="K10" i="922"/>
  <c r="AF9" i="922"/>
  <c r="Q9" i="922"/>
  <c r="AF8" i="922"/>
  <c r="Q8" i="922"/>
  <c r="P8" i="922" s="1"/>
  <c r="AC8" i="922" s="1"/>
  <c r="AF7" i="922"/>
  <c r="Q7" i="922"/>
  <c r="P7" i="922"/>
  <c r="AC7" i="922" s="1"/>
  <c r="AF6" i="922"/>
  <c r="AC6" i="922"/>
  <c r="AB6" i="922"/>
  <c r="Q6" i="922"/>
  <c r="P6" i="922"/>
  <c r="O6" i="922"/>
  <c r="M6" i="922"/>
  <c r="K6" i="922"/>
  <c r="AD21" i="924" l="1"/>
  <c r="AE18" i="924" s="1"/>
  <c r="AD8" i="923"/>
  <c r="M21" i="923"/>
  <c r="AB21" i="923"/>
  <c r="AD18" i="923"/>
  <c r="AD20" i="923"/>
  <c r="AD11" i="923"/>
  <c r="P21" i="923"/>
  <c r="AC21" i="923"/>
  <c r="O21" i="922"/>
  <c r="P21" i="922"/>
  <c r="AC21" i="922" s="1"/>
  <c r="P20" i="922"/>
  <c r="AC20" i="922" s="1"/>
  <c r="P18" i="922"/>
  <c r="AC18" i="922" s="1"/>
  <c r="AF63" i="922"/>
  <c r="AD12" i="922"/>
  <c r="AD15" i="922"/>
  <c r="P9" i="922"/>
  <c r="AC9" i="922" s="1"/>
  <c r="AD10" i="922"/>
  <c r="AD11" i="922"/>
  <c r="Q22" i="922"/>
  <c r="AB9" i="922"/>
  <c r="M9" i="922"/>
  <c r="O9" i="922"/>
  <c r="K9" i="922"/>
  <c r="K22" i="922" s="1"/>
  <c r="L22" i="922"/>
  <c r="O22" i="922" s="1"/>
  <c r="AD13" i="922"/>
  <c r="AD16" i="922"/>
  <c r="AD19" i="922"/>
  <c r="O18" i="922"/>
  <c r="M20" i="922"/>
  <c r="AB20" i="922"/>
  <c r="M7" i="922"/>
  <c r="AB7" i="922"/>
  <c r="O8" i="922"/>
  <c r="O20" i="922"/>
  <c r="AD6" i="922"/>
  <c r="M8" i="922"/>
  <c r="AB8" i="922"/>
  <c r="O7" i="922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1" i="921"/>
  <c r="K21" i="921"/>
  <c r="AF20" i="921"/>
  <c r="AB20" i="921"/>
  <c r="Q20" i="921"/>
  <c r="P20" i="921" s="1"/>
  <c r="AC20" i="921" s="1"/>
  <c r="AD20" i="921" s="1"/>
  <c r="O20" i="921"/>
  <c r="M20" i="921"/>
  <c r="K20" i="921"/>
  <c r="L19" i="921"/>
  <c r="L14" i="921"/>
  <c r="K14" i="921"/>
  <c r="L13" i="921"/>
  <c r="AF13" i="921"/>
  <c r="AB13" i="921"/>
  <c r="Q13" i="921"/>
  <c r="P13" i="921" s="1"/>
  <c r="AC13" i="921" s="1"/>
  <c r="O13" i="921"/>
  <c r="M13" i="921"/>
  <c r="K13" i="921"/>
  <c r="L11" i="921"/>
  <c r="L8" i="921"/>
  <c r="K8" i="921" s="1"/>
  <c r="AE14" i="924" l="1"/>
  <c r="AE13" i="924"/>
  <c r="AE12" i="924"/>
  <c r="AE19" i="924"/>
  <c r="AE11" i="924"/>
  <c r="AE20" i="924"/>
  <c r="AE16" i="924"/>
  <c r="AE15" i="924"/>
  <c r="AE7" i="924"/>
  <c r="AE9" i="924"/>
  <c r="AE6" i="924"/>
  <c r="AE8" i="924"/>
  <c r="AE17" i="924"/>
  <c r="AE10" i="924"/>
  <c r="AD21" i="923"/>
  <c r="AD21" i="922"/>
  <c r="AD20" i="922"/>
  <c r="D16" i="16" s="1"/>
  <c r="AC22" i="922"/>
  <c r="AD18" i="922"/>
  <c r="P22" i="922"/>
  <c r="AD9" i="922"/>
  <c r="AD8" i="922"/>
  <c r="AB22" i="922"/>
  <c r="M22" i="922"/>
  <c r="AD7" i="922"/>
  <c r="AD13" i="921"/>
  <c r="AE11" i="923" l="1"/>
  <c r="AE10" i="923"/>
  <c r="AE20" i="923"/>
  <c r="AE9" i="923"/>
  <c r="AE16" i="923"/>
  <c r="AE19" i="923"/>
  <c r="AE14" i="923"/>
  <c r="AE8" i="923"/>
  <c r="AE13" i="923"/>
  <c r="AE6" i="923"/>
  <c r="AE15" i="923"/>
  <c r="AE12" i="923"/>
  <c r="AE18" i="923"/>
  <c r="AE7" i="923"/>
  <c r="AE17" i="923"/>
  <c r="AD22" i="922"/>
  <c r="L7" i="921"/>
  <c r="K7" i="921" s="1"/>
  <c r="K22" i="921"/>
  <c r="K19" i="921"/>
  <c r="K12" i="921"/>
  <c r="K11" i="921"/>
  <c r="K10" i="921"/>
  <c r="K9" i="921"/>
  <c r="A77" i="921"/>
  <c r="A78" i="921" s="1"/>
  <c r="A79" i="921" s="1"/>
  <c r="A80" i="921" s="1"/>
  <c r="A81" i="921" s="1"/>
  <c r="A82" i="921" s="1"/>
  <c r="A83" i="921" s="1"/>
  <c r="A76" i="921"/>
  <c r="AF62" i="921"/>
  <c r="AF61" i="921"/>
  <c r="AF64" i="921" s="1"/>
  <c r="AA23" i="921"/>
  <c r="Z23" i="921"/>
  <c r="Y23" i="921"/>
  <c r="X23" i="921"/>
  <c r="W23" i="921"/>
  <c r="V23" i="921"/>
  <c r="U23" i="921"/>
  <c r="T23" i="921"/>
  <c r="S23" i="921"/>
  <c r="R23" i="921"/>
  <c r="N23" i="921"/>
  <c r="J23" i="921"/>
  <c r="AF22" i="921"/>
  <c r="Q22" i="921"/>
  <c r="O22" i="921"/>
  <c r="AF21" i="921"/>
  <c r="AB21" i="921"/>
  <c r="Q21" i="921"/>
  <c r="P21" i="921" s="1"/>
  <c r="AC21" i="921" s="1"/>
  <c r="M21" i="921"/>
  <c r="O21" i="921"/>
  <c r="AF19" i="921"/>
  <c r="Q19" i="921"/>
  <c r="P19" i="921" s="1"/>
  <c r="AC19" i="921" s="1"/>
  <c r="O19" i="921"/>
  <c r="I19" i="921"/>
  <c r="I23" i="921" s="1"/>
  <c r="AF18" i="921"/>
  <c r="AB18" i="921"/>
  <c r="Q18" i="921"/>
  <c r="P18" i="921"/>
  <c r="AC18" i="921" s="1"/>
  <c r="O18" i="921"/>
  <c r="M18" i="921"/>
  <c r="K18" i="921"/>
  <c r="AF17" i="921"/>
  <c r="AB17" i="921"/>
  <c r="Q17" i="921"/>
  <c r="P17" i="921"/>
  <c r="AC17" i="921" s="1"/>
  <c r="O17" i="921"/>
  <c r="M17" i="921"/>
  <c r="K17" i="921"/>
  <c r="AF16" i="921"/>
  <c r="AB16" i="921"/>
  <c r="Q16" i="921"/>
  <c r="P16" i="921"/>
  <c r="AC16" i="921" s="1"/>
  <c r="O16" i="921"/>
  <c r="M16" i="921"/>
  <c r="K16" i="921"/>
  <c r="AF15" i="921"/>
  <c r="AB15" i="921"/>
  <c r="Q15" i="921"/>
  <c r="P15" i="921"/>
  <c r="AC15" i="921" s="1"/>
  <c r="O15" i="921"/>
  <c r="M15" i="921"/>
  <c r="K15" i="921"/>
  <c r="AF14" i="921"/>
  <c r="AB14" i="921"/>
  <c r="Q14" i="921"/>
  <c r="P14" i="921" s="1"/>
  <c r="AC14" i="921" s="1"/>
  <c r="O14" i="921"/>
  <c r="M14" i="921"/>
  <c r="AF12" i="921"/>
  <c r="Q12" i="921"/>
  <c r="AB12" i="921"/>
  <c r="AF11" i="921"/>
  <c r="AB11" i="921"/>
  <c r="Q11" i="921"/>
  <c r="P11" i="921"/>
  <c r="AC11" i="921" s="1"/>
  <c r="AD11" i="921" s="1"/>
  <c r="M11" i="921"/>
  <c r="O11" i="921"/>
  <c r="AF10" i="921"/>
  <c r="Q10" i="921"/>
  <c r="O10" i="921"/>
  <c r="P10" i="921"/>
  <c r="AC10" i="921" s="1"/>
  <c r="AF9" i="921"/>
  <c r="AB9" i="921"/>
  <c r="Q9" i="921"/>
  <c r="P9" i="921" s="1"/>
  <c r="AC9" i="921" s="1"/>
  <c r="O9" i="921"/>
  <c r="M9" i="921"/>
  <c r="AF8" i="921"/>
  <c r="AB8" i="921"/>
  <c r="Q8" i="921"/>
  <c r="P8" i="921" s="1"/>
  <c r="AC8" i="921" s="1"/>
  <c r="O8" i="921"/>
  <c r="M8" i="921"/>
  <c r="AF7" i="921"/>
  <c r="Q7" i="921"/>
  <c r="O7" i="921"/>
  <c r="L23" i="921"/>
  <c r="O23" i="921" s="1"/>
  <c r="AF6" i="921"/>
  <c r="AB6" i="921"/>
  <c r="Q6" i="921"/>
  <c r="P6" i="921"/>
  <c r="O6" i="921"/>
  <c r="M6" i="921"/>
  <c r="K6" i="921"/>
  <c r="AE18" i="922" l="1"/>
  <c r="D18" i="16"/>
  <c r="AG18" i="16" s="1"/>
  <c r="AE16" i="922"/>
  <c r="AE13" i="922"/>
  <c r="AE6" i="922"/>
  <c r="AE10" i="922"/>
  <c r="AE12" i="922"/>
  <c r="AE15" i="922"/>
  <c r="AE9" i="922"/>
  <c r="AE14" i="922"/>
  <c r="AE17" i="922"/>
  <c r="AE8" i="922"/>
  <c r="AE7" i="922"/>
  <c r="AE19" i="922"/>
  <c r="AE21" i="922"/>
  <c r="AE20" i="922"/>
  <c r="AE11" i="922"/>
  <c r="Q23" i="921"/>
  <c r="AD8" i="921"/>
  <c r="AD14" i="921"/>
  <c r="AD16" i="921"/>
  <c r="AD9" i="921"/>
  <c r="AD15" i="921"/>
  <c r="AD17" i="921"/>
  <c r="AD18" i="921"/>
  <c r="AD21" i="921"/>
  <c r="O12" i="921"/>
  <c r="M7" i="921"/>
  <c r="AB7" i="921"/>
  <c r="M10" i="921"/>
  <c r="AB10" i="921"/>
  <c r="AD10" i="921" s="1"/>
  <c r="P12" i="921"/>
  <c r="AC12" i="921" s="1"/>
  <c r="M19" i="921"/>
  <c r="AB19" i="921"/>
  <c r="AD19" i="921" s="1"/>
  <c r="P22" i="921"/>
  <c r="AC22" i="921" s="1"/>
  <c r="AC6" i="921"/>
  <c r="P7" i="921"/>
  <c r="AC7" i="921" s="1"/>
  <c r="M12" i="921"/>
  <c r="M22" i="921"/>
  <c r="AB22" i="921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AG3" i="16" s="1"/>
  <c r="L20" i="920"/>
  <c r="K20" i="920" s="1"/>
  <c r="L19" i="920"/>
  <c r="L18" i="920"/>
  <c r="L12" i="920"/>
  <c r="K12" i="920" s="1"/>
  <c r="L11" i="920"/>
  <c r="L10" i="920"/>
  <c r="K10" i="920"/>
  <c r="L8" i="920"/>
  <c r="K8" i="920" s="1"/>
  <c r="L7" i="920"/>
  <c r="K7" i="920" s="1"/>
  <c r="K19" i="920"/>
  <c r="K18" i="920"/>
  <c r="K9" i="920"/>
  <c r="AG17" i="16"/>
  <c r="AG16" i="16"/>
  <c r="AG15" i="16"/>
  <c r="AG14" i="16"/>
  <c r="AG13" i="16"/>
  <c r="AG12" i="16"/>
  <c r="AG11" i="16"/>
  <c r="AG10" i="16"/>
  <c r="AG9" i="16"/>
  <c r="AG8" i="16"/>
  <c r="AG7" i="16"/>
  <c r="AG6" i="16"/>
  <c r="AG5" i="16"/>
  <c r="AG4" i="16"/>
  <c r="AD12" i="921" l="1"/>
  <c r="AB23" i="921"/>
  <c r="M23" i="921"/>
  <c r="AD22" i="921"/>
  <c r="P23" i="921"/>
  <c r="AD7" i="921"/>
  <c r="AC23" i="921"/>
  <c r="AD6" i="921"/>
  <c r="K23" i="921"/>
  <c r="K17" i="920"/>
  <c r="K13" i="920"/>
  <c r="A74" i="920"/>
  <c r="A75" i="920" s="1"/>
  <c r="A76" i="920" s="1"/>
  <c r="A77" i="920" s="1"/>
  <c r="A78" i="920" s="1"/>
  <c r="A79" i="920" s="1"/>
  <c r="A80" i="920" s="1"/>
  <c r="A81" i="920" s="1"/>
  <c r="AF60" i="920"/>
  <c r="AF62" i="920" s="1"/>
  <c r="AF59" i="920"/>
  <c r="AA21" i="920"/>
  <c r="Z21" i="920"/>
  <c r="Y21" i="920"/>
  <c r="X21" i="920"/>
  <c r="W21" i="920"/>
  <c r="V21" i="920"/>
  <c r="U21" i="920"/>
  <c r="T21" i="920"/>
  <c r="S21" i="920"/>
  <c r="R21" i="920"/>
  <c r="N21" i="920"/>
  <c r="J21" i="920"/>
  <c r="I21" i="920"/>
  <c r="AF20" i="920"/>
  <c r="AB20" i="920"/>
  <c r="Q20" i="920"/>
  <c r="O20" i="920"/>
  <c r="M20" i="920"/>
  <c r="P20" i="920"/>
  <c r="AC20" i="920" s="1"/>
  <c r="AF19" i="920"/>
  <c r="Q19" i="920"/>
  <c r="M19" i="920"/>
  <c r="AB19" i="920"/>
  <c r="AF18" i="920"/>
  <c r="Q18" i="920"/>
  <c r="P18" i="920" s="1"/>
  <c r="AC18" i="920" s="1"/>
  <c r="I18" i="920"/>
  <c r="AF17" i="920"/>
  <c r="Q17" i="920"/>
  <c r="P17" i="920"/>
  <c r="AC17" i="920" s="1"/>
  <c r="AF16" i="920"/>
  <c r="AB16" i="920"/>
  <c r="Q16" i="920"/>
  <c r="P16" i="920"/>
  <c r="AC16" i="920" s="1"/>
  <c r="AD16" i="920" s="1"/>
  <c r="O16" i="920"/>
  <c r="M16" i="920"/>
  <c r="K16" i="920"/>
  <c r="AF15" i="920"/>
  <c r="AB15" i="920"/>
  <c r="Q15" i="920"/>
  <c r="P15" i="920"/>
  <c r="AC15" i="920" s="1"/>
  <c r="O15" i="920"/>
  <c r="M15" i="920"/>
  <c r="K15" i="920"/>
  <c r="AF14" i="920"/>
  <c r="AC14" i="920"/>
  <c r="AB14" i="920"/>
  <c r="Q14" i="920"/>
  <c r="P14" i="920"/>
  <c r="O14" i="920"/>
  <c r="M14" i="920"/>
  <c r="K14" i="920"/>
  <c r="AF13" i="920"/>
  <c r="Q13" i="920"/>
  <c r="AB13" i="920"/>
  <c r="AF12" i="920"/>
  <c r="Q12" i="920"/>
  <c r="P12" i="920" s="1"/>
  <c r="AC12" i="920" s="1"/>
  <c r="O12" i="920"/>
  <c r="AF11" i="920"/>
  <c r="AB11" i="920"/>
  <c r="Q11" i="920"/>
  <c r="P11" i="920" s="1"/>
  <c r="AC11" i="920" s="1"/>
  <c r="O11" i="920"/>
  <c r="M11" i="920"/>
  <c r="K11" i="920"/>
  <c r="AF10" i="920"/>
  <c r="Q10" i="920"/>
  <c r="M10" i="920"/>
  <c r="AF9" i="920"/>
  <c r="Q9" i="920"/>
  <c r="P9" i="920" s="1"/>
  <c r="AC9" i="920" s="1"/>
  <c r="O9" i="920"/>
  <c r="AF8" i="920"/>
  <c r="Q8" i="920"/>
  <c r="P8" i="920"/>
  <c r="AC8" i="920" s="1"/>
  <c r="O8" i="920"/>
  <c r="M8" i="920"/>
  <c r="AB8" i="920"/>
  <c r="AF7" i="920"/>
  <c r="AB7" i="920"/>
  <c r="Q7" i="920"/>
  <c r="O7" i="920"/>
  <c r="M7" i="920"/>
  <c r="L21" i="920"/>
  <c r="O21" i="920" s="1"/>
  <c r="AF6" i="920"/>
  <c r="AB6" i="920"/>
  <c r="Q6" i="920"/>
  <c r="P6" i="920"/>
  <c r="O6" i="920"/>
  <c r="M6" i="920"/>
  <c r="K6" i="920"/>
  <c r="AD23" i="921" l="1"/>
  <c r="AE20" i="921" s="1"/>
  <c r="AD8" i="920"/>
  <c r="AD20" i="920"/>
  <c r="Q21" i="920"/>
  <c r="AD11" i="920"/>
  <c r="AD14" i="920"/>
  <c r="AD15" i="920"/>
  <c r="AB10" i="920"/>
  <c r="AC6" i="920"/>
  <c r="K21" i="920"/>
  <c r="P7" i="920"/>
  <c r="AC7" i="920" s="1"/>
  <c r="AD7" i="920" s="1"/>
  <c r="M9" i="920"/>
  <c r="AB9" i="920"/>
  <c r="O10" i="920"/>
  <c r="M12" i="920"/>
  <c r="AB12" i="920"/>
  <c r="AD12" i="920" s="1"/>
  <c r="O13" i="920"/>
  <c r="M17" i="920"/>
  <c r="AB17" i="920"/>
  <c r="M18" i="920"/>
  <c r="AB18" i="920"/>
  <c r="O19" i="920"/>
  <c r="M13" i="920"/>
  <c r="P10" i="920"/>
  <c r="AC10" i="920" s="1"/>
  <c r="P13" i="920"/>
  <c r="AC13" i="920" s="1"/>
  <c r="O17" i="920"/>
  <c r="O18" i="920"/>
  <c r="P19" i="920"/>
  <c r="AC19" i="920" s="1"/>
  <c r="AE19" i="921" l="1"/>
  <c r="AE13" i="921"/>
  <c r="AE16" i="921"/>
  <c r="AE17" i="921"/>
  <c r="AE14" i="921"/>
  <c r="AE21" i="921"/>
  <c r="AE6" i="921"/>
  <c r="AE9" i="921"/>
  <c r="AE22" i="921"/>
  <c r="AE12" i="921"/>
  <c r="AE15" i="921"/>
  <c r="AE8" i="921"/>
  <c r="AE7" i="921"/>
  <c r="AE11" i="921"/>
  <c r="AE10" i="921"/>
  <c r="AE18" i="921"/>
  <c r="AD18" i="920"/>
  <c r="P21" i="920"/>
  <c r="AD17" i="920"/>
  <c r="AB21" i="920"/>
  <c r="AD19" i="920"/>
  <c r="AD10" i="920"/>
  <c r="M21" i="920"/>
  <c r="AD9" i="920"/>
  <c r="AC21" i="920"/>
  <c r="AD6" i="920"/>
  <c r="AD13" i="920"/>
  <c r="AD21" i="920" l="1"/>
  <c r="AE17" i="920" s="1"/>
  <c r="AE18" i="920" l="1"/>
  <c r="AE15" i="920"/>
  <c r="AE8" i="920"/>
  <c r="AE10" i="920"/>
  <c r="AE11" i="920"/>
  <c r="AE7" i="920"/>
  <c r="AE19" i="920"/>
  <c r="AE9" i="920"/>
  <c r="AE14" i="920"/>
  <c r="AE20" i="920"/>
  <c r="AE6" i="920"/>
  <c r="AE12" i="920"/>
  <c r="AE16" i="920"/>
  <c r="AE13" i="920"/>
</calcChain>
</file>

<file path=xl/sharedStrings.xml><?xml version="1.0" encoding="utf-8"?>
<sst xmlns="http://schemas.openxmlformats.org/spreadsheetml/2006/main" count="5455" uniqueCount="1027">
  <si>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</si>
  <si>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</si>
  <si>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</si>
  <si>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</si>
  <si>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</si>
  <si>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</si>
  <si>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</si>
  <si>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</si>
  <si>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</si>
  <si>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</si>
  <si>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</si>
  <si>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</si>
  <si>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</si>
  <si>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</si>
  <si>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</si>
  <si>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</si>
  <si>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</si>
  <si>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</si>
  <si>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</si>
  <si>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</si>
  <si>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</si>
  <si>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</si>
  <si>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</si>
  <si>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</si>
  <si>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</si>
  <si>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</si>
  <si>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</si>
  <si>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</si>
  <si>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</si>
  <si>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</si>
  <si>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</si>
  <si>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</si>
  <si>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</si>
  <si>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</si>
  <si>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</si>
  <si>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</si>
  <si>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</si>
  <si>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순위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</si>
  <si>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</si>
  <si>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</si>
  <si>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</si>
  <si>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</si>
  <si>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</si>
  <si>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</si>
  <si>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</si>
  <si>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</si>
  <si>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</si>
  <si>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</si>
  <si>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</si>
  <si>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</si>
  <si>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</si>
  <si>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</si>
  <si>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</si>
  <si>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</si>
  <si>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</si>
  <si>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</si>
  <si>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</si>
  <si>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</si>
  <si>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BASE</t>
    <phoneticPr fontId="2" type="noConversion"/>
  </si>
  <si>
    <t>발주</t>
    <phoneticPr fontId="2" type="noConversion"/>
  </si>
  <si>
    <t>불량 내역</t>
    <phoneticPr fontId="2" type="noConversion"/>
  </si>
  <si>
    <t xml:space="preserve"> 세척</t>
    <phoneticPr fontId="2" type="noConversion"/>
  </si>
  <si>
    <t>HICON</t>
    <phoneticPr fontId="2" type="noConversion"/>
  </si>
  <si>
    <t>2829H-05-001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</si>
  <si>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</si>
  <si>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</si>
  <si>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</si>
  <si>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</si>
  <si>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</si>
  <si>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</si>
  <si>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</si>
  <si>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</si>
  <si>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</si>
  <si>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</si>
  <si>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</si>
  <si>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</si>
  <si>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</si>
  <si>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</si>
  <si>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</si>
  <si>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</si>
  <si>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</si>
  <si>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</si>
  <si>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</si>
  <si>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</si>
  <si>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</si>
  <si>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</si>
  <si>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</si>
  <si>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</si>
  <si>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</si>
  <si>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</si>
  <si>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</si>
  <si>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</si>
  <si>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</si>
  <si>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</si>
  <si>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</si>
  <si>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</si>
  <si>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</si>
  <si>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</si>
  <si>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</si>
  <si>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</si>
  <si>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</si>
  <si>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</si>
  <si>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</si>
  <si>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</si>
  <si>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</si>
  <si>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</si>
  <si>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</si>
  <si>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</si>
  <si>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</si>
  <si>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</si>
  <si>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</si>
  <si>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</si>
  <si>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</si>
  <si>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</si>
  <si>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</si>
  <si>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</si>
  <si>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</si>
  <si>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</si>
  <si>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</si>
  <si>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DI</t>
    <phoneticPr fontId="2" type="noConversion"/>
  </si>
  <si>
    <t>PA46</t>
    <phoneticPr fontId="2" type="noConversion"/>
  </si>
  <si>
    <t>SLIDER</t>
    <phoneticPr fontId="2" type="noConversion"/>
  </si>
  <si>
    <t>MCS</t>
    <phoneticPr fontId="2" type="noConversion"/>
  </si>
  <si>
    <t>STOPPER</t>
    <phoneticPr fontId="2" type="noConversion"/>
  </si>
  <si>
    <t>HSA65-M002C1(CD)</t>
    <phoneticPr fontId="2" type="noConversion"/>
  </si>
  <si>
    <t>HSA65-M001B1(A)</t>
    <phoneticPr fontId="2" type="noConversion"/>
  </si>
  <si>
    <t>SGF2030</t>
    <phoneticPr fontId="2" type="noConversion"/>
  </si>
  <si>
    <t>SST</t>
    <phoneticPr fontId="2" type="noConversion"/>
  </si>
  <si>
    <t>SF2255</t>
    <phoneticPr fontId="2" type="noConversion"/>
  </si>
  <si>
    <t>KR6156FA841YA</t>
    <phoneticPr fontId="2" type="noConversion"/>
  </si>
  <si>
    <t>수리후양산</t>
    <phoneticPr fontId="2" type="noConversion"/>
  </si>
  <si>
    <t>5</t>
    <phoneticPr fontId="2" type="noConversion"/>
  </si>
  <si>
    <t>4</t>
    <phoneticPr fontId="2" type="noConversion"/>
  </si>
  <si>
    <t>AMB0152A-KAA-R1</t>
    <phoneticPr fontId="2" type="noConversion"/>
  </si>
  <si>
    <t>7</t>
    <phoneticPr fontId="2" type="noConversion"/>
  </si>
  <si>
    <t>세척후양산</t>
    <phoneticPr fontId="2" type="noConversion"/>
  </si>
  <si>
    <t>SGF2030 N/P</t>
    <phoneticPr fontId="2" type="noConversion"/>
  </si>
  <si>
    <t>SGF2030</t>
    <phoneticPr fontId="2" type="noConversion"/>
  </si>
  <si>
    <t>SST</t>
    <phoneticPr fontId="2" type="noConversion"/>
  </si>
  <si>
    <t>14</t>
    <phoneticPr fontId="2" type="noConversion"/>
  </si>
  <si>
    <t>HSA65-M002B1-13A</t>
    <phoneticPr fontId="2" type="noConversion"/>
  </si>
  <si>
    <t xml:space="preserve"> 코아파손</t>
    <phoneticPr fontId="2" type="noConversion"/>
  </si>
  <si>
    <t>13</t>
    <phoneticPr fontId="2" type="noConversion"/>
  </si>
  <si>
    <t>SAM</t>
    <phoneticPr fontId="2" type="noConversion"/>
  </si>
  <si>
    <t>LEAD GUIDE</t>
    <phoneticPr fontId="2" type="noConversion"/>
  </si>
  <si>
    <t>COVER</t>
    <phoneticPr fontId="2" type="noConversion"/>
  </si>
  <si>
    <t>HICON</t>
    <phoneticPr fontId="2" type="noConversion"/>
  </si>
  <si>
    <t>7301</t>
    <phoneticPr fontId="2" type="noConversion"/>
  </si>
  <si>
    <t>SST</t>
    <phoneticPr fontId="2" type="noConversion"/>
  </si>
  <si>
    <t>7</t>
    <phoneticPr fontId="2" type="noConversion"/>
  </si>
  <si>
    <t>KR6197AC841TA</t>
    <phoneticPr fontId="2" type="noConversion"/>
  </si>
  <si>
    <t>AM0610B-J</t>
    <phoneticPr fontId="2" type="noConversion"/>
  </si>
  <si>
    <t>SST</t>
    <phoneticPr fontId="2" type="noConversion"/>
  </si>
  <si>
    <t>KR6197-F841UA</t>
    <phoneticPr fontId="2" type="noConversion"/>
  </si>
  <si>
    <t>AYE</t>
    <phoneticPr fontId="2" type="noConversion"/>
  </si>
  <si>
    <t>KR6197AB841CA</t>
    <phoneticPr fontId="2" type="noConversion"/>
  </si>
  <si>
    <t>SGF2033</t>
    <phoneticPr fontId="2" type="noConversion"/>
  </si>
  <si>
    <t>SST</t>
    <phoneticPr fontId="2" type="noConversion"/>
  </si>
  <si>
    <t>13</t>
    <phoneticPr fontId="2" type="noConversion"/>
  </si>
  <si>
    <t>CASE</t>
    <phoneticPr fontId="2" type="noConversion"/>
  </si>
  <si>
    <t>SST</t>
    <phoneticPr fontId="2" type="noConversion"/>
  </si>
  <si>
    <t>ODT</t>
    <phoneticPr fontId="2" type="noConversion"/>
  </si>
  <si>
    <t>SW-003394</t>
    <phoneticPr fontId="2" type="noConversion"/>
  </si>
  <si>
    <t>PBT</t>
    <phoneticPr fontId="2" type="noConversion"/>
  </si>
  <si>
    <t>KR6197-D841PB</t>
    <phoneticPr fontId="2" type="noConversion"/>
  </si>
  <si>
    <t>BASE</t>
    <phoneticPr fontId="2" type="noConversion"/>
  </si>
  <si>
    <t>255BG-001A1</t>
    <phoneticPr fontId="2" type="noConversion"/>
  </si>
  <si>
    <t>SGF2033</t>
    <phoneticPr fontId="2" type="noConversion"/>
  </si>
  <si>
    <t>수리후양산</t>
    <phoneticPr fontId="2" type="noConversion"/>
  </si>
  <si>
    <t>SLIDER</t>
    <phoneticPr fontId="2" type="noConversion"/>
  </si>
  <si>
    <t>HSA65-M002C1</t>
    <phoneticPr fontId="2" type="noConversion"/>
  </si>
  <si>
    <t>LEAD IN</t>
    <phoneticPr fontId="2" type="noConversion"/>
  </si>
  <si>
    <t>요청</t>
    <phoneticPr fontId="2" type="noConversion"/>
  </si>
  <si>
    <t>SGP2020R B/K</t>
    <phoneticPr fontId="2" type="noConversion"/>
  </si>
  <si>
    <t>K-JR01920-M01ABA</t>
    <phoneticPr fontId="2" type="noConversion"/>
  </si>
  <si>
    <t>SGF2030 N/P</t>
    <phoneticPr fontId="2" type="noConversion"/>
  </si>
  <si>
    <t>26P(4p)</t>
    <phoneticPr fontId="2" type="noConversion"/>
  </si>
  <si>
    <t>K-JR01920-D432AZA</t>
    <phoneticPr fontId="2" type="noConversion"/>
  </si>
  <si>
    <t>LATCH</t>
    <phoneticPr fontId="2" type="noConversion"/>
  </si>
  <si>
    <t>KR6302AE01TA</t>
    <phoneticPr fontId="2" type="noConversion"/>
  </si>
  <si>
    <t>JD4901</t>
    <phoneticPr fontId="2" type="noConversion"/>
  </si>
  <si>
    <t>K-JR01920-D432AZA</t>
    <phoneticPr fontId="2" type="noConversion"/>
  </si>
  <si>
    <t>K-JR01920-F414AWA</t>
    <phoneticPr fontId="2" type="noConversion"/>
  </si>
  <si>
    <t>LEAD GUIDE</t>
    <phoneticPr fontId="2" type="noConversion"/>
  </si>
  <si>
    <t>HOLDER</t>
    <phoneticPr fontId="2" type="noConversion"/>
  </si>
  <si>
    <t>K-JR01920-F414AWA</t>
    <phoneticPr fontId="2" type="noConversion"/>
  </si>
  <si>
    <t>수리후양산</t>
    <phoneticPr fontId="2" type="noConversion"/>
  </si>
  <si>
    <t>BASE</t>
    <phoneticPr fontId="2" type="noConversion"/>
  </si>
  <si>
    <t>K-JR01920-B432AZB</t>
    <phoneticPr fontId="2" type="noConversion"/>
  </si>
  <si>
    <t>요청</t>
    <phoneticPr fontId="2" type="noConversion"/>
  </si>
  <si>
    <t>05월 호기별 가동현황</t>
    <phoneticPr fontId="2" type="noConversion"/>
  </si>
  <si>
    <r>
      <t>2017년 05월 01일 일일생산현황</t>
    </r>
    <r>
      <rPr>
        <b/>
        <sz val="14"/>
        <color indexed="8"/>
        <rFont val="굴림체"/>
        <family val="3"/>
        <charset val="129"/>
      </rPr>
      <t>(02일(화) 09시 현재)</t>
    </r>
    <phoneticPr fontId="2" type="noConversion"/>
  </si>
  <si>
    <t>K-JR01920-B414AZB</t>
    <phoneticPr fontId="2" type="noConversion"/>
  </si>
  <si>
    <t>SGP2020R B/K</t>
    <phoneticPr fontId="2" type="noConversion"/>
  </si>
  <si>
    <t>전일 ISSUE 사항(01일)</t>
    <phoneticPr fontId="2" type="noConversion"/>
  </si>
  <si>
    <t>미성형정지</t>
    <phoneticPr fontId="2" type="noConversion"/>
  </si>
  <si>
    <t>수리후양산</t>
    <phoneticPr fontId="2" type="noConversion"/>
  </si>
  <si>
    <t>코아파손정지</t>
    <phoneticPr fontId="2" type="noConversion"/>
  </si>
  <si>
    <t>BASE</t>
    <phoneticPr fontId="2" type="noConversion"/>
  </si>
  <si>
    <t>K-JR01920-B414AZB</t>
    <phoneticPr fontId="2" type="noConversion"/>
  </si>
  <si>
    <t>발주분양산-&gt;코아파손정지</t>
    <phoneticPr fontId="2" type="noConversion"/>
  </si>
  <si>
    <t>MCS</t>
    <phoneticPr fontId="2" type="noConversion"/>
  </si>
  <si>
    <t>4</t>
    <phoneticPr fontId="2" type="noConversion"/>
  </si>
  <si>
    <t>AMB0152A-KAA-R1</t>
    <phoneticPr fontId="2" type="noConversion"/>
  </si>
  <si>
    <t>BURR정지</t>
    <phoneticPr fontId="2" type="noConversion"/>
  </si>
  <si>
    <t>당일 진행 사항(02일)</t>
    <phoneticPr fontId="2" type="noConversion"/>
  </si>
  <si>
    <t>HICON</t>
    <phoneticPr fontId="2" type="noConversion"/>
  </si>
  <si>
    <t>6</t>
    <phoneticPr fontId="2" type="noConversion"/>
  </si>
  <si>
    <t>SLIDER</t>
    <phoneticPr fontId="2" type="noConversion"/>
  </si>
  <si>
    <t>HSA65-M002C1</t>
    <phoneticPr fontId="2" type="noConversion"/>
  </si>
  <si>
    <t>MCS</t>
    <phoneticPr fontId="2" type="noConversion"/>
  </si>
  <si>
    <t>AMB0152A-KAA-R1</t>
    <phoneticPr fontId="2" type="noConversion"/>
  </si>
  <si>
    <t>KR6197AB841CA</t>
    <phoneticPr fontId="2" type="noConversion"/>
  </si>
  <si>
    <t>세척후양산</t>
    <phoneticPr fontId="2" type="noConversion"/>
  </si>
  <si>
    <t>14</t>
    <phoneticPr fontId="2" type="noConversion"/>
  </si>
  <si>
    <t>LEAD GUIDE</t>
    <phoneticPr fontId="2" type="noConversion"/>
  </si>
  <si>
    <t>K-JR01920-F414AWA</t>
    <phoneticPr fontId="2" type="noConversion"/>
  </si>
  <si>
    <t>3</t>
    <phoneticPr fontId="2" type="noConversion"/>
  </si>
  <si>
    <t>STOPPER</t>
    <phoneticPr fontId="2" type="noConversion"/>
  </si>
  <si>
    <t>KR6197-D841PB</t>
    <phoneticPr fontId="2" type="noConversion"/>
  </si>
  <si>
    <t>SAMPLE 진행 사항(01일)</t>
    <phoneticPr fontId="2" type="noConversion"/>
  </si>
  <si>
    <t>AYE</t>
    <phoneticPr fontId="2" type="noConversion"/>
  </si>
  <si>
    <t>NP614-110-001#LO</t>
    <phoneticPr fontId="2" type="noConversion"/>
  </si>
  <si>
    <t>LEAD GUIDE</t>
    <phoneticPr fontId="2" type="noConversion"/>
  </si>
  <si>
    <t>SGP2030R</t>
    <phoneticPr fontId="2" type="noConversion"/>
  </si>
  <si>
    <t>NP614-110-001#IN-B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</si>
  <si>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</si>
  <si>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</si>
  <si>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2017년 05월 02일 일일생산현황</t>
    </r>
    <r>
      <rPr>
        <b/>
        <sz val="14"/>
        <color indexed="8"/>
        <rFont val="굴림체"/>
        <family val="3"/>
        <charset val="129"/>
      </rPr>
      <t>(03일(수) 09시 현재)</t>
    </r>
    <phoneticPr fontId="2" type="noConversion"/>
  </si>
  <si>
    <t>AMB0157A-KAA-R1</t>
    <phoneticPr fontId="2" type="noConversion"/>
  </si>
  <si>
    <t>SF2255</t>
    <phoneticPr fontId="2" type="noConversion"/>
  </si>
  <si>
    <t>ACTUATOR</t>
    <phoneticPr fontId="2" type="noConversion"/>
  </si>
  <si>
    <t>AMB1918A-KAA-R1</t>
    <phoneticPr fontId="2" type="noConversion"/>
  </si>
  <si>
    <t>STOPPER</t>
    <phoneticPr fontId="2" type="noConversion"/>
  </si>
  <si>
    <t>AMB0228A-KAA-R1</t>
    <phoneticPr fontId="2" type="noConversion"/>
  </si>
  <si>
    <t>전일 ISSUE 사항(02일)</t>
    <phoneticPr fontId="2" type="noConversion"/>
  </si>
  <si>
    <t>세척후양산</t>
    <phoneticPr fontId="2" type="noConversion"/>
  </si>
  <si>
    <t>수리후양산</t>
    <phoneticPr fontId="2" type="noConversion"/>
  </si>
  <si>
    <t>7</t>
    <phoneticPr fontId="2" type="noConversion"/>
  </si>
  <si>
    <t>3</t>
    <phoneticPr fontId="2" type="noConversion"/>
  </si>
  <si>
    <t>STOPPER</t>
    <phoneticPr fontId="2" type="noConversion"/>
  </si>
  <si>
    <t>KR6197-D841PB</t>
    <phoneticPr fontId="2" type="noConversion"/>
  </si>
  <si>
    <t>8</t>
    <phoneticPr fontId="2" type="noConversion"/>
  </si>
  <si>
    <t>발주분양산</t>
    <phoneticPr fontId="2" type="noConversion"/>
  </si>
  <si>
    <t>14</t>
    <phoneticPr fontId="2" type="noConversion"/>
  </si>
  <si>
    <t>14</t>
    <phoneticPr fontId="2" type="noConversion"/>
  </si>
  <si>
    <t>STOPPER</t>
    <phoneticPr fontId="2" type="noConversion"/>
  </si>
  <si>
    <t>당일 진행 사항(03일)</t>
    <phoneticPr fontId="2" type="noConversion"/>
  </si>
  <si>
    <t>MCS</t>
    <phoneticPr fontId="2" type="noConversion"/>
  </si>
  <si>
    <t>AMB0226A-KAA-R1</t>
    <phoneticPr fontId="2" type="noConversion"/>
  </si>
  <si>
    <t>BASE</t>
    <phoneticPr fontId="2" type="noConversion"/>
  </si>
  <si>
    <t>발주분양산</t>
    <phoneticPr fontId="2" type="noConversion"/>
  </si>
  <si>
    <t>AMB0154A-KAA-R1</t>
    <phoneticPr fontId="2" type="noConversion"/>
  </si>
  <si>
    <t>HSB75-M01A1</t>
    <phoneticPr fontId="2" type="noConversion"/>
  </si>
  <si>
    <t>HICON</t>
    <phoneticPr fontId="2" type="noConversion"/>
  </si>
  <si>
    <t>SAMPLE 진행 사항(02일)</t>
    <phoneticPr fontId="2" type="noConversion"/>
  </si>
  <si>
    <t>SLIDER</t>
    <phoneticPr fontId="2" type="noConversion"/>
  </si>
  <si>
    <t>NP614-110-001#IN-A</t>
    <phoneticPr fontId="2" type="noConversion"/>
  </si>
  <si>
    <t>SGF2030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</si>
  <si>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</si>
  <si>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</si>
  <si>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2017년 05월 03일 일일생산현황</t>
    </r>
    <r>
      <rPr>
        <b/>
        <sz val="14"/>
        <color indexed="8"/>
        <rFont val="굴림체"/>
        <family val="3"/>
        <charset val="129"/>
      </rPr>
      <t>(04일(목) 09시 현재)</t>
    </r>
    <phoneticPr fontId="2" type="noConversion"/>
  </si>
  <si>
    <t>STOPPER</t>
    <phoneticPr fontId="2" type="noConversion"/>
  </si>
  <si>
    <t>AMB0226A-KAA-R1</t>
    <phoneticPr fontId="2" type="noConversion"/>
  </si>
  <si>
    <t>AMB0154A-KAA-R1</t>
    <phoneticPr fontId="2" type="noConversion"/>
  </si>
  <si>
    <t>SF2255</t>
    <phoneticPr fontId="2" type="noConversion"/>
  </si>
  <si>
    <t>HSB75-M01A1</t>
    <phoneticPr fontId="2" type="noConversion"/>
  </si>
  <si>
    <t>SGF2041</t>
    <phoneticPr fontId="2" type="noConversion"/>
  </si>
  <si>
    <t>28P(4p)</t>
    <phoneticPr fontId="2" type="noConversion"/>
  </si>
  <si>
    <t>전일 ISSUE 사항(03일)</t>
    <phoneticPr fontId="2" type="noConversion"/>
  </si>
  <si>
    <t>이물제거후양산</t>
    <phoneticPr fontId="2" type="noConversion"/>
  </si>
  <si>
    <t>수리후양산-&gt;박힘정지</t>
    <phoneticPr fontId="2" type="noConversion"/>
  </si>
  <si>
    <t>BASE</t>
    <phoneticPr fontId="2" type="noConversion"/>
  </si>
  <si>
    <t>AMB0152A-KAA-R1</t>
    <phoneticPr fontId="2" type="noConversion"/>
  </si>
  <si>
    <t>수리후양산</t>
    <phoneticPr fontId="2" type="noConversion"/>
  </si>
  <si>
    <t>6</t>
    <phoneticPr fontId="2" type="noConversion"/>
  </si>
  <si>
    <t>SLIDER</t>
    <phoneticPr fontId="2" type="noConversion"/>
  </si>
  <si>
    <t>HSB75-M01A2</t>
    <phoneticPr fontId="2" type="noConversion"/>
  </si>
  <si>
    <t>HICON</t>
    <phoneticPr fontId="2" type="noConversion"/>
  </si>
  <si>
    <t>14</t>
    <phoneticPr fontId="2" type="noConversion"/>
  </si>
  <si>
    <t>8</t>
    <phoneticPr fontId="2" type="noConversion"/>
  </si>
  <si>
    <t>당일 진행 사항(04일)</t>
    <phoneticPr fontId="2" type="noConversion"/>
  </si>
  <si>
    <t>SAMPLE 진행 사항(03일)</t>
    <phoneticPr fontId="2" type="noConversion"/>
  </si>
  <si>
    <t>AYE</t>
    <phoneticPr fontId="2" type="noConversion"/>
  </si>
  <si>
    <t>ADAPTER</t>
    <phoneticPr fontId="2" type="noConversion"/>
  </si>
  <si>
    <t>ADAPTER</t>
    <phoneticPr fontId="2" type="noConversion"/>
  </si>
  <si>
    <t>NP595-350-008#LB</t>
    <phoneticPr fontId="2" type="noConversion"/>
  </si>
  <si>
    <t>SGP2030R N/P</t>
    <phoneticPr fontId="2" type="noConversion"/>
  </si>
  <si>
    <t>신작</t>
    <phoneticPr fontId="2" type="noConversion"/>
  </si>
  <si>
    <t>NP571-178-025#LB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</si>
  <si>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</si>
  <si>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</si>
  <si>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2017년 05월 04일 일일생산현황</t>
    </r>
    <r>
      <rPr>
        <b/>
        <sz val="14"/>
        <color indexed="8"/>
        <rFont val="굴림체"/>
        <family val="3"/>
        <charset val="129"/>
      </rPr>
      <t>(05일(금) 09시 현재)</t>
    </r>
    <phoneticPr fontId="2" type="noConversion"/>
  </si>
  <si>
    <t>재고</t>
    <phoneticPr fontId="2" type="noConversion"/>
  </si>
  <si>
    <t>HSB75-M01A2</t>
    <phoneticPr fontId="2" type="noConversion"/>
  </si>
  <si>
    <t>전일 ISSUE 사항(04일)</t>
    <phoneticPr fontId="2" type="noConversion"/>
  </si>
  <si>
    <t>수리후양산</t>
    <phoneticPr fontId="2" type="noConversion"/>
  </si>
  <si>
    <t>6</t>
    <phoneticPr fontId="2" type="noConversion"/>
  </si>
  <si>
    <t>SLIDER</t>
    <phoneticPr fontId="2" type="noConversion"/>
  </si>
  <si>
    <t>당일 진행 사항(05일)</t>
    <phoneticPr fontId="2" type="noConversion"/>
  </si>
  <si>
    <t>STOPPER</t>
    <phoneticPr fontId="2" type="noConversion"/>
  </si>
  <si>
    <t>HSB75-M01A4</t>
    <phoneticPr fontId="2" type="noConversion"/>
  </si>
  <si>
    <t>SAMPLE 진행 사항(04일)</t>
    <phoneticPr fontId="2" type="noConversion"/>
  </si>
  <si>
    <t>BASE</t>
    <phoneticPr fontId="2" type="noConversion"/>
  </si>
  <si>
    <t>LID</t>
    <phoneticPr fontId="2" type="noConversion"/>
  </si>
  <si>
    <t>SGF2050</t>
    <phoneticPr fontId="2" type="noConversion"/>
  </si>
  <si>
    <t>수정</t>
    <phoneticPr fontId="2" type="noConversion"/>
  </si>
  <si>
    <t>NHS-152T11</t>
    <phoneticPr fontId="2" type="noConversion"/>
  </si>
  <si>
    <t>NHS-152T12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</si>
  <si>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</si>
  <si>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</si>
  <si>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2017년 05월 05일 일일생산현황</t>
    </r>
    <r>
      <rPr>
        <b/>
        <sz val="14"/>
        <color indexed="8"/>
        <rFont val="굴림체"/>
        <family val="3"/>
        <charset val="129"/>
      </rPr>
      <t>(06일(토) 09시 현재)</t>
    </r>
    <phoneticPr fontId="2" type="noConversion"/>
  </si>
  <si>
    <t>HSB75-M01A4</t>
    <phoneticPr fontId="2" type="noConversion"/>
  </si>
  <si>
    <t>SGF2030</t>
    <phoneticPr fontId="2" type="noConversion"/>
  </si>
  <si>
    <t>전일 ISSUE 사항(05일)</t>
    <phoneticPr fontId="2" type="noConversion"/>
  </si>
  <si>
    <t>STOPPER</t>
    <phoneticPr fontId="2" type="noConversion"/>
  </si>
  <si>
    <t>발주분양산-&gt;코아파손수리</t>
    <phoneticPr fontId="2" type="noConversion"/>
  </si>
  <si>
    <t>세척후양산-&gt;코아파손수리</t>
    <phoneticPr fontId="2" type="noConversion"/>
  </si>
  <si>
    <t>당일 진행 사항(06일)</t>
    <phoneticPr fontId="2" type="noConversion"/>
  </si>
  <si>
    <t>SAMPLE 진행 사항(05일)</t>
    <phoneticPr fontId="2" type="noConversion"/>
  </si>
  <si>
    <t>SST</t>
    <phoneticPr fontId="2" type="noConversion"/>
  </si>
  <si>
    <t>BASE</t>
    <phoneticPr fontId="2" type="noConversion"/>
  </si>
  <si>
    <t>KR6710-B016XX</t>
    <phoneticPr fontId="2" type="noConversion"/>
  </si>
  <si>
    <t>E488i</t>
    <phoneticPr fontId="2" type="noConversion"/>
  </si>
  <si>
    <t>신작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</si>
  <si>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</si>
  <si>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</si>
  <si>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2017년 05월 06일 일일생산현황</t>
    </r>
    <r>
      <rPr>
        <b/>
        <sz val="14"/>
        <color indexed="8"/>
        <rFont val="굴림체"/>
        <family val="3"/>
        <charset val="129"/>
      </rPr>
      <t>(07일(일) 09시 현재)</t>
    </r>
    <phoneticPr fontId="2" type="noConversion"/>
  </si>
  <si>
    <t>전일 ISSUE 사항(06일)</t>
    <phoneticPr fontId="2" type="noConversion"/>
  </si>
  <si>
    <t>당일 진행 사항(07일)</t>
    <phoneticPr fontId="2" type="noConversion"/>
  </si>
  <si>
    <t>SAMPLE 진행 사항(06일)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</si>
  <si>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</si>
  <si>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</si>
  <si>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2017년 05월 07일 일일생산현황</t>
    </r>
    <r>
      <rPr>
        <b/>
        <sz val="14"/>
        <color indexed="8"/>
        <rFont val="굴림체"/>
        <family val="3"/>
        <charset val="129"/>
      </rPr>
      <t>(08일(월) 09시 현재)</t>
    </r>
    <phoneticPr fontId="2" type="noConversion"/>
  </si>
  <si>
    <t>전일 ISSUE 사항(07일)</t>
    <phoneticPr fontId="2" type="noConversion"/>
  </si>
  <si>
    <t>당일 진행 사항(08일)</t>
    <phoneticPr fontId="2" type="noConversion"/>
  </si>
  <si>
    <t>SST</t>
    <phoneticPr fontId="2" type="noConversion"/>
  </si>
  <si>
    <t>3</t>
    <phoneticPr fontId="2" type="noConversion"/>
  </si>
  <si>
    <t>STOPPER</t>
    <phoneticPr fontId="2" type="noConversion"/>
  </si>
  <si>
    <t>KR6197-D841PB</t>
    <phoneticPr fontId="2" type="noConversion"/>
  </si>
  <si>
    <t>재고분양산</t>
    <phoneticPr fontId="2" type="noConversion"/>
  </si>
  <si>
    <t>MCS</t>
    <phoneticPr fontId="2" type="noConversion"/>
  </si>
  <si>
    <t>4</t>
    <phoneticPr fontId="2" type="noConversion"/>
  </si>
  <si>
    <t>ACTUATOR</t>
    <phoneticPr fontId="2" type="noConversion"/>
  </si>
  <si>
    <t>AMB1920A-KAA-R1</t>
    <phoneticPr fontId="2" type="noConversion"/>
  </si>
  <si>
    <t>승인후양산</t>
    <phoneticPr fontId="2" type="noConversion"/>
  </si>
  <si>
    <t>13</t>
    <phoneticPr fontId="2" type="noConversion"/>
  </si>
  <si>
    <t>BASE</t>
    <phoneticPr fontId="2" type="noConversion"/>
  </si>
  <si>
    <t>KR6197AB841CA</t>
    <phoneticPr fontId="2" type="noConversion"/>
  </si>
  <si>
    <t>재고분양산</t>
    <phoneticPr fontId="2" type="noConversion"/>
  </si>
  <si>
    <t>SAMPLE 진행 사항(07일)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</si>
  <si>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</si>
  <si>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</si>
  <si>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2017년 05월 08일 일일생산현황</t>
    </r>
    <r>
      <rPr>
        <b/>
        <sz val="14"/>
        <color indexed="8"/>
        <rFont val="굴림체"/>
        <family val="3"/>
        <charset val="129"/>
      </rPr>
      <t>(09일(화) 09시 현재)</t>
    </r>
    <phoneticPr fontId="2" type="noConversion"/>
  </si>
  <si>
    <t>ACTUATOR</t>
    <phoneticPr fontId="2" type="noConversion"/>
  </si>
  <si>
    <t>AMB1920A-KAA-R1</t>
    <phoneticPr fontId="2" type="noConversion"/>
  </si>
  <si>
    <t>JD4901</t>
    <phoneticPr fontId="2" type="noConversion"/>
  </si>
  <si>
    <t>HSB05-M002B1-15BI</t>
    <phoneticPr fontId="2" type="noConversion"/>
  </si>
  <si>
    <t>SGF2041 N/P</t>
    <phoneticPr fontId="2" type="noConversion"/>
  </si>
  <si>
    <t>GUIDE</t>
    <phoneticPr fontId="2" type="noConversion"/>
  </si>
  <si>
    <t>HB1208-10M16</t>
    <phoneticPr fontId="2" type="noConversion"/>
  </si>
  <si>
    <t>SGF2030</t>
    <phoneticPr fontId="2" type="noConversion"/>
  </si>
  <si>
    <t>전일 ISSUE 사항(08일)</t>
    <phoneticPr fontId="2" type="noConversion"/>
  </si>
  <si>
    <t>SST</t>
    <phoneticPr fontId="2" type="noConversion"/>
  </si>
  <si>
    <t>STOPPER</t>
    <phoneticPr fontId="2" type="noConversion"/>
  </si>
  <si>
    <t>KR6197-D841PB</t>
    <phoneticPr fontId="2" type="noConversion"/>
  </si>
  <si>
    <t>재고분양산</t>
    <phoneticPr fontId="2" type="noConversion"/>
  </si>
  <si>
    <t>MCS</t>
    <phoneticPr fontId="2" type="noConversion"/>
  </si>
  <si>
    <t>4</t>
    <phoneticPr fontId="2" type="noConversion"/>
  </si>
  <si>
    <t>ACTUATOR</t>
    <phoneticPr fontId="2" type="noConversion"/>
  </si>
  <si>
    <t>발주분양산</t>
    <phoneticPr fontId="2" type="noConversion"/>
  </si>
  <si>
    <t>SST</t>
    <phoneticPr fontId="2" type="noConversion"/>
  </si>
  <si>
    <t>13</t>
    <phoneticPr fontId="2" type="noConversion"/>
  </si>
  <si>
    <t>BASE</t>
    <phoneticPr fontId="2" type="noConversion"/>
  </si>
  <si>
    <t>KR6197AB841CA</t>
    <phoneticPr fontId="2" type="noConversion"/>
  </si>
  <si>
    <t>HICON</t>
    <phoneticPr fontId="2" type="noConversion"/>
  </si>
  <si>
    <t>6</t>
    <phoneticPr fontId="2" type="noConversion"/>
  </si>
  <si>
    <t>SLIDER</t>
    <phoneticPr fontId="2" type="noConversion"/>
  </si>
  <si>
    <t>HSB05-M002B1-15BI</t>
    <phoneticPr fontId="2" type="noConversion"/>
  </si>
  <si>
    <t>불량대치분 양산</t>
    <phoneticPr fontId="2" type="noConversion"/>
  </si>
  <si>
    <t>당일 진행 사항(09일)</t>
    <phoneticPr fontId="2" type="noConversion"/>
  </si>
  <si>
    <t>BODY</t>
    <phoneticPr fontId="2" type="noConversion"/>
  </si>
  <si>
    <t>AMB0114B-JAA-R5</t>
    <phoneticPr fontId="2" type="noConversion"/>
  </si>
  <si>
    <t>발주분양산</t>
    <phoneticPr fontId="2" type="noConversion"/>
  </si>
  <si>
    <t>11</t>
    <phoneticPr fontId="2" type="noConversion"/>
  </si>
  <si>
    <t>LEAD GUIDE</t>
    <phoneticPr fontId="2" type="noConversion"/>
  </si>
  <si>
    <t>KR6197-F841UA</t>
    <phoneticPr fontId="2" type="noConversion"/>
  </si>
  <si>
    <t>12</t>
    <phoneticPr fontId="2" type="noConversion"/>
  </si>
  <si>
    <t>IC GUIDE</t>
    <phoneticPr fontId="2" type="noConversion"/>
  </si>
  <si>
    <t>AMB07H9A-KAA-R1</t>
    <phoneticPr fontId="2" type="noConversion"/>
  </si>
  <si>
    <t>승인후양산</t>
    <phoneticPr fontId="2" type="noConversion"/>
  </si>
  <si>
    <t>SAMPLE 진행 사항(08일)</t>
    <phoneticPr fontId="2" type="noConversion"/>
  </si>
  <si>
    <t>NHS-152T11/NHS-152T12</t>
    <phoneticPr fontId="2" type="noConversion"/>
  </si>
  <si>
    <t>009-152-001</t>
    <phoneticPr fontId="2" type="noConversion"/>
  </si>
  <si>
    <t>AMB07H9A-KAA-R1</t>
    <phoneticPr fontId="2" type="noConversion"/>
  </si>
  <si>
    <t>BASE</t>
    <phoneticPr fontId="2" type="noConversion"/>
  </si>
  <si>
    <t>TOP/BOTTOM</t>
    <phoneticPr fontId="2" type="noConversion"/>
  </si>
  <si>
    <t>5LEAD</t>
    <phoneticPr fontId="2" type="noConversion"/>
  </si>
  <si>
    <t>IC GUIDE</t>
    <phoneticPr fontId="2" type="noConversion"/>
  </si>
  <si>
    <t>E488i</t>
    <phoneticPr fontId="2" type="noConversion"/>
  </si>
  <si>
    <t>SGF2050</t>
    <phoneticPr fontId="2" type="noConversion"/>
  </si>
  <si>
    <t>ESD1010</t>
    <phoneticPr fontId="2" type="noConversion"/>
  </si>
  <si>
    <t>수정</t>
    <phoneticPr fontId="2" type="noConversion"/>
  </si>
  <si>
    <t>원재료</t>
    <phoneticPr fontId="2" type="noConversion"/>
  </si>
  <si>
    <t>치수NG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</si>
  <si>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</si>
  <si>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</si>
  <si>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t>BODY</t>
    <phoneticPr fontId="2" type="noConversion"/>
  </si>
  <si>
    <t>AMB0114B-JAA-R5</t>
    <phoneticPr fontId="2" type="noConversion"/>
  </si>
  <si>
    <t xml:space="preserve"> 세척,런너 수리</t>
    <phoneticPr fontId="2" type="noConversion"/>
  </si>
  <si>
    <r>
      <t>2017년 05월 09일 일일생산현황</t>
    </r>
    <r>
      <rPr>
        <b/>
        <sz val="14"/>
        <color indexed="8"/>
        <rFont val="굴림체"/>
        <family val="3"/>
        <charset val="129"/>
      </rPr>
      <t>(10일(수) 09시 현재)</t>
    </r>
    <phoneticPr fontId="2" type="noConversion"/>
  </si>
  <si>
    <t>MCS</t>
    <phoneticPr fontId="2" type="noConversion"/>
  </si>
  <si>
    <t>BODY</t>
    <phoneticPr fontId="2" type="noConversion"/>
  </si>
  <si>
    <t>AMB0114B-JAA-R5</t>
    <phoneticPr fontId="2" type="noConversion"/>
  </si>
  <si>
    <t>SF2255</t>
    <phoneticPr fontId="2" type="noConversion"/>
  </si>
  <si>
    <t>SST</t>
    <phoneticPr fontId="2" type="noConversion"/>
  </si>
  <si>
    <t>LEAD GUIDE</t>
    <phoneticPr fontId="2" type="noConversion"/>
  </si>
  <si>
    <t>KR6197-F841UA</t>
    <phoneticPr fontId="2" type="noConversion"/>
  </si>
  <si>
    <t>재고</t>
    <phoneticPr fontId="2" type="noConversion"/>
  </si>
  <si>
    <t>IC GUIDE</t>
    <phoneticPr fontId="2" type="noConversion"/>
  </si>
  <si>
    <t>AMB07H9A-KAA-R1</t>
    <phoneticPr fontId="2" type="noConversion"/>
  </si>
  <si>
    <t>72P</t>
    <phoneticPr fontId="2" type="noConversion"/>
  </si>
  <si>
    <t>AYE</t>
    <phoneticPr fontId="2" type="noConversion"/>
  </si>
  <si>
    <t>ADAPTER</t>
    <phoneticPr fontId="2" type="noConversion"/>
  </si>
  <si>
    <t>SGP2030 N/P</t>
    <phoneticPr fontId="2" type="noConversion"/>
  </si>
  <si>
    <t>NP571-178-025#LB</t>
    <phoneticPr fontId="2" type="noConversion"/>
  </si>
  <si>
    <t>전일 ISSUE 사항(09일)</t>
    <phoneticPr fontId="2" type="noConversion"/>
  </si>
  <si>
    <t>이물제거후양산-&gt;코아파손2회정지</t>
    <phoneticPr fontId="2" type="noConversion"/>
  </si>
  <si>
    <t>10</t>
    <phoneticPr fontId="2" type="noConversion"/>
  </si>
  <si>
    <t>ADAPTER</t>
    <phoneticPr fontId="2" type="noConversion"/>
  </si>
  <si>
    <t>NP595-350-008#LB</t>
    <phoneticPr fontId="2" type="noConversion"/>
  </si>
  <si>
    <t>NP571-178-025#LB</t>
    <phoneticPr fontId="2" type="noConversion"/>
  </si>
  <si>
    <t>발주분양산</t>
    <phoneticPr fontId="2" type="noConversion"/>
  </si>
  <si>
    <t>발주분양산</t>
    <phoneticPr fontId="2" type="noConversion"/>
  </si>
  <si>
    <t>SST</t>
    <phoneticPr fontId="2" type="noConversion"/>
  </si>
  <si>
    <t>11</t>
    <phoneticPr fontId="2" type="noConversion"/>
  </si>
  <si>
    <t>LEAD GUIDE</t>
    <phoneticPr fontId="2" type="noConversion"/>
  </si>
  <si>
    <t>재고분양산-&gt;런너박힘정지</t>
    <phoneticPr fontId="2" type="noConversion"/>
  </si>
  <si>
    <t>MCS</t>
    <phoneticPr fontId="2" type="noConversion"/>
  </si>
  <si>
    <t>7</t>
    <phoneticPr fontId="2" type="noConversion"/>
  </si>
  <si>
    <t>AMB0114B-JAA-R5</t>
    <phoneticPr fontId="2" type="noConversion"/>
  </si>
  <si>
    <t>발주분양산-&gt;BURR정지</t>
    <phoneticPr fontId="2" type="noConversion"/>
  </si>
  <si>
    <t>DI</t>
    <phoneticPr fontId="2" type="noConversion"/>
  </si>
  <si>
    <t>15</t>
    <phoneticPr fontId="2" type="noConversion"/>
  </si>
  <si>
    <t>72P</t>
    <phoneticPr fontId="2" type="noConversion"/>
  </si>
  <si>
    <t>당일 진행 사항(10일)</t>
    <phoneticPr fontId="2" type="noConversion"/>
  </si>
  <si>
    <t>수리후양산</t>
    <phoneticPr fontId="2" type="noConversion"/>
  </si>
  <si>
    <t>12</t>
    <phoneticPr fontId="2" type="noConversion"/>
  </si>
  <si>
    <t>IC GUIDE</t>
    <phoneticPr fontId="2" type="noConversion"/>
  </si>
  <si>
    <t>AMB07H9A-KAA-R1</t>
    <phoneticPr fontId="2" type="noConversion"/>
  </si>
  <si>
    <t>승인후양산</t>
    <phoneticPr fontId="2" type="noConversion"/>
  </si>
  <si>
    <t>미성형수리후양산</t>
    <phoneticPr fontId="2" type="noConversion"/>
  </si>
  <si>
    <t>13</t>
    <phoneticPr fontId="2" type="noConversion"/>
  </si>
  <si>
    <t>BASE</t>
    <phoneticPr fontId="2" type="noConversion"/>
  </si>
  <si>
    <t>KR6197AB841CA</t>
    <phoneticPr fontId="2" type="noConversion"/>
  </si>
  <si>
    <t>수리후양산</t>
    <phoneticPr fontId="2" type="noConversion"/>
  </si>
  <si>
    <t>HICON</t>
    <phoneticPr fontId="2" type="noConversion"/>
  </si>
  <si>
    <t>6</t>
    <phoneticPr fontId="2" type="noConversion"/>
  </si>
  <si>
    <t>SLIDER</t>
    <phoneticPr fontId="2" type="noConversion"/>
  </si>
  <si>
    <t>HSB05-M002B1-15BI</t>
    <phoneticPr fontId="2" type="noConversion"/>
  </si>
  <si>
    <t>세척후양산</t>
    <phoneticPr fontId="2" type="noConversion"/>
  </si>
  <si>
    <t>SAMPLE 진행 사항(09일)</t>
    <phoneticPr fontId="2" type="noConversion"/>
  </si>
  <si>
    <t>IC GUIDE</t>
    <phoneticPr fontId="2" type="noConversion"/>
  </si>
  <si>
    <t>수정</t>
    <phoneticPr fontId="2" type="noConversion"/>
  </si>
  <si>
    <t>금형 수리 내역(09일)</t>
    <phoneticPr fontId="2" type="noConversion"/>
  </si>
  <si>
    <t xml:space="preserve"> BURR</t>
    <phoneticPr fontId="2" type="noConversion"/>
  </si>
  <si>
    <t xml:space="preserve"> 코아파손</t>
    <phoneticPr fontId="2" type="noConversion"/>
  </si>
  <si>
    <t xml:space="preserve"> 미성형</t>
    <phoneticPr fontId="2" type="noConversion"/>
  </si>
  <si>
    <t xml:space="preserve"> 런너박힘</t>
    <phoneticPr fontId="2" type="noConversion"/>
  </si>
  <si>
    <t xml:space="preserve"> 세척</t>
    <phoneticPr fontId="2" type="noConversion"/>
  </si>
  <si>
    <t>설비 점검 내역(09일)</t>
    <phoneticPr fontId="2" type="noConversion"/>
  </si>
  <si>
    <r>
      <t>2017년 05월 10일 일일생산현황</t>
    </r>
    <r>
      <rPr>
        <b/>
        <sz val="14"/>
        <color indexed="8"/>
        <rFont val="굴림체"/>
        <family val="3"/>
        <charset val="129"/>
      </rPr>
      <t>(11일(목) 09시 현재)</t>
    </r>
    <phoneticPr fontId="2" type="noConversion"/>
  </si>
  <si>
    <t>발주</t>
    <phoneticPr fontId="2" type="noConversion"/>
  </si>
  <si>
    <t>MCS</t>
    <phoneticPr fontId="2" type="noConversion"/>
  </si>
  <si>
    <t>SPACER 1,2</t>
    <phoneticPr fontId="2" type="noConversion"/>
  </si>
  <si>
    <t>AMB3911/3912A-KAA-R1</t>
    <phoneticPr fontId="2" type="noConversion"/>
  </si>
  <si>
    <t>2*1</t>
    <phoneticPr fontId="2" type="noConversion"/>
  </si>
  <si>
    <t>COVER</t>
    <phoneticPr fontId="2" type="noConversion"/>
  </si>
  <si>
    <t>HSB75-M01A4</t>
    <phoneticPr fontId="2" type="noConversion"/>
  </si>
  <si>
    <t>RTP</t>
    <phoneticPr fontId="2" type="noConversion"/>
  </si>
  <si>
    <t>BODY</t>
    <phoneticPr fontId="2" type="noConversion"/>
  </si>
  <si>
    <t>AMB0104J-KAA-R2</t>
    <phoneticPr fontId="2" type="noConversion"/>
  </si>
  <si>
    <t>전일 ISSUE 사항(10일)</t>
    <phoneticPr fontId="2" type="noConversion"/>
  </si>
  <si>
    <t>이물제거후양산</t>
    <phoneticPr fontId="2" type="noConversion"/>
  </si>
  <si>
    <t>수리후양산</t>
    <phoneticPr fontId="2" type="noConversion"/>
  </si>
  <si>
    <t>SPACER1,2</t>
    <phoneticPr fontId="2" type="noConversion"/>
  </si>
  <si>
    <t>AMB3911/3912A</t>
    <phoneticPr fontId="2" type="noConversion"/>
  </si>
  <si>
    <t>발주분양산</t>
    <phoneticPr fontId="2" type="noConversion"/>
  </si>
  <si>
    <t>MCS</t>
    <phoneticPr fontId="2" type="noConversion"/>
  </si>
  <si>
    <t>BODY</t>
    <phoneticPr fontId="2" type="noConversion"/>
  </si>
  <si>
    <t>발주분양산</t>
    <phoneticPr fontId="2" type="noConversion"/>
  </si>
  <si>
    <t>세척후양산</t>
    <phoneticPr fontId="2" type="noConversion"/>
  </si>
  <si>
    <t>당일 진행 사항(11일)</t>
    <phoneticPr fontId="2" type="noConversion"/>
  </si>
  <si>
    <t>DI</t>
    <phoneticPr fontId="2" type="noConversion"/>
  </si>
  <si>
    <t>15</t>
    <phoneticPr fontId="2" type="noConversion"/>
  </si>
  <si>
    <t>72P</t>
    <phoneticPr fontId="2" type="noConversion"/>
  </si>
  <si>
    <t>세척후양산</t>
    <phoneticPr fontId="2" type="noConversion"/>
  </si>
  <si>
    <t>SST</t>
    <phoneticPr fontId="2" type="noConversion"/>
  </si>
  <si>
    <t>13</t>
    <phoneticPr fontId="2" type="noConversion"/>
  </si>
  <si>
    <t>BASE</t>
    <phoneticPr fontId="2" type="noConversion"/>
  </si>
  <si>
    <t>KR6197AB841CA</t>
    <phoneticPr fontId="2" type="noConversion"/>
  </si>
  <si>
    <t>이물제거후양산</t>
    <phoneticPr fontId="2" type="noConversion"/>
  </si>
  <si>
    <t>SAMPLE 진행 사항(10일)</t>
    <phoneticPr fontId="2" type="noConversion"/>
  </si>
  <si>
    <t>스테츠</t>
    <phoneticPr fontId="2" type="noConversion"/>
  </si>
  <si>
    <t>DI</t>
    <phoneticPr fontId="2" type="noConversion"/>
  </si>
  <si>
    <t>72P</t>
    <phoneticPr fontId="2" type="noConversion"/>
  </si>
  <si>
    <t xml:space="preserve"> 세척</t>
    <phoneticPr fontId="2" type="noConversion"/>
  </si>
  <si>
    <t>LID-0084</t>
    <phoneticPr fontId="2" type="noConversion"/>
  </si>
  <si>
    <t>S475 N/P</t>
    <phoneticPr fontId="2" type="noConversion"/>
  </si>
  <si>
    <t>수정</t>
    <phoneticPr fontId="2" type="noConversion"/>
  </si>
  <si>
    <t>설비 점검 내역(10일)</t>
    <phoneticPr fontId="2" type="noConversion"/>
  </si>
  <si>
    <r>
      <t>2017년 05월 11일 일일생산현황</t>
    </r>
    <r>
      <rPr>
        <b/>
        <sz val="14"/>
        <color indexed="8"/>
        <rFont val="굴림체"/>
        <family val="3"/>
        <charset val="129"/>
      </rPr>
      <t>(12일(금) 09시 현재)</t>
    </r>
    <phoneticPr fontId="2" type="noConversion"/>
  </si>
  <si>
    <t>전일 ISSUE 사항(11일)</t>
    <phoneticPr fontId="2" type="noConversion"/>
  </si>
  <si>
    <t>코아파손수리후양산</t>
    <phoneticPr fontId="2" type="noConversion"/>
  </si>
  <si>
    <t>게이트수리후양산</t>
    <phoneticPr fontId="2" type="noConversion"/>
  </si>
  <si>
    <t>당일 진행 사항(12일)</t>
    <phoneticPr fontId="2" type="noConversion"/>
  </si>
  <si>
    <t>SAMPLE 진행 사항(11일)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</si>
  <si>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</si>
  <si>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</si>
  <si>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t>금형 수리 내역(10일)</t>
    <phoneticPr fontId="2" type="noConversion"/>
  </si>
  <si>
    <t>IC GUIDE</t>
    <phoneticPr fontId="2" type="noConversion"/>
  </si>
  <si>
    <t>AMB07H9A-KAA-R1</t>
    <phoneticPr fontId="2" type="noConversion"/>
  </si>
  <si>
    <t xml:space="preserve"> 미성형,단차</t>
    <phoneticPr fontId="2" type="noConversion"/>
  </si>
  <si>
    <r>
      <t>2017년 05월 12일 일일생산현황(주간)</t>
    </r>
    <r>
      <rPr>
        <b/>
        <sz val="14"/>
        <color indexed="8"/>
        <rFont val="굴림체"/>
        <family val="3"/>
        <charset val="129"/>
      </rPr>
      <t>(12일(금) 09시 현재)</t>
    </r>
    <phoneticPr fontId="2" type="noConversion"/>
  </si>
  <si>
    <t>LEAD GUIDE</t>
    <phoneticPr fontId="2" type="noConversion"/>
  </si>
  <si>
    <t>AMB0414A-KAA-R3</t>
    <phoneticPr fontId="2" type="noConversion"/>
  </si>
  <si>
    <t>전일 ISSUE 사항(12일)</t>
    <phoneticPr fontId="2" type="noConversion"/>
  </si>
  <si>
    <t>발주분양산-&gt;미성형정지</t>
    <phoneticPr fontId="2" type="noConversion"/>
  </si>
  <si>
    <t>8</t>
    <phoneticPr fontId="2" type="noConversion"/>
  </si>
  <si>
    <t>BODY</t>
    <phoneticPr fontId="2" type="noConversion"/>
  </si>
  <si>
    <t>AMB0104J-KAA-R2</t>
    <phoneticPr fontId="2" type="noConversion"/>
  </si>
  <si>
    <t>게이트수리정지</t>
    <phoneticPr fontId="2" type="noConversion"/>
  </si>
  <si>
    <t>HICON</t>
    <phoneticPr fontId="2" type="noConversion"/>
  </si>
  <si>
    <t>6</t>
    <phoneticPr fontId="2" type="noConversion"/>
  </si>
  <si>
    <t>SLIDER</t>
    <phoneticPr fontId="2" type="noConversion"/>
  </si>
  <si>
    <t>미성형정지</t>
    <phoneticPr fontId="2" type="noConversion"/>
  </si>
  <si>
    <t>당일 진행 사항(15일)</t>
    <phoneticPr fontId="2" type="noConversion"/>
  </si>
  <si>
    <t>MCS</t>
    <phoneticPr fontId="2" type="noConversion"/>
  </si>
  <si>
    <t>세척후양산</t>
    <phoneticPr fontId="2" type="noConversion"/>
  </si>
  <si>
    <t>HSB05-M002B1-15BI</t>
    <phoneticPr fontId="2" type="noConversion"/>
  </si>
  <si>
    <t>HSB05-M002B1-15BI</t>
    <phoneticPr fontId="2" type="noConversion"/>
  </si>
  <si>
    <t>BODY</t>
    <phoneticPr fontId="2" type="noConversion"/>
  </si>
  <si>
    <t>AMB0104J-KAA-R2</t>
    <phoneticPr fontId="2" type="noConversion"/>
  </si>
  <si>
    <t>수리후양산</t>
    <phoneticPr fontId="2" type="noConversion"/>
  </si>
  <si>
    <t>SST</t>
    <phoneticPr fontId="2" type="noConversion"/>
  </si>
  <si>
    <t>13</t>
    <phoneticPr fontId="2" type="noConversion"/>
  </si>
  <si>
    <t>KR6197AB841CA</t>
    <phoneticPr fontId="2" type="noConversion"/>
  </si>
  <si>
    <t>SAMPLE 진행 사항(12일)</t>
    <phoneticPr fontId="2" type="noConversion"/>
  </si>
  <si>
    <t>수정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</si>
  <si>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</si>
  <si>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</si>
  <si>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t>사출축 볼 스크류이상</t>
    <phoneticPr fontId="2" type="noConversion"/>
  </si>
  <si>
    <t>JS</t>
    <phoneticPr fontId="2" type="noConversion"/>
  </si>
  <si>
    <t>견적서진행</t>
    <phoneticPr fontId="2" type="noConversion"/>
  </si>
  <si>
    <t>사출엔코더파손,볼스크류 키 파손</t>
    <phoneticPr fontId="2" type="noConversion"/>
  </si>
  <si>
    <r>
      <t>2017년 05월 15일 일일생산현황</t>
    </r>
    <r>
      <rPr>
        <b/>
        <sz val="14"/>
        <color indexed="8"/>
        <rFont val="굴림체"/>
        <family val="3"/>
        <charset val="129"/>
      </rPr>
      <t>(16일(화) 09시 현재)</t>
    </r>
    <phoneticPr fontId="2" type="noConversion"/>
  </si>
  <si>
    <t>38P</t>
    <phoneticPr fontId="2" type="noConversion"/>
  </si>
  <si>
    <t>AM0164A-A</t>
    <phoneticPr fontId="2" type="noConversion"/>
  </si>
  <si>
    <t>E PR</t>
    <phoneticPr fontId="2" type="noConversion"/>
  </si>
  <si>
    <t>BASE</t>
    <phoneticPr fontId="2" type="noConversion"/>
  </si>
  <si>
    <t>AMM0827A-KAA-R2</t>
    <phoneticPr fontId="2" type="noConversion"/>
  </si>
  <si>
    <t>BLUE</t>
    <phoneticPr fontId="2" type="noConversion"/>
  </si>
  <si>
    <t>BODY</t>
    <phoneticPr fontId="2" type="noConversion"/>
  </si>
  <si>
    <t>AM0148A-K-R2</t>
    <phoneticPr fontId="2" type="noConversion"/>
  </si>
  <si>
    <t>전일 ISSUE 사항(15일)</t>
    <phoneticPr fontId="2" type="noConversion"/>
  </si>
  <si>
    <t>세척후양산</t>
    <phoneticPr fontId="2" type="noConversion"/>
  </si>
  <si>
    <t>수리후양산-&gt;치수NG수정후양산-&gt;2회진행</t>
    <phoneticPr fontId="2" type="noConversion"/>
  </si>
  <si>
    <t>38P</t>
    <phoneticPr fontId="2" type="noConversion"/>
  </si>
  <si>
    <t>발주분양산-&gt;BURR,코아파손수리-&gt;3회진행</t>
    <phoneticPr fontId="2" type="noConversion"/>
  </si>
  <si>
    <t>9</t>
    <phoneticPr fontId="2" type="noConversion"/>
  </si>
  <si>
    <t>AMM0827A-KAA-R2</t>
    <phoneticPr fontId="2" type="noConversion"/>
  </si>
  <si>
    <t>발주분양산-&gt;코아파손정지</t>
    <phoneticPr fontId="2" type="noConversion"/>
  </si>
  <si>
    <t>SST</t>
    <phoneticPr fontId="2" type="noConversion"/>
  </si>
  <si>
    <t>11</t>
    <phoneticPr fontId="2" type="noConversion"/>
  </si>
  <si>
    <t>LEAD GUIDE</t>
    <phoneticPr fontId="2" type="noConversion"/>
  </si>
  <si>
    <t>KR6197-F841UA</t>
    <phoneticPr fontId="2" type="noConversion"/>
  </si>
  <si>
    <t>코아파손</t>
    <phoneticPr fontId="2" type="noConversion"/>
  </si>
  <si>
    <t>BODY</t>
    <phoneticPr fontId="2" type="noConversion"/>
  </si>
  <si>
    <t>AM0148A-K-R2</t>
    <phoneticPr fontId="2" type="noConversion"/>
  </si>
  <si>
    <t>13</t>
    <phoneticPr fontId="2" type="noConversion"/>
  </si>
  <si>
    <t>BASE</t>
    <phoneticPr fontId="2" type="noConversion"/>
  </si>
  <si>
    <t>KR6197AB841CA</t>
    <phoneticPr fontId="2" type="noConversion"/>
  </si>
  <si>
    <t>당일 진행 사항(16일)</t>
    <phoneticPr fontId="2" type="noConversion"/>
  </si>
  <si>
    <t>MCS</t>
    <phoneticPr fontId="2" type="noConversion"/>
  </si>
  <si>
    <t>수리후양산</t>
    <phoneticPr fontId="2" type="noConversion"/>
  </si>
  <si>
    <t>KR6156BA841YA</t>
    <phoneticPr fontId="2" type="noConversion"/>
  </si>
  <si>
    <t>SST</t>
    <phoneticPr fontId="2" type="noConversion"/>
  </si>
  <si>
    <t>발주분양산</t>
    <phoneticPr fontId="2" type="noConversion"/>
  </si>
  <si>
    <t>SAMPLE 진행 사항(15일)</t>
    <phoneticPr fontId="2" type="noConversion"/>
  </si>
  <si>
    <t>JENDER</t>
    <phoneticPr fontId="2" type="noConversion"/>
  </si>
  <si>
    <t>수정</t>
    <phoneticPr fontId="2" type="noConversion"/>
  </si>
  <si>
    <t>SGF2030 N/P</t>
    <phoneticPr fontId="2" type="noConversion"/>
  </si>
  <si>
    <t>GN2330</t>
    <phoneticPr fontId="2" type="noConversion"/>
  </si>
  <si>
    <t>JR01911-G01HXX</t>
    <phoneticPr fontId="2" type="noConversion"/>
  </si>
  <si>
    <t>KR6166-B068XX</t>
    <phoneticPr fontId="2" type="noConversion"/>
  </si>
  <si>
    <t>금형 수리 내역(15일)</t>
    <phoneticPr fontId="2" type="noConversion"/>
  </si>
  <si>
    <t xml:space="preserve"> 게이트</t>
    <phoneticPr fontId="2" type="noConversion"/>
  </si>
  <si>
    <t>MCS</t>
    <phoneticPr fontId="2" type="noConversion"/>
  </si>
  <si>
    <t>BASE</t>
    <phoneticPr fontId="2" type="noConversion"/>
  </si>
  <si>
    <t xml:space="preserve"> 코아파손</t>
    <phoneticPr fontId="2" type="noConversion"/>
  </si>
  <si>
    <t>AMB0414A-KAA-R3</t>
    <phoneticPr fontId="2" type="noConversion"/>
  </si>
  <si>
    <t xml:space="preserve"> 세척</t>
    <phoneticPr fontId="2" type="noConversion"/>
  </si>
  <si>
    <t>설비 점검 내역(15일)</t>
    <phoneticPr fontId="2" type="noConversion"/>
  </si>
  <si>
    <t>사출엔코더파손,볼스크류 휨</t>
    <phoneticPr fontId="2" type="noConversion"/>
  </si>
  <si>
    <r>
      <t>2017년 05월 16일 일일생산현황</t>
    </r>
    <r>
      <rPr>
        <b/>
        <sz val="14"/>
        <color indexed="8"/>
        <rFont val="굴림체"/>
        <family val="3"/>
        <charset val="129"/>
      </rPr>
      <t>(17일(수) 09시 현재)</t>
    </r>
    <phoneticPr fontId="2" type="noConversion"/>
  </si>
  <si>
    <t>SLIDER</t>
    <phoneticPr fontId="2" type="noConversion"/>
  </si>
  <si>
    <t>KR6156BA841YA</t>
    <phoneticPr fontId="2" type="noConversion"/>
  </si>
  <si>
    <t>SGF2050</t>
    <phoneticPr fontId="2" type="noConversion"/>
  </si>
  <si>
    <t>전일 ISSUE 사항(16일)</t>
    <phoneticPr fontId="2" type="noConversion"/>
  </si>
  <si>
    <t>SST</t>
    <phoneticPr fontId="2" type="noConversion"/>
  </si>
  <si>
    <t>SLIDER</t>
    <phoneticPr fontId="2" type="noConversion"/>
  </si>
  <si>
    <t>발주분양산-&gt;BURR수리후양산-&gt;BURR정지</t>
    <phoneticPr fontId="2" type="noConversion"/>
  </si>
  <si>
    <t>수리후양산-&gt;코아파손정지</t>
    <phoneticPr fontId="2" type="noConversion"/>
  </si>
  <si>
    <t>코아파손수리후양산</t>
    <phoneticPr fontId="2" type="noConversion"/>
  </si>
  <si>
    <t>당일 진행 사항(17일)</t>
    <phoneticPr fontId="2" type="noConversion"/>
  </si>
  <si>
    <t>수리후양산</t>
    <phoneticPr fontId="2" type="noConversion"/>
  </si>
  <si>
    <t>38P</t>
    <phoneticPr fontId="2" type="noConversion"/>
  </si>
  <si>
    <t>AM0164A-A</t>
    <phoneticPr fontId="2" type="noConversion"/>
  </si>
  <si>
    <t>2</t>
    <phoneticPr fontId="2" type="noConversion"/>
  </si>
  <si>
    <t>COVER</t>
    <phoneticPr fontId="2" type="noConversion"/>
  </si>
  <si>
    <t>AM0310A-K</t>
    <phoneticPr fontId="2" type="noConversion"/>
  </si>
  <si>
    <t>발주분양산</t>
    <phoneticPr fontId="2" type="noConversion"/>
  </si>
  <si>
    <t>12</t>
    <phoneticPr fontId="2" type="noConversion"/>
  </si>
  <si>
    <t>SAM</t>
    <phoneticPr fontId="2" type="noConversion"/>
  </si>
  <si>
    <t>AM0610B-J</t>
    <phoneticPr fontId="2" type="noConversion"/>
  </si>
  <si>
    <t>11</t>
    <phoneticPr fontId="2" type="noConversion"/>
  </si>
  <si>
    <t>BODY</t>
    <phoneticPr fontId="2" type="noConversion"/>
  </si>
  <si>
    <t>AM0149A-K</t>
    <phoneticPr fontId="2" type="noConversion"/>
  </si>
  <si>
    <t>SAMPLE 진행 사항(16일)</t>
    <phoneticPr fontId="2" type="noConversion"/>
  </si>
  <si>
    <t>휨수정(게이트1EA)</t>
    <phoneticPr fontId="2" type="noConversion"/>
  </si>
  <si>
    <t>38P</t>
    <phoneticPr fontId="2" type="noConversion"/>
  </si>
  <si>
    <t>SLIDER</t>
    <phoneticPr fontId="2" type="noConversion"/>
  </si>
  <si>
    <t xml:space="preserve"> BURR</t>
    <phoneticPr fontId="2" type="noConversion"/>
  </si>
  <si>
    <t>설비 점검 내역(16일)</t>
    <phoneticPr fontId="2" type="noConversion"/>
  </si>
  <si>
    <t>금형 수리 내역(16일)</t>
    <phoneticPr fontId="2" type="noConversion"/>
  </si>
  <si>
    <t>NOGE가</t>
    <phoneticPr fontId="2" type="noConversion"/>
  </si>
  <si>
    <r>
      <t>2017년 05월 17일 일일생산현황</t>
    </r>
    <r>
      <rPr>
        <b/>
        <sz val="14"/>
        <color indexed="8"/>
        <rFont val="굴림체"/>
        <family val="3"/>
        <charset val="129"/>
      </rPr>
      <t>(18일(목) 09시 현재)</t>
    </r>
    <phoneticPr fontId="2" type="noConversion"/>
  </si>
  <si>
    <t>MCS</t>
    <phoneticPr fontId="2" type="noConversion"/>
  </si>
  <si>
    <t>AM0340A-K</t>
    <phoneticPr fontId="2" type="noConversion"/>
  </si>
  <si>
    <t>AM0149A-K</t>
    <phoneticPr fontId="2" type="noConversion"/>
  </si>
  <si>
    <t>전일 ISSUE 사항(17일)</t>
    <phoneticPr fontId="2" type="noConversion"/>
  </si>
  <si>
    <t>수리후양산-&gt;BURR정지</t>
    <phoneticPr fontId="2" type="noConversion"/>
  </si>
  <si>
    <t>MCS</t>
    <phoneticPr fontId="2" type="noConversion"/>
  </si>
  <si>
    <t>발주분양산</t>
    <phoneticPr fontId="2" type="noConversion"/>
  </si>
  <si>
    <t>11</t>
    <phoneticPr fontId="2" type="noConversion"/>
  </si>
  <si>
    <t>AM0149A-K</t>
    <phoneticPr fontId="2" type="noConversion"/>
  </si>
  <si>
    <t>12</t>
    <phoneticPr fontId="2" type="noConversion"/>
  </si>
  <si>
    <t>SAM</t>
    <phoneticPr fontId="2" type="noConversion"/>
  </si>
  <si>
    <t>AM0610B-J</t>
    <phoneticPr fontId="2" type="noConversion"/>
  </si>
  <si>
    <t>발주분양산-&gt;BURR정지</t>
    <phoneticPr fontId="2" type="noConversion"/>
  </si>
  <si>
    <t>당일 진행 사항(18일)</t>
    <phoneticPr fontId="2" type="noConversion"/>
  </si>
  <si>
    <t>수리후양산</t>
    <phoneticPr fontId="2" type="noConversion"/>
  </si>
  <si>
    <t>OKINS</t>
    <phoneticPr fontId="2" type="noConversion"/>
  </si>
  <si>
    <t>BASE/UNDER</t>
    <phoneticPr fontId="2" type="noConversion"/>
  </si>
  <si>
    <t>25SSD-127-T6-BB/UA</t>
    <phoneticPr fontId="2" type="noConversion"/>
  </si>
  <si>
    <t>발주분양산</t>
    <phoneticPr fontId="2" type="noConversion"/>
  </si>
  <si>
    <t>SAMPLE 진행 사항(17일)</t>
    <phoneticPr fontId="2" type="noConversion"/>
  </si>
  <si>
    <t>K-JR01911-B432XX</t>
    <phoneticPr fontId="2" type="noConversion"/>
  </si>
  <si>
    <t>SGF2033</t>
    <phoneticPr fontId="2" type="noConversion"/>
  </si>
  <si>
    <t>SLIDER</t>
    <phoneticPr fontId="2" type="noConversion"/>
  </si>
  <si>
    <t>K-JR01911-A432XX</t>
    <phoneticPr fontId="2" type="noConversion"/>
  </si>
  <si>
    <t>SGF2030</t>
    <phoneticPr fontId="2" type="noConversion"/>
  </si>
  <si>
    <t>KR6182-B624CB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</si>
  <si>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</si>
  <si>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</si>
  <si>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2017년 05월 18일 일일생산현황</t>
    </r>
    <r>
      <rPr>
        <b/>
        <sz val="14"/>
        <color indexed="8"/>
        <rFont val="굴림체"/>
        <family val="3"/>
        <charset val="129"/>
      </rPr>
      <t>(19일(금) 09시 현재)</t>
    </r>
    <phoneticPr fontId="2" type="noConversion"/>
  </si>
  <si>
    <t>OKINS</t>
    <phoneticPr fontId="2" type="noConversion"/>
  </si>
  <si>
    <t>BASE/UNDER</t>
    <phoneticPr fontId="2" type="noConversion"/>
  </si>
  <si>
    <t>25SSD-127-T6-BB/UA</t>
    <phoneticPr fontId="2" type="noConversion"/>
  </si>
  <si>
    <t>25SSD-127-T6-BB/UA</t>
    <phoneticPr fontId="2" type="noConversion"/>
  </si>
  <si>
    <t>SAM</t>
    <phoneticPr fontId="2" type="noConversion"/>
  </si>
  <si>
    <t>AM0610B-J</t>
    <phoneticPr fontId="2" type="noConversion"/>
  </si>
  <si>
    <t>전일 ISSUE 사항(18일)</t>
    <phoneticPr fontId="2" type="noConversion"/>
  </si>
  <si>
    <t>수리후양산</t>
    <phoneticPr fontId="2" type="noConversion"/>
  </si>
  <si>
    <t>BASE/UNDER</t>
    <phoneticPr fontId="2" type="noConversion"/>
  </si>
  <si>
    <t>수리후양산-&gt;제품눌림정지</t>
    <phoneticPr fontId="2" type="noConversion"/>
  </si>
  <si>
    <t>DI</t>
    <phoneticPr fontId="2" type="noConversion"/>
  </si>
  <si>
    <t>15</t>
    <phoneticPr fontId="2" type="noConversion"/>
  </si>
  <si>
    <t>22P</t>
    <phoneticPr fontId="2" type="noConversion"/>
  </si>
  <si>
    <t>발주분양산</t>
    <phoneticPr fontId="2" type="noConversion"/>
  </si>
  <si>
    <t>당일 진행 사항(19일)</t>
    <phoneticPr fontId="2" type="noConversion"/>
  </si>
  <si>
    <t>STOPPER</t>
    <phoneticPr fontId="2" type="noConversion"/>
  </si>
  <si>
    <t>KR6170BD740UB</t>
    <phoneticPr fontId="2" type="noConversion"/>
  </si>
  <si>
    <t>발주분양산</t>
    <phoneticPr fontId="2" type="noConversion"/>
  </si>
  <si>
    <t>KR6197CA432YA</t>
    <phoneticPr fontId="2" type="noConversion"/>
  </si>
  <si>
    <t>LEAD GUIDE</t>
    <phoneticPr fontId="2" type="noConversion"/>
  </si>
  <si>
    <t>KR6170AF1440UA</t>
    <phoneticPr fontId="2" type="noConversion"/>
  </si>
  <si>
    <t>SAMPLE 진행 사항(18일)</t>
    <phoneticPr fontId="2" type="noConversion"/>
  </si>
  <si>
    <t>금형 수리 내역(18일)</t>
    <phoneticPr fontId="2" type="noConversion"/>
  </si>
  <si>
    <t xml:space="preserve"> 제품눌림 정지</t>
    <phoneticPr fontId="2" type="noConversion"/>
  </si>
  <si>
    <t>설비 점검 내역(18일)</t>
    <phoneticPr fontId="2" type="noConversion"/>
  </si>
  <si>
    <r>
      <t>2017년 05월 19일(주간) 일일생산현황</t>
    </r>
    <r>
      <rPr>
        <b/>
        <sz val="14"/>
        <color indexed="8"/>
        <rFont val="굴림체"/>
        <family val="3"/>
        <charset val="129"/>
      </rPr>
      <t>(20일(토) 09시 현재)</t>
    </r>
    <phoneticPr fontId="2" type="noConversion"/>
  </si>
  <si>
    <t>KR6197CA432YA</t>
    <phoneticPr fontId="2" type="noConversion"/>
  </si>
  <si>
    <t>KR6170BD740UB</t>
    <phoneticPr fontId="2" type="noConversion"/>
  </si>
  <si>
    <t>SGF2030</t>
    <phoneticPr fontId="2" type="noConversion"/>
  </si>
  <si>
    <t>KR6182-B624CB</t>
    <phoneticPr fontId="2" type="noConversion"/>
  </si>
  <si>
    <t>SGF2033</t>
    <phoneticPr fontId="2" type="noConversion"/>
  </si>
  <si>
    <t>KR6170AF1440UA</t>
    <phoneticPr fontId="2" type="noConversion"/>
  </si>
  <si>
    <t>22P(4POST)</t>
    <phoneticPr fontId="2" type="noConversion"/>
  </si>
  <si>
    <t>전일 ISSUE 사항(19일)</t>
    <phoneticPr fontId="2" type="noConversion"/>
  </si>
  <si>
    <t>KR6197CA432YA</t>
    <phoneticPr fontId="2" type="noConversion"/>
  </si>
  <si>
    <t>발주분양산-&gt;게이트막힘정지</t>
    <phoneticPr fontId="2" type="noConversion"/>
  </si>
  <si>
    <t>SST</t>
    <phoneticPr fontId="2" type="noConversion"/>
  </si>
  <si>
    <t>STOPPER</t>
    <phoneticPr fontId="2" type="noConversion"/>
  </si>
  <si>
    <t>KR6170BD740UB</t>
    <phoneticPr fontId="2" type="noConversion"/>
  </si>
  <si>
    <t>13</t>
    <phoneticPr fontId="2" type="noConversion"/>
  </si>
  <si>
    <t>LEAD GUIDE</t>
    <phoneticPr fontId="2" type="noConversion"/>
  </si>
  <si>
    <t>KR6170AF1440UA</t>
    <phoneticPr fontId="2" type="noConversion"/>
  </si>
  <si>
    <t>BASE</t>
    <phoneticPr fontId="2" type="noConversion"/>
  </si>
  <si>
    <t>당일 진행 사항(22일)</t>
    <phoneticPr fontId="2" type="noConversion"/>
  </si>
  <si>
    <t>MCS</t>
    <phoneticPr fontId="2" type="noConversion"/>
  </si>
  <si>
    <t>BODY</t>
    <phoneticPr fontId="2" type="noConversion"/>
  </si>
  <si>
    <t>AMB0104B-KAA-R2</t>
    <phoneticPr fontId="2" type="noConversion"/>
  </si>
  <si>
    <t>수리후양산</t>
    <phoneticPr fontId="2" type="noConversion"/>
  </si>
  <si>
    <t>SAMPLE 진행 사항(19일)</t>
    <phoneticPr fontId="2" type="noConversion"/>
  </si>
  <si>
    <t>금형 수리 내역(19일)</t>
    <phoneticPr fontId="2" type="noConversion"/>
  </si>
  <si>
    <t>SLIDER</t>
    <phoneticPr fontId="2" type="noConversion"/>
  </si>
  <si>
    <t xml:space="preserve"> 게이트수리</t>
    <phoneticPr fontId="2" type="noConversion"/>
  </si>
  <si>
    <t>설비 점검 내역(19일)</t>
    <phoneticPr fontId="2" type="noConversion"/>
  </si>
  <si>
    <t>사출 모터이상</t>
    <phoneticPr fontId="2" type="noConversion"/>
  </si>
  <si>
    <r>
      <t>2017년 05월 22일 일일생산현황</t>
    </r>
    <r>
      <rPr>
        <b/>
        <sz val="14"/>
        <color indexed="8"/>
        <rFont val="굴림체"/>
        <family val="3"/>
        <charset val="129"/>
      </rPr>
      <t>(23일(화) 09시 현재)</t>
    </r>
    <phoneticPr fontId="2" type="noConversion"/>
  </si>
  <si>
    <t>BODY</t>
    <phoneticPr fontId="2" type="noConversion"/>
  </si>
  <si>
    <t>AMB0155A-KAA-R1</t>
    <phoneticPr fontId="2" type="noConversion"/>
  </si>
  <si>
    <t>SPACER L/R</t>
    <phoneticPr fontId="2" type="noConversion"/>
  </si>
  <si>
    <t>AMB39C4/5A-KAA-R1</t>
    <phoneticPr fontId="2" type="noConversion"/>
  </si>
  <si>
    <t>AMB0104B-KAA-R3</t>
    <phoneticPr fontId="2" type="noConversion"/>
  </si>
  <si>
    <t>F/ADAPTER</t>
    <phoneticPr fontId="2" type="noConversion"/>
  </si>
  <si>
    <t>AMB20A2A-KAA-R1</t>
    <phoneticPr fontId="2" type="noConversion"/>
  </si>
  <si>
    <t>전일 ISSUE 사항(22일)</t>
    <phoneticPr fontId="2" type="noConversion"/>
  </si>
  <si>
    <t>수리후양산</t>
    <phoneticPr fontId="2" type="noConversion"/>
  </si>
  <si>
    <t>코아파손수리후양산</t>
    <phoneticPr fontId="2" type="noConversion"/>
  </si>
  <si>
    <t>MCS</t>
    <phoneticPr fontId="2" type="noConversion"/>
  </si>
  <si>
    <t>12</t>
    <phoneticPr fontId="2" type="noConversion"/>
  </si>
  <si>
    <t>발주분양산</t>
    <phoneticPr fontId="2" type="noConversion"/>
  </si>
  <si>
    <t>8</t>
    <phoneticPr fontId="2" type="noConversion"/>
  </si>
  <si>
    <t>BODY</t>
    <phoneticPr fontId="2" type="noConversion"/>
  </si>
  <si>
    <t>SPACER L/R</t>
    <phoneticPr fontId="2" type="noConversion"/>
  </si>
  <si>
    <t>당일 진행 사항(23일)</t>
    <phoneticPr fontId="2" type="noConversion"/>
  </si>
  <si>
    <t>SHAFT</t>
    <phoneticPr fontId="2" type="noConversion"/>
  </si>
  <si>
    <t>KR6197-06KA</t>
    <phoneticPr fontId="2" type="noConversion"/>
  </si>
  <si>
    <t>SEPARATOR</t>
    <phoneticPr fontId="2" type="noConversion"/>
  </si>
  <si>
    <t>AMB39C3A-KAA-R1</t>
    <phoneticPr fontId="2" type="noConversion"/>
  </si>
  <si>
    <t>AMB0114F-KAA-R1</t>
    <phoneticPr fontId="2" type="noConversion"/>
  </si>
  <si>
    <t>SAMPLE 진행 사항(22일)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</si>
  <si>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</si>
  <si>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</si>
  <si>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2017년 05월 23일 일일생산현황</t>
    </r>
    <r>
      <rPr>
        <b/>
        <sz val="14"/>
        <color indexed="8"/>
        <rFont val="굴림체"/>
        <family val="3"/>
        <charset val="129"/>
      </rPr>
      <t>(24일(수) 09시 현재)</t>
    </r>
    <phoneticPr fontId="2" type="noConversion"/>
  </si>
  <si>
    <t>SHAFT</t>
    <phoneticPr fontId="2" type="noConversion"/>
  </si>
  <si>
    <t>KR6197-06KA</t>
    <phoneticPr fontId="2" type="noConversion"/>
  </si>
  <si>
    <t>JCL3030</t>
    <phoneticPr fontId="2" type="noConversion"/>
  </si>
  <si>
    <t>SEPARATOR</t>
    <phoneticPr fontId="2" type="noConversion"/>
  </si>
  <si>
    <t>AMB39C3A-KAA-R1</t>
    <phoneticPr fontId="2" type="noConversion"/>
  </si>
  <si>
    <t>STOPPER</t>
    <phoneticPr fontId="2" type="noConversion"/>
  </si>
  <si>
    <t>AM0241A-K</t>
    <phoneticPr fontId="2" type="noConversion"/>
  </si>
  <si>
    <t>전일 ISSUE 사항(23일)</t>
    <phoneticPr fontId="2" type="noConversion"/>
  </si>
  <si>
    <t>SHAFT</t>
    <phoneticPr fontId="2" type="noConversion"/>
  </si>
  <si>
    <t>발주분양산</t>
    <phoneticPr fontId="2" type="noConversion"/>
  </si>
  <si>
    <t>SEPARATOR</t>
    <phoneticPr fontId="2" type="noConversion"/>
  </si>
  <si>
    <t>BODY</t>
    <phoneticPr fontId="2" type="noConversion"/>
  </si>
  <si>
    <t>AMB0114F-JAA-R1</t>
    <phoneticPr fontId="2" type="noConversion"/>
  </si>
  <si>
    <t>발주분양산</t>
    <phoneticPr fontId="2" type="noConversion"/>
  </si>
  <si>
    <t>발주분양산-&gt;치수NG3회정지</t>
    <phoneticPr fontId="2" type="noConversion"/>
  </si>
  <si>
    <t>11</t>
    <phoneticPr fontId="2" type="noConversion"/>
  </si>
  <si>
    <t>STOPPER</t>
    <phoneticPr fontId="2" type="noConversion"/>
  </si>
  <si>
    <t>당일 진행 사항(24일)</t>
    <phoneticPr fontId="2" type="noConversion"/>
  </si>
  <si>
    <t>5</t>
    <phoneticPr fontId="2" type="noConversion"/>
  </si>
  <si>
    <t>M2 CONN</t>
    <phoneticPr fontId="2" type="noConversion"/>
  </si>
  <si>
    <t>AMS08155A-KAA-R1</t>
    <phoneticPr fontId="2" type="noConversion"/>
  </si>
  <si>
    <t>수리후양산</t>
    <phoneticPr fontId="2" type="noConversion"/>
  </si>
  <si>
    <t>AM0143A-K</t>
    <phoneticPr fontId="2" type="noConversion"/>
  </si>
  <si>
    <t>HICON</t>
    <phoneticPr fontId="2" type="noConversion"/>
  </si>
  <si>
    <t>6</t>
    <phoneticPr fontId="2" type="noConversion"/>
  </si>
  <si>
    <t>SLIDER</t>
    <phoneticPr fontId="2" type="noConversion"/>
  </si>
  <si>
    <t>HSA65-M002B1-13A</t>
    <phoneticPr fontId="2" type="noConversion"/>
  </si>
  <si>
    <t>불량대치분양산</t>
    <phoneticPr fontId="2" type="noConversion"/>
  </si>
  <si>
    <t>SAMPLE 진행 사항(23일)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</si>
  <si>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</si>
  <si>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</si>
  <si>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2017년 05월 24일 일일생산현황</t>
    </r>
    <r>
      <rPr>
        <b/>
        <sz val="14"/>
        <color indexed="8"/>
        <rFont val="굴림체"/>
        <family val="3"/>
        <charset val="129"/>
      </rPr>
      <t>(25일(목) 09시 현재)</t>
    </r>
    <phoneticPr fontId="2" type="noConversion"/>
  </si>
  <si>
    <t>M2 CONN</t>
    <phoneticPr fontId="2" type="noConversion"/>
  </si>
  <si>
    <t>AMS08155A-KAA-R1</t>
    <phoneticPr fontId="2" type="noConversion"/>
  </si>
  <si>
    <t>SF2255</t>
    <phoneticPr fontId="2" type="noConversion"/>
  </si>
  <si>
    <t>HSA65-M002B1-13A</t>
    <phoneticPr fontId="2" type="noConversion"/>
  </si>
  <si>
    <t>BASE</t>
    <phoneticPr fontId="2" type="noConversion"/>
  </si>
  <si>
    <t>AM0143A-K</t>
    <phoneticPr fontId="2" type="noConversion"/>
  </si>
  <si>
    <t>SF2255</t>
    <phoneticPr fontId="2" type="noConversion"/>
  </si>
  <si>
    <t>AMB0114F-JAA-R1</t>
    <phoneticPr fontId="2" type="noConversion"/>
  </si>
  <si>
    <t>전일 ISSUE 사항(24일)</t>
    <phoneticPr fontId="2" type="noConversion"/>
  </si>
  <si>
    <t>MCS</t>
    <phoneticPr fontId="2" type="noConversion"/>
  </si>
  <si>
    <t>수리후양산-&gt;5,7호기 치수NG/치수 수리후진행</t>
    <phoneticPr fontId="2" type="noConversion"/>
  </si>
  <si>
    <t>ACTUATOR</t>
    <phoneticPr fontId="2" type="noConversion"/>
  </si>
  <si>
    <t>AMB1901B-JAA-R1</t>
    <phoneticPr fontId="2" type="noConversion"/>
  </si>
  <si>
    <t>발주분양산-&gt;BURR2회정지</t>
    <phoneticPr fontId="2" type="noConversion"/>
  </si>
  <si>
    <t>HICON</t>
    <phoneticPr fontId="2" type="noConversion"/>
  </si>
  <si>
    <t>SLIDER</t>
    <phoneticPr fontId="2" type="noConversion"/>
  </si>
  <si>
    <t>발주분양산-&gt;이물/단차수리-&gt;BURR정지</t>
    <phoneticPr fontId="2" type="noConversion"/>
  </si>
  <si>
    <t>5</t>
    <phoneticPr fontId="2" type="noConversion"/>
  </si>
  <si>
    <t>M2 CONN</t>
    <phoneticPr fontId="2" type="noConversion"/>
  </si>
  <si>
    <t>발주분양산-&gt;가스정지</t>
    <phoneticPr fontId="2" type="noConversion"/>
  </si>
  <si>
    <t>당일 진행 사항(25일)</t>
    <phoneticPr fontId="2" type="noConversion"/>
  </si>
  <si>
    <t>ACTUATOR</t>
    <phoneticPr fontId="2" type="noConversion"/>
  </si>
  <si>
    <t>AMB1901B-JAA-R1</t>
    <phoneticPr fontId="2" type="noConversion"/>
  </si>
  <si>
    <t>수리후양산</t>
    <phoneticPr fontId="2" type="noConversion"/>
  </si>
  <si>
    <t>SAMPLE 진행 사항(24일)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</si>
  <si>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</si>
  <si>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</si>
  <si>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2017년 05월 25일 일일생산현황</t>
    </r>
    <r>
      <rPr>
        <b/>
        <sz val="14"/>
        <color indexed="8"/>
        <rFont val="굴림체"/>
        <family val="3"/>
        <charset val="129"/>
      </rPr>
      <t>(26일(금) 09시 현재)</t>
    </r>
    <phoneticPr fontId="2" type="noConversion"/>
  </si>
  <si>
    <t>ACTUATOR</t>
    <phoneticPr fontId="2" type="noConversion"/>
  </si>
  <si>
    <t>AMB1901B-JAA-R1</t>
    <phoneticPr fontId="2" type="noConversion"/>
  </si>
  <si>
    <t>SGF2033</t>
    <phoneticPr fontId="2" type="noConversion"/>
  </si>
  <si>
    <t>전일 ISSUE 사항(25일)</t>
    <phoneticPr fontId="2" type="noConversion"/>
  </si>
  <si>
    <t>수리후양산</t>
    <phoneticPr fontId="2" type="noConversion"/>
  </si>
  <si>
    <t>8</t>
    <phoneticPr fontId="2" type="noConversion"/>
  </si>
  <si>
    <t>당일 진행 사항(26일)</t>
    <phoneticPr fontId="2" type="noConversion"/>
  </si>
  <si>
    <t>AMB0114E-JAA-R2</t>
    <phoneticPr fontId="2" type="noConversion"/>
  </si>
  <si>
    <t>MCS</t>
    <phoneticPr fontId="2" type="noConversion"/>
  </si>
  <si>
    <t>BODY</t>
    <phoneticPr fontId="2" type="noConversion"/>
  </si>
  <si>
    <t>발주분양산</t>
    <phoneticPr fontId="2" type="noConversion"/>
  </si>
  <si>
    <t>발주분양산</t>
    <phoneticPr fontId="2" type="noConversion"/>
  </si>
  <si>
    <t>13</t>
    <phoneticPr fontId="2" type="noConversion"/>
  </si>
  <si>
    <t>ACTUATOR</t>
    <phoneticPr fontId="2" type="noConversion"/>
  </si>
  <si>
    <t>AMB1901D-JAA-R2</t>
    <phoneticPr fontId="2" type="noConversion"/>
  </si>
  <si>
    <t>SAMPLE 진행 사항(25일)</t>
    <phoneticPr fontId="2" type="noConversion"/>
  </si>
  <si>
    <t>HIOCN</t>
    <phoneticPr fontId="2" type="noConversion"/>
  </si>
  <si>
    <t>CONNECTOR</t>
    <phoneticPr fontId="2" type="noConversion"/>
  </si>
  <si>
    <t>2829H-05-007</t>
    <phoneticPr fontId="2" type="noConversion"/>
  </si>
  <si>
    <t>SGF2050/SGF2033</t>
    <phoneticPr fontId="2" type="noConversion"/>
  </si>
  <si>
    <t>수축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</si>
  <si>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</si>
  <si>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</si>
  <si>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t>ACTUATOR</t>
    <phoneticPr fontId="2" type="noConversion"/>
  </si>
  <si>
    <t>AMB1901D-JAA-R2</t>
    <phoneticPr fontId="2" type="noConversion"/>
  </si>
  <si>
    <t>SGF2030</t>
    <phoneticPr fontId="2" type="noConversion"/>
  </si>
  <si>
    <t>AMB0114E-JAA-R2</t>
    <phoneticPr fontId="2" type="noConversion"/>
  </si>
  <si>
    <t>전일 ISSUE 사항(26일)</t>
    <phoneticPr fontId="2" type="noConversion"/>
  </si>
  <si>
    <t>이물정지-&gt;제거안됨</t>
    <phoneticPr fontId="2" type="noConversion"/>
  </si>
  <si>
    <t>발주분양산</t>
    <phoneticPr fontId="2" type="noConversion"/>
  </si>
  <si>
    <t>7</t>
    <phoneticPr fontId="2" type="noConversion"/>
  </si>
  <si>
    <t>BODY</t>
    <phoneticPr fontId="2" type="noConversion"/>
  </si>
  <si>
    <t>발주분양산-&gt;이물양산안됨</t>
    <phoneticPr fontId="2" type="noConversion"/>
  </si>
  <si>
    <t>당일 진행 사항(29일)</t>
    <phoneticPr fontId="2" type="noConversion"/>
  </si>
  <si>
    <t>수리후양산</t>
    <phoneticPr fontId="2" type="noConversion"/>
  </si>
  <si>
    <t>SST</t>
    <phoneticPr fontId="2" type="noConversion"/>
  </si>
  <si>
    <t>STOPPER</t>
    <phoneticPr fontId="2" type="noConversion"/>
  </si>
  <si>
    <t>KR6156-D841PA</t>
    <phoneticPr fontId="2" type="noConversion"/>
  </si>
  <si>
    <t>HSB05-M002B1-12BI</t>
    <phoneticPr fontId="2" type="noConversion"/>
  </si>
  <si>
    <t>HICON</t>
    <phoneticPr fontId="2" type="noConversion"/>
  </si>
  <si>
    <t>5</t>
    <phoneticPr fontId="2" type="noConversion"/>
  </si>
  <si>
    <t>SLIDER</t>
    <phoneticPr fontId="2" type="noConversion"/>
  </si>
  <si>
    <t>SLIDER</t>
    <phoneticPr fontId="2" type="noConversion"/>
  </si>
  <si>
    <t>HSA65-M002B1-13A</t>
    <phoneticPr fontId="2" type="noConversion"/>
  </si>
  <si>
    <t>HSA65-M002B1-13A</t>
    <phoneticPr fontId="2" type="noConversion"/>
  </si>
  <si>
    <t>11</t>
    <phoneticPr fontId="2" type="noConversion"/>
  </si>
  <si>
    <t>LEAD GUIDE</t>
    <phoneticPr fontId="2" type="noConversion"/>
  </si>
  <si>
    <t>KR6197-F841UA</t>
    <phoneticPr fontId="2" type="noConversion"/>
  </si>
  <si>
    <t>22P(구형)</t>
    <phoneticPr fontId="2" type="noConversion"/>
  </si>
  <si>
    <t>DI</t>
    <phoneticPr fontId="2" type="noConversion"/>
  </si>
  <si>
    <t>15</t>
    <phoneticPr fontId="2" type="noConversion"/>
  </si>
  <si>
    <t>SAMPLE 진행 사항(26일)</t>
    <phoneticPr fontId="2" type="noConversion"/>
  </si>
  <si>
    <t>MCS</t>
    <phoneticPr fontId="2" type="noConversion"/>
  </si>
  <si>
    <t>AMB1901B-JAA-R1</t>
    <phoneticPr fontId="2" type="noConversion"/>
  </si>
  <si>
    <t>SGF2033</t>
    <phoneticPr fontId="2" type="noConversion"/>
  </si>
  <si>
    <t>검토</t>
    <phoneticPr fontId="2" type="noConversion"/>
  </si>
  <si>
    <t>STOPPER</t>
    <phoneticPr fontId="2" type="noConversion"/>
  </si>
  <si>
    <t>AMB0450A-KAA-R1</t>
    <phoneticPr fontId="2" type="noConversion"/>
  </si>
  <si>
    <t>SGF2050</t>
    <phoneticPr fontId="2" type="noConversion"/>
  </si>
  <si>
    <t>신작</t>
    <phoneticPr fontId="2" type="noConversion"/>
  </si>
  <si>
    <t>금형이상2회진행</t>
    <phoneticPr fontId="2" type="noConversion"/>
  </si>
  <si>
    <t>F/ADAPTER</t>
    <phoneticPr fontId="2" type="noConversion"/>
  </si>
  <si>
    <t>AMB07P2A-KAA-R1</t>
    <phoneticPr fontId="2" type="noConversion"/>
  </si>
  <si>
    <t>BASE</t>
    <phoneticPr fontId="2" type="noConversion"/>
  </si>
  <si>
    <t>AMB0158A-KAA-R1</t>
    <phoneticPr fontId="2" type="noConversion"/>
  </si>
  <si>
    <t>4,8</t>
    <phoneticPr fontId="2" type="noConversion"/>
  </si>
  <si>
    <t>4호기 작업안됨 8호기이동</t>
    <phoneticPr fontId="2" type="noConversion"/>
  </si>
  <si>
    <t>AYE</t>
    <phoneticPr fontId="2" type="noConversion"/>
  </si>
  <si>
    <t>ADAPTER</t>
    <phoneticPr fontId="2" type="noConversion"/>
  </si>
  <si>
    <t>NP595-350-008#LB</t>
    <phoneticPr fontId="2" type="noConversion"/>
  </si>
  <si>
    <t>SGP2030R N/P</t>
    <phoneticPr fontId="2" type="noConversion"/>
  </si>
  <si>
    <t>수정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</si>
  <si>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</si>
  <si>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</si>
  <si>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2017년 05월 26일(주간) 일일생산현황</t>
    </r>
    <r>
      <rPr>
        <b/>
        <sz val="14"/>
        <color indexed="8"/>
        <rFont val="굴림체"/>
        <family val="3"/>
        <charset val="129"/>
      </rPr>
      <t>(27일(토) 09시 현재)</t>
    </r>
    <phoneticPr fontId="2" type="noConversion"/>
  </si>
  <si>
    <r>
      <t>2017년 05월 29일 일일생산현황</t>
    </r>
    <r>
      <rPr>
        <b/>
        <sz val="14"/>
        <color indexed="8"/>
        <rFont val="굴림체"/>
        <family val="3"/>
        <charset val="129"/>
      </rPr>
      <t>(30일(화) 09시 현재)</t>
    </r>
    <phoneticPr fontId="2" type="noConversion"/>
  </si>
  <si>
    <t>STOPPER</t>
    <phoneticPr fontId="2" type="noConversion"/>
  </si>
  <si>
    <t>KR6156-D841PA</t>
    <phoneticPr fontId="2" type="noConversion"/>
  </si>
  <si>
    <t>SF2255</t>
    <phoneticPr fontId="2" type="noConversion"/>
  </si>
  <si>
    <t>BASE</t>
    <phoneticPr fontId="2" type="noConversion"/>
  </si>
  <si>
    <t>K-JR01911-B432AWA</t>
    <phoneticPr fontId="2" type="noConversion"/>
  </si>
  <si>
    <t>SGF2033</t>
    <phoneticPr fontId="2" type="noConversion"/>
  </si>
  <si>
    <t>SLIDER</t>
    <phoneticPr fontId="2" type="noConversion"/>
  </si>
  <si>
    <t>HSB05-M002B1-12BI</t>
    <phoneticPr fontId="2" type="noConversion"/>
  </si>
  <si>
    <t>AMB0154A-KAA-R1</t>
    <phoneticPr fontId="2" type="noConversion"/>
  </si>
  <si>
    <t>LEAD GUIDE</t>
    <phoneticPr fontId="2" type="noConversion"/>
  </si>
  <si>
    <t>KR6197-F841UA</t>
    <phoneticPr fontId="2" type="noConversion"/>
  </si>
  <si>
    <t>22P(구형)</t>
    <phoneticPr fontId="2" type="noConversion"/>
  </si>
  <si>
    <t>전일 ISSUE 사항(29일)</t>
    <phoneticPr fontId="2" type="noConversion"/>
  </si>
  <si>
    <t>HSB05-M002B1-12BI</t>
    <phoneticPr fontId="2" type="noConversion"/>
  </si>
  <si>
    <t>발주분양산-&gt;이물수리후양산</t>
    <phoneticPr fontId="2" type="noConversion"/>
  </si>
  <si>
    <t>SST</t>
    <phoneticPr fontId="2" type="noConversion"/>
  </si>
  <si>
    <t>3</t>
    <phoneticPr fontId="2" type="noConversion"/>
  </si>
  <si>
    <t>STOPPER</t>
    <phoneticPr fontId="2" type="noConversion"/>
  </si>
  <si>
    <t>KR6156-D841PA</t>
    <phoneticPr fontId="2" type="noConversion"/>
  </si>
  <si>
    <t>수리후양산</t>
    <phoneticPr fontId="2" type="noConversion"/>
  </si>
  <si>
    <t>11</t>
    <phoneticPr fontId="2" type="noConversion"/>
  </si>
  <si>
    <t>LEAD GUIDE</t>
    <phoneticPr fontId="2" type="noConversion"/>
  </si>
  <si>
    <t>발주분양산-&gt;코아파손수리</t>
    <phoneticPr fontId="2" type="noConversion"/>
  </si>
  <si>
    <t>발주분양산</t>
    <phoneticPr fontId="2" type="noConversion"/>
  </si>
  <si>
    <t>DI</t>
    <phoneticPr fontId="2" type="noConversion"/>
  </si>
  <si>
    <t>15</t>
    <phoneticPr fontId="2" type="noConversion"/>
  </si>
  <si>
    <t>22P</t>
    <phoneticPr fontId="2" type="noConversion"/>
  </si>
  <si>
    <t>당일 진행 사항(30일)</t>
    <phoneticPr fontId="2" type="noConversion"/>
  </si>
  <si>
    <t>K-JR01911-D432AZA</t>
    <phoneticPr fontId="2" type="noConversion"/>
  </si>
  <si>
    <t>발주분양산</t>
    <phoneticPr fontId="2" type="noConversion"/>
  </si>
  <si>
    <t>LEAD GUIDE</t>
    <phoneticPr fontId="2" type="noConversion"/>
  </si>
  <si>
    <t>K-JR01911-F432AWA</t>
    <phoneticPr fontId="2" type="noConversion"/>
  </si>
  <si>
    <t>22P(4P)</t>
    <phoneticPr fontId="2" type="noConversion"/>
  </si>
  <si>
    <t>2829H-05-007</t>
    <phoneticPr fontId="2" type="noConversion"/>
  </si>
  <si>
    <t>CONTECTOR</t>
    <phoneticPr fontId="2" type="noConversion"/>
  </si>
  <si>
    <t>불량분양산</t>
    <phoneticPr fontId="2" type="noConversion"/>
  </si>
  <si>
    <t>HSB75-M01A3</t>
    <phoneticPr fontId="2" type="noConversion"/>
  </si>
  <si>
    <t>10</t>
    <phoneticPr fontId="2" type="noConversion"/>
  </si>
  <si>
    <t>COVER</t>
    <phoneticPr fontId="2" type="noConversion"/>
  </si>
  <si>
    <t>SAMPLE 진행 사항(29일)</t>
    <phoneticPr fontId="2" type="noConversion"/>
  </si>
  <si>
    <t>SST</t>
    <phoneticPr fontId="2" type="noConversion"/>
  </si>
  <si>
    <t>ADAPTER</t>
    <phoneticPr fontId="2" type="noConversion"/>
  </si>
  <si>
    <t>JR01911-G01HBW</t>
    <phoneticPr fontId="2" type="noConversion"/>
  </si>
  <si>
    <t>SGF2030 N/P</t>
    <phoneticPr fontId="2" type="noConversion"/>
  </si>
  <si>
    <t>수정</t>
    <phoneticPr fontId="2" type="noConversion"/>
  </si>
  <si>
    <t>OKINS</t>
    <phoneticPr fontId="2" type="noConversion"/>
  </si>
  <si>
    <t>LATCH</t>
    <phoneticPr fontId="2" type="noConversion"/>
  </si>
  <si>
    <t>BF1-FA077A</t>
    <phoneticPr fontId="2" type="noConversion"/>
  </si>
  <si>
    <t>EX08302</t>
    <phoneticPr fontId="2" type="noConversion"/>
  </si>
  <si>
    <t>신작</t>
    <phoneticPr fontId="2" type="noConversion"/>
  </si>
  <si>
    <t>BF1-FA078A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</si>
  <si>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</si>
  <si>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</si>
  <si>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t>사출 모터이상,사출축 수리</t>
    <phoneticPr fontId="2" type="noConversion"/>
  </si>
  <si>
    <r>
      <t>2017년 05월 30일 일일생산현황</t>
    </r>
    <r>
      <rPr>
        <b/>
        <sz val="14"/>
        <color indexed="8"/>
        <rFont val="굴림체"/>
        <family val="3"/>
        <charset val="129"/>
      </rPr>
      <t>(31일(수) 09시 현재)</t>
    </r>
    <phoneticPr fontId="2" type="noConversion"/>
  </si>
  <si>
    <t>STOPPER</t>
    <phoneticPr fontId="2" type="noConversion"/>
  </si>
  <si>
    <t>K-JR01911-D432AZA</t>
    <phoneticPr fontId="2" type="noConversion"/>
  </si>
  <si>
    <t>SGP2020R</t>
    <phoneticPr fontId="2" type="noConversion"/>
  </si>
  <si>
    <t>HICON</t>
    <phoneticPr fontId="2" type="noConversion"/>
  </si>
  <si>
    <t>CONTACTOR</t>
    <phoneticPr fontId="2" type="noConversion"/>
  </si>
  <si>
    <t>2829H-05-007</t>
    <phoneticPr fontId="2" type="noConversion"/>
  </si>
  <si>
    <t>SGF2050</t>
    <phoneticPr fontId="2" type="noConversion"/>
  </si>
  <si>
    <t>MCS</t>
    <phoneticPr fontId="2" type="noConversion"/>
  </si>
  <si>
    <t>ACTUATOR</t>
    <phoneticPr fontId="2" type="noConversion"/>
  </si>
  <si>
    <t>AMB1904E-KAA-R1</t>
    <phoneticPr fontId="2" type="noConversion"/>
  </si>
  <si>
    <t>SGF2050 N/P</t>
    <phoneticPr fontId="2" type="noConversion"/>
  </si>
  <si>
    <t>LEAD GUIDE</t>
    <phoneticPr fontId="2" type="noConversion"/>
  </si>
  <si>
    <t>K-JR01911-F432AWA</t>
    <phoneticPr fontId="2" type="noConversion"/>
  </si>
  <si>
    <t>전일 ISSUE 사항(30일)</t>
    <phoneticPr fontId="2" type="noConversion"/>
  </si>
  <si>
    <t>STOPPER</t>
    <phoneticPr fontId="2" type="noConversion"/>
  </si>
  <si>
    <t>K-JR01911-D432AZA</t>
    <phoneticPr fontId="2" type="noConversion"/>
  </si>
  <si>
    <t>4</t>
    <phoneticPr fontId="2" type="noConversion"/>
  </si>
  <si>
    <t>14</t>
    <phoneticPr fontId="2" type="noConversion"/>
  </si>
  <si>
    <t>K-JR01911-F432AWA</t>
    <phoneticPr fontId="2" type="noConversion"/>
  </si>
  <si>
    <t>HICON</t>
    <phoneticPr fontId="2" type="noConversion"/>
  </si>
  <si>
    <t>CONTACTOR</t>
    <phoneticPr fontId="2" type="noConversion"/>
  </si>
  <si>
    <t>2829H-05-007</t>
    <phoneticPr fontId="2" type="noConversion"/>
  </si>
  <si>
    <t>불량분양산</t>
    <phoneticPr fontId="2" type="noConversion"/>
  </si>
  <si>
    <t>MCS</t>
    <phoneticPr fontId="2" type="noConversion"/>
  </si>
  <si>
    <t>6</t>
    <phoneticPr fontId="2" type="noConversion"/>
  </si>
  <si>
    <t>ACTUATOR</t>
    <phoneticPr fontId="2" type="noConversion"/>
  </si>
  <si>
    <t>AMB1904E-KAA-R1</t>
    <phoneticPr fontId="2" type="noConversion"/>
  </si>
  <si>
    <t>수정확인후양산</t>
    <phoneticPr fontId="2" type="noConversion"/>
  </si>
  <si>
    <t>당일 진행 사항(31일)</t>
    <phoneticPr fontId="2" type="noConversion"/>
  </si>
  <si>
    <t>5</t>
    <phoneticPr fontId="2" type="noConversion"/>
  </si>
  <si>
    <t>SLIDER</t>
    <phoneticPr fontId="2" type="noConversion"/>
  </si>
  <si>
    <t>K-JR01911-A432AWA</t>
    <phoneticPr fontId="2" type="noConversion"/>
  </si>
  <si>
    <t>승인후양산</t>
    <phoneticPr fontId="2" type="noConversion"/>
  </si>
  <si>
    <t>12</t>
    <phoneticPr fontId="2" type="noConversion"/>
  </si>
  <si>
    <t>ADAPTER</t>
    <phoneticPr fontId="2" type="noConversion"/>
  </si>
  <si>
    <t>K-JR01911-G01HBA</t>
    <phoneticPr fontId="2" type="noConversion"/>
  </si>
  <si>
    <t>SPACER 1,2</t>
    <phoneticPr fontId="2" type="noConversion"/>
  </si>
  <si>
    <t>AMB3911/3912</t>
    <phoneticPr fontId="2" type="noConversion"/>
  </si>
  <si>
    <t>발주분양산</t>
    <phoneticPr fontId="2" type="noConversion"/>
  </si>
  <si>
    <t>11</t>
    <phoneticPr fontId="2" type="noConversion"/>
  </si>
  <si>
    <t>BODY</t>
    <phoneticPr fontId="2" type="noConversion"/>
  </si>
  <si>
    <t>AMB0104J-KAA-R2</t>
    <phoneticPr fontId="2" type="noConversion"/>
  </si>
  <si>
    <t>ACTUATOR</t>
    <phoneticPr fontId="2" type="noConversion"/>
  </si>
  <si>
    <t>AMB0226A-KAA-R1</t>
    <phoneticPr fontId="2" type="noConversion"/>
  </si>
  <si>
    <t>AMB1918A-KAA-R1</t>
    <phoneticPr fontId="2" type="noConversion"/>
  </si>
  <si>
    <t>SAMPLE 진행 사항(30일)</t>
    <phoneticPr fontId="2" type="noConversion"/>
  </si>
  <si>
    <t>SLIDER</t>
    <phoneticPr fontId="2" type="noConversion"/>
  </si>
  <si>
    <t>JR01911-A432AWA</t>
    <phoneticPr fontId="2" type="noConversion"/>
  </si>
  <si>
    <t>SGF2030</t>
    <phoneticPr fontId="2" type="noConversion"/>
  </si>
  <si>
    <t>SGF2050 N/P</t>
    <phoneticPr fontId="2" type="noConversion"/>
  </si>
  <si>
    <t>옵션</t>
    <phoneticPr fontId="2" type="noConversion"/>
  </si>
  <si>
    <t>개발실</t>
    <phoneticPr fontId="2" type="noConversion"/>
  </si>
  <si>
    <t>금형 수리 내역(30일)</t>
    <phoneticPr fontId="2" type="noConversion"/>
  </si>
  <si>
    <t>설비 점검 내역(30일)</t>
    <phoneticPr fontId="2" type="noConversion"/>
  </si>
  <si>
    <r>
      <t>2017년 05월 31일 일일생산현황</t>
    </r>
    <r>
      <rPr>
        <b/>
        <sz val="14"/>
        <color indexed="8"/>
        <rFont val="굴림체"/>
        <family val="3"/>
        <charset val="129"/>
      </rPr>
      <t>(01일(목) 09시 현재)</t>
    </r>
    <phoneticPr fontId="2" type="noConversion"/>
  </si>
  <si>
    <t>SPACER1,2</t>
    <phoneticPr fontId="2" type="noConversion"/>
  </si>
  <si>
    <t>AMB3911/3912A-KAA-R1</t>
    <phoneticPr fontId="2" type="noConversion"/>
  </si>
  <si>
    <t>2*1</t>
    <phoneticPr fontId="2" type="noConversion"/>
  </si>
  <si>
    <t>AMB0226A-KAA-R1</t>
    <phoneticPr fontId="2" type="noConversion"/>
  </si>
  <si>
    <t>SF2255</t>
    <phoneticPr fontId="2" type="noConversion"/>
  </si>
  <si>
    <t>BODY</t>
    <phoneticPr fontId="2" type="noConversion"/>
  </si>
  <si>
    <t>AMB0104J-KAA-R2</t>
    <phoneticPr fontId="2" type="noConversion"/>
  </si>
  <si>
    <t>ACTUATOR</t>
    <phoneticPr fontId="2" type="noConversion"/>
  </si>
  <si>
    <t>AMB1918A-KAA-R1</t>
    <phoneticPr fontId="2" type="noConversion"/>
  </si>
  <si>
    <t>22P(4P)</t>
    <phoneticPr fontId="2" type="noConversion"/>
  </si>
  <si>
    <t>전일 ISSUE 사항(31일)</t>
    <phoneticPr fontId="2" type="noConversion"/>
  </si>
  <si>
    <t>MCS</t>
    <phoneticPr fontId="2" type="noConversion"/>
  </si>
  <si>
    <t>AMB0226A-KAA-R1</t>
    <phoneticPr fontId="2" type="noConversion"/>
  </si>
  <si>
    <t>발주분양산-&gt;게이트BURR정지</t>
    <phoneticPr fontId="2" type="noConversion"/>
  </si>
  <si>
    <t>11</t>
    <phoneticPr fontId="2" type="noConversion"/>
  </si>
  <si>
    <t>발주분양산</t>
    <phoneticPr fontId="2" type="noConversion"/>
  </si>
  <si>
    <t>HICON</t>
    <phoneticPr fontId="2" type="noConversion"/>
  </si>
  <si>
    <t>10</t>
    <phoneticPr fontId="2" type="noConversion"/>
  </si>
  <si>
    <t>COVER</t>
    <phoneticPr fontId="2" type="noConversion"/>
  </si>
  <si>
    <t>HSB75-M01A3</t>
    <phoneticPr fontId="2" type="noConversion"/>
  </si>
  <si>
    <t>발주분양산-&gt;수정정지</t>
    <phoneticPr fontId="2" type="noConversion"/>
  </si>
  <si>
    <t>BODY</t>
    <phoneticPr fontId="2" type="noConversion"/>
  </si>
  <si>
    <t>AMB0114E-JAA-R2</t>
    <phoneticPr fontId="2" type="noConversion"/>
  </si>
  <si>
    <t>세척후양산</t>
    <phoneticPr fontId="2" type="noConversion"/>
  </si>
  <si>
    <t>3</t>
    <phoneticPr fontId="2" type="noConversion"/>
  </si>
  <si>
    <t>AMB3911/3912</t>
    <phoneticPr fontId="2" type="noConversion"/>
  </si>
  <si>
    <t>14</t>
    <phoneticPr fontId="2" type="noConversion"/>
  </si>
  <si>
    <t>당일 진행 사항(01일)</t>
    <phoneticPr fontId="2" type="noConversion"/>
  </si>
  <si>
    <t>치수수정후양산</t>
    <phoneticPr fontId="2" type="noConversion"/>
  </si>
  <si>
    <t>STOPPER</t>
    <phoneticPr fontId="2" type="noConversion"/>
  </si>
  <si>
    <t>수리후양산</t>
    <phoneticPr fontId="2" type="noConversion"/>
  </si>
  <si>
    <t>SAMPLE 진행 사항(31일)</t>
    <phoneticPr fontId="2" type="noConversion"/>
  </si>
  <si>
    <t>금형 수리 내역(31일)</t>
    <phoneticPr fontId="2" type="noConversion"/>
  </si>
  <si>
    <t>설비 점검 내역(31일)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</si>
</sst>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23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/>
    </xf>
    <xf numFmtId="41" fontId="8" fillId="0" borderId="6" xfId="4" applyFont="1" applyFill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Fill="1" applyBorder="1" applyAlignment="1">
      <alignment horizontal="center" vertical="center"/>
    </xf>
    <xf numFmtId="9" fontId="9" fillId="0" borderId="7" xfId="3" applyFont="1" applyFill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178" fontId="8" fillId="0" borderId="10" xfId="4" applyNumberFormat="1" applyFont="1" applyFill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9" xfId="4" applyFont="1" applyFill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 wrapText="1"/>
    </xf>
    <xf numFmtId="41" fontId="4" fillId="0" borderId="7" xfId="4" applyFont="1" applyFill="1" applyBorder="1" applyAlignment="1">
      <alignment horizontal="center" vertical="center" wrapText="1"/>
    </xf>
    <xf numFmtId="41" fontId="8" fillId="0" borderId="4" xfId="4" applyFont="1" applyFill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 wrapText="1"/>
    </xf>
    <xf numFmtId="41" fontId="8" fillId="0" borderId="8" xfId="4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Fill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Fill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shrinkToFit="1"/>
    </xf>
    <xf numFmtId="0" fontId="8" fillId="0" borderId="9" xfId="2" applyFont="1" applyFill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1" fillId="0" borderId="0" xfId="2" applyFont="1" applyBorder="1">
      <alignment vertical="center"/>
    </xf>
    <xf numFmtId="178" fontId="11" fillId="0" borderId="0" xfId="4" applyNumberFormat="1" applyFont="1" applyBorder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shrinkToFit="1"/>
    </xf>
    <xf numFmtId="41" fontId="13" fillId="0" borderId="0" xfId="4" applyFont="1" applyBorder="1" applyAlignment="1">
      <alignment vertical="center"/>
    </xf>
    <xf numFmtId="49" fontId="13" fillId="0" borderId="0" xfId="2" applyNumberFormat="1" applyFont="1" applyBorder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0" fontId="17" fillId="0" borderId="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42" fontId="15" fillId="0" borderId="3" xfId="7" applyFont="1" applyBorder="1" applyAlignment="1">
      <alignment horizontal="center" vertical="center"/>
    </xf>
    <xf numFmtId="0" fontId="15" fillId="0" borderId="3" xfId="2" applyFont="1" applyBorder="1" applyAlignment="1">
      <alignment horizontal="left" vertical="center"/>
    </xf>
    <xf numFmtId="0" fontId="15" fillId="0" borderId="7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2" fillId="0" borderId="20" xfId="2" applyFont="1" applyBorder="1" applyAlignment="1">
      <alignment horizontal="left" vertical="center"/>
    </xf>
    <xf numFmtId="0" fontId="12" fillId="0" borderId="30" xfId="2" applyFont="1" applyBorder="1" applyAlignment="1">
      <alignment horizontal="left" vertical="center"/>
    </xf>
  </cellXfs>
  <cellStyles count="3845">
    <cellStyle name="_x0002_._x0011__x0002_._x001b__x0002_ _x0015_%_x0018__x0001_" xfId="3128"/>
    <cellStyle name="?" xfId="3129"/>
    <cellStyle name="20% - 강조색1 2" xfId="10"/>
    <cellStyle name="20% - 강조색1 2 10" xfId="11"/>
    <cellStyle name="20% - 강조색1 2 10 2" xfId="12"/>
    <cellStyle name="20% - 강조색1 2 10 3" xfId="13"/>
    <cellStyle name="20% - 강조색1 2 10 4" xfId="14"/>
    <cellStyle name="20% - 강조색1 2 10 5" xfId="15"/>
    <cellStyle name="20% - 강조색1 2 10 6" xfId="16"/>
    <cellStyle name="20% - 강조색1 2 11" xfId="17"/>
    <cellStyle name="20% - 강조색1 2 11 2" xfId="18"/>
    <cellStyle name="20% - 강조색1 2 11 3" xfId="19"/>
    <cellStyle name="20% - 강조색1 2 11 4" xfId="20"/>
    <cellStyle name="20% - 강조색1 2 11 5" xfId="21"/>
    <cellStyle name="20% - 강조색1 2 11 6" xfId="22"/>
    <cellStyle name="20% - 강조색1 2 12" xfId="23"/>
    <cellStyle name="20% - 강조색1 2 12 2" xfId="24"/>
    <cellStyle name="20% - 강조색1 2 12 3" xfId="25"/>
    <cellStyle name="20% - 강조색1 2 12 4" xfId="26"/>
    <cellStyle name="20% - 강조색1 2 12 5" xfId="27"/>
    <cellStyle name="20% - 강조색1 2 12 6" xfId="28"/>
    <cellStyle name="20% - 강조색1 2 13" xfId="29"/>
    <cellStyle name="20% - 강조색1 2 13 2" xfId="30"/>
    <cellStyle name="20% - 강조색1 2 13 3" xfId="31"/>
    <cellStyle name="20% - 강조색1 2 13 4" xfId="32"/>
    <cellStyle name="20% - 강조색1 2 13 5" xfId="33"/>
    <cellStyle name="20% - 강조색1 2 13 6" xfId="34"/>
    <cellStyle name="20% - 강조색1 2 14" xfId="35"/>
    <cellStyle name="20% - 강조색1 2 14 2" xfId="36"/>
    <cellStyle name="20% - 강조색1 2 14 3" xfId="37"/>
    <cellStyle name="20% - 강조색1 2 14 4" xfId="38"/>
    <cellStyle name="20% - 강조색1 2 14 5" xfId="39"/>
    <cellStyle name="20% - 강조색1 2 14 6" xfId="40"/>
    <cellStyle name="20% - 강조색1 2 15" xfId="41"/>
    <cellStyle name="20% - 강조색1 2 16" xfId="42"/>
    <cellStyle name="20% - 강조색1 2 17" xfId="43"/>
    <cellStyle name="20% - 강조색1 2 18" xfId="44"/>
    <cellStyle name="20% - 강조색1 2 19" xfId="45"/>
    <cellStyle name="20% - 강조색1 2 2" xfId="46"/>
    <cellStyle name="20% - 강조색1 2 2 2" xfId="47"/>
    <cellStyle name="20% - 강조색1 2 2 3" xfId="48"/>
    <cellStyle name="20% - 강조색1 2 2 4" xfId="49"/>
    <cellStyle name="20% - 강조색1 2 2 5" xfId="50"/>
    <cellStyle name="20% - 강조색1 2 2 6" xfId="51"/>
    <cellStyle name="20% - 강조색1 2 3" xfId="52"/>
    <cellStyle name="20% - 강조색1 2 3 2" xfId="53"/>
    <cellStyle name="20% - 강조색1 2 3 3" xfId="54"/>
    <cellStyle name="20% - 강조색1 2 3 4" xfId="55"/>
    <cellStyle name="20% - 강조색1 2 3 5" xfId="56"/>
    <cellStyle name="20% - 강조색1 2 3 6" xfId="57"/>
    <cellStyle name="20% - 강조색1 2 4" xfId="58"/>
    <cellStyle name="20% - 강조색1 2 4 2" xfId="59"/>
    <cellStyle name="20% - 강조색1 2 4 3" xfId="60"/>
    <cellStyle name="20% - 강조색1 2 4 4" xfId="61"/>
    <cellStyle name="20% - 강조색1 2 4 5" xfId="62"/>
    <cellStyle name="20% - 강조색1 2 4 6" xfId="63"/>
    <cellStyle name="20% - 강조색1 2 5" xfId="64"/>
    <cellStyle name="20% - 강조색1 2 5 2" xfId="65"/>
    <cellStyle name="20% - 강조색1 2 5 3" xfId="66"/>
    <cellStyle name="20% - 강조색1 2 5 4" xfId="67"/>
    <cellStyle name="20% - 강조색1 2 5 5" xfId="68"/>
    <cellStyle name="20% - 강조색1 2 5 6" xfId="69"/>
    <cellStyle name="20% - 강조색1 2 6" xfId="70"/>
    <cellStyle name="20% - 강조색1 2 6 2" xfId="71"/>
    <cellStyle name="20% - 강조색1 2 6 3" xfId="72"/>
    <cellStyle name="20% - 강조색1 2 6 4" xfId="73"/>
    <cellStyle name="20% - 강조색1 2 6 5" xfId="74"/>
    <cellStyle name="20% - 강조색1 2 6 6" xfId="75"/>
    <cellStyle name="20% - 강조색1 2 7" xfId="76"/>
    <cellStyle name="20% - 강조색1 2 7 2" xfId="77"/>
    <cellStyle name="20% - 강조색1 2 7 3" xfId="78"/>
    <cellStyle name="20% - 강조색1 2 7 4" xfId="79"/>
    <cellStyle name="20% - 강조색1 2 7 5" xfId="80"/>
    <cellStyle name="20% - 강조색1 2 7 6" xfId="81"/>
    <cellStyle name="20% - 강조색1 2 8" xfId="82"/>
    <cellStyle name="20% - 강조색1 2 8 2" xfId="83"/>
    <cellStyle name="20% - 강조색1 2 8 3" xfId="84"/>
    <cellStyle name="20% - 강조색1 2 8 4" xfId="85"/>
    <cellStyle name="20% - 강조색1 2 8 5" xfId="86"/>
    <cellStyle name="20% - 강조색1 2 8 6" xfId="87"/>
    <cellStyle name="20% - 강조색1 2 9" xfId="88"/>
    <cellStyle name="20% - 강조색1 2 9 2" xfId="89"/>
    <cellStyle name="20% - 강조색1 2 9 3" xfId="90"/>
    <cellStyle name="20% - 강조색1 2 9 4" xfId="91"/>
    <cellStyle name="20% - 강조색1 2 9 5" xfId="92"/>
    <cellStyle name="20% - 강조색1 2 9 6" xfId="93"/>
    <cellStyle name="20% - 강조색2 2" xfId="94"/>
    <cellStyle name="20% - 강조색2 2 10" xfId="95"/>
    <cellStyle name="20% - 강조색2 2 10 2" xfId="96"/>
    <cellStyle name="20% - 강조색2 2 10 3" xfId="97"/>
    <cellStyle name="20% - 강조색2 2 10 4" xfId="98"/>
    <cellStyle name="20% - 강조색2 2 10 5" xfId="99"/>
    <cellStyle name="20% - 강조색2 2 10 6" xfId="100"/>
    <cellStyle name="20% - 강조색2 2 11" xfId="101"/>
    <cellStyle name="20% - 강조색2 2 11 2" xfId="102"/>
    <cellStyle name="20% - 강조색2 2 11 3" xfId="103"/>
    <cellStyle name="20% - 강조색2 2 11 4" xfId="104"/>
    <cellStyle name="20% - 강조색2 2 11 5" xfId="105"/>
    <cellStyle name="20% - 강조색2 2 11 6" xfId="106"/>
    <cellStyle name="20% - 강조색2 2 12" xfId="107"/>
    <cellStyle name="20% - 강조색2 2 12 2" xfId="108"/>
    <cellStyle name="20% - 강조색2 2 12 3" xfId="109"/>
    <cellStyle name="20% - 강조색2 2 12 4" xfId="110"/>
    <cellStyle name="20% - 강조색2 2 12 5" xfId="111"/>
    <cellStyle name="20% - 강조색2 2 12 6" xfId="112"/>
    <cellStyle name="20% - 강조색2 2 13" xfId="113"/>
    <cellStyle name="20% - 강조색2 2 13 2" xfId="114"/>
    <cellStyle name="20% - 강조색2 2 13 3" xfId="115"/>
    <cellStyle name="20% - 강조색2 2 13 4" xfId="116"/>
    <cellStyle name="20% - 강조색2 2 13 5" xfId="117"/>
    <cellStyle name="20% - 강조색2 2 13 6" xfId="118"/>
    <cellStyle name="20% - 강조색2 2 14" xfId="119"/>
    <cellStyle name="20% - 강조색2 2 14 2" xfId="120"/>
    <cellStyle name="20% - 강조색2 2 14 3" xfId="121"/>
    <cellStyle name="20% - 강조색2 2 14 4" xfId="122"/>
    <cellStyle name="20% - 강조색2 2 14 5" xfId="123"/>
    <cellStyle name="20% - 강조색2 2 14 6" xfId="124"/>
    <cellStyle name="20% - 강조색2 2 15" xfId="125"/>
    <cellStyle name="20% - 강조색2 2 16" xfId="126"/>
    <cellStyle name="20% - 강조색2 2 17" xfId="127"/>
    <cellStyle name="20% - 강조색2 2 18" xfId="128"/>
    <cellStyle name="20% - 강조색2 2 19" xfId="129"/>
    <cellStyle name="20% - 강조색2 2 2" xfId="130"/>
    <cellStyle name="20% - 강조색2 2 2 2" xfId="131"/>
    <cellStyle name="20% - 강조색2 2 2 3" xfId="132"/>
    <cellStyle name="20% - 강조색2 2 2 4" xfId="133"/>
    <cellStyle name="20% - 강조색2 2 2 5" xfId="134"/>
    <cellStyle name="20% - 강조색2 2 2 6" xfId="135"/>
    <cellStyle name="20% - 강조색2 2 3" xfId="136"/>
    <cellStyle name="20% - 강조색2 2 3 2" xfId="137"/>
    <cellStyle name="20% - 강조색2 2 3 3" xfId="138"/>
    <cellStyle name="20% - 강조색2 2 3 4" xfId="139"/>
    <cellStyle name="20% - 강조색2 2 3 5" xfId="140"/>
    <cellStyle name="20% - 강조색2 2 3 6" xfId="141"/>
    <cellStyle name="20% - 강조색2 2 4" xfId="142"/>
    <cellStyle name="20% - 강조색2 2 4 2" xfId="143"/>
    <cellStyle name="20% - 강조색2 2 4 3" xfId="144"/>
    <cellStyle name="20% - 강조색2 2 4 4" xfId="145"/>
    <cellStyle name="20% - 강조색2 2 4 5" xfId="146"/>
    <cellStyle name="20% - 강조색2 2 4 6" xfId="147"/>
    <cellStyle name="20% - 강조색2 2 5" xfId="148"/>
    <cellStyle name="20% - 강조색2 2 5 2" xfId="149"/>
    <cellStyle name="20% - 강조색2 2 5 3" xfId="150"/>
    <cellStyle name="20% - 강조색2 2 5 4" xfId="151"/>
    <cellStyle name="20% - 강조색2 2 5 5" xfId="152"/>
    <cellStyle name="20% - 강조색2 2 5 6" xfId="153"/>
    <cellStyle name="20% - 강조색2 2 6" xfId="154"/>
    <cellStyle name="20% - 강조색2 2 6 2" xfId="155"/>
    <cellStyle name="20% - 강조색2 2 6 3" xfId="156"/>
    <cellStyle name="20% - 강조색2 2 6 4" xfId="157"/>
    <cellStyle name="20% - 강조색2 2 6 5" xfId="158"/>
    <cellStyle name="20% - 강조색2 2 6 6" xfId="159"/>
    <cellStyle name="20% - 강조색2 2 7" xfId="160"/>
    <cellStyle name="20% - 강조색2 2 7 2" xfId="161"/>
    <cellStyle name="20% - 강조색2 2 7 3" xfId="162"/>
    <cellStyle name="20% - 강조색2 2 7 4" xfId="163"/>
    <cellStyle name="20% - 강조색2 2 7 5" xfId="164"/>
    <cellStyle name="20% - 강조색2 2 7 6" xfId="165"/>
    <cellStyle name="20% - 강조색2 2 8" xfId="166"/>
    <cellStyle name="20% - 강조색2 2 8 2" xfId="167"/>
    <cellStyle name="20% - 강조색2 2 8 3" xfId="168"/>
    <cellStyle name="20% - 강조색2 2 8 4" xfId="169"/>
    <cellStyle name="20% - 강조색2 2 8 5" xfId="170"/>
    <cellStyle name="20% - 강조색2 2 8 6" xfId="171"/>
    <cellStyle name="20% - 강조색2 2 9" xfId="172"/>
    <cellStyle name="20% - 강조색2 2 9 2" xfId="173"/>
    <cellStyle name="20% - 강조색2 2 9 3" xfId="174"/>
    <cellStyle name="20% - 강조색2 2 9 4" xfId="175"/>
    <cellStyle name="20% - 강조색2 2 9 5" xfId="176"/>
    <cellStyle name="20% - 강조색2 2 9 6" xfId="177"/>
    <cellStyle name="20% - 강조색3 2" xfId="178"/>
    <cellStyle name="20% - 강조색3 2 10" xfId="179"/>
    <cellStyle name="20% - 강조색3 2 10 2" xfId="180"/>
    <cellStyle name="20% - 강조색3 2 10 3" xfId="181"/>
    <cellStyle name="20% - 강조색3 2 10 4" xfId="182"/>
    <cellStyle name="20% - 강조색3 2 10 5" xfId="183"/>
    <cellStyle name="20% - 강조색3 2 10 6" xfId="184"/>
    <cellStyle name="20% - 강조색3 2 11" xfId="185"/>
    <cellStyle name="20% - 강조색3 2 11 2" xfId="186"/>
    <cellStyle name="20% - 강조색3 2 11 3" xfId="187"/>
    <cellStyle name="20% - 강조색3 2 11 4" xfId="188"/>
    <cellStyle name="20% - 강조색3 2 11 5" xfId="189"/>
    <cellStyle name="20% - 강조색3 2 11 6" xfId="190"/>
    <cellStyle name="20% - 강조색3 2 12" xfId="191"/>
    <cellStyle name="20% - 강조색3 2 12 2" xfId="192"/>
    <cellStyle name="20% - 강조색3 2 12 3" xfId="193"/>
    <cellStyle name="20% - 강조색3 2 12 4" xfId="194"/>
    <cellStyle name="20% - 강조색3 2 12 5" xfId="195"/>
    <cellStyle name="20% - 강조색3 2 12 6" xfId="196"/>
    <cellStyle name="20% - 강조색3 2 13" xfId="197"/>
    <cellStyle name="20% - 강조색3 2 13 2" xfId="198"/>
    <cellStyle name="20% - 강조색3 2 13 3" xfId="199"/>
    <cellStyle name="20% - 강조색3 2 13 4" xfId="200"/>
    <cellStyle name="20% - 강조색3 2 13 5" xfId="201"/>
    <cellStyle name="20% - 강조색3 2 13 6" xfId="202"/>
    <cellStyle name="20% - 강조색3 2 14" xfId="203"/>
    <cellStyle name="20% - 강조색3 2 14 2" xfId="204"/>
    <cellStyle name="20% - 강조색3 2 14 3" xfId="205"/>
    <cellStyle name="20% - 강조색3 2 14 4" xfId="206"/>
    <cellStyle name="20% - 강조색3 2 14 5" xfId="207"/>
    <cellStyle name="20% - 강조색3 2 14 6" xfId="208"/>
    <cellStyle name="20% - 강조색3 2 15" xfId="209"/>
    <cellStyle name="20% - 강조색3 2 16" xfId="210"/>
    <cellStyle name="20% - 강조색3 2 17" xfId="211"/>
    <cellStyle name="20% - 강조색3 2 18" xfId="212"/>
    <cellStyle name="20% - 강조색3 2 19" xfId="213"/>
    <cellStyle name="20% - 강조색3 2 2" xfId="214"/>
    <cellStyle name="20% - 강조색3 2 2 2" xfId="215"/>
    <cellStyle name="20% - 강조색3 2 2 3" xfId="216"/>
    <cellStyle name="20% - 강조색3 2 2 4" xfId="217"/>
    <cellStyle name="20% - 강조색3 2 2 5" xfId="218"/>
    <cellStyle name="20% - 강조색3 2 2 6" xfId="219"/>
    <cellStyle name="20% - 강조색3 2 3" xfId="220"/>
    <cellStyle name="20% - 강조색3 2 3 2" xfId="221"/>
    <cellStyle name="20% - 강조색3 2 3 3" xfId="222"/>
    <cellStyle name="20% - 강조색3 2 3 4" xfId="223"/>
    <cellStyle name="20% - 강조색3 2 3 5" xfId="224"/>
    <cellStyle name="20% - 강조색3 2 3 6" xfId="225"/>
    <cellStyle name="20% - 강조색3 2 4" xfId="226"/>
    <cellStyle name="20% - 강조색3 2 4 2" xfId="227"/>
    <cellStyle name="20% - 강조색3 2 4 3" xfId="228"/>
    <cellStyle name="20% - 강조색3 2 4 4" xfId="229"/>
    <cellStyle name="20% - 강조색3 2 4 5" xfId="230"/>
    <cellStyle name="20% - 강조색3 2 4 6" xfId="231"/>
    <cellStyle name="20% - 강조색3 2 5" xfId="232"/>
    <cellStyle name="20% - 강조색3 2 5 2" xfId="233"/>
    <cellStyle name="20% - 강조색3 2 5 3" xfId="234"/>
    <cellStyle name="20% - 강조색3 2 5 4" xfId="235"/>
    <cellStyle name="20% - 강조색3 2 5 5" xfId="236"/>
    <cellStyle name="20% - 강조색3 2 5 6" xfId="237"/>
    <cellStyle name="20% - 강조색3 2 6" xfId="238"/>
    <cellStyle name="20% - 강조색3 2 6 2" xfId="239"/>
    <cellStyle name="20% - 강조색3 2 6 3" xfId="240"/>
    <cellStyle name="20% - 강조색3 2 6 4" xfId="241"/>
    <cellStyle name="20% - 강조색3 2 6 5" xfId="242"/>
    <cellStyle name="20% - 강조색3 2 6 6" xfId="243"/>
    <cellStyle name="20% - 강조색3 2 7" xfId="244"/>
    <cellStyle name="20% - 강조색3 2 7 2" xfId="245"/>
    <cellStyle name="20% - 강조색3 2 7 3" xfId="246"/>
    <cellStyle name="20% - 강조색3 2 7 4" xfId="247"/>
    <cellStyle name="20% - 강조색3 2 7 5" xfId="248"/>
    <cellStyle name="20% - 강조색3 2 7 6" xfId="249"/>
    <cellStyle name="20% - 강조색3 2 8" xfId="250"/>
    <cellStyle name="20% - 강조색3 2 8 2" xfId="251"/>
    <cellStyle name="20% - 강조색3 2 8 3" xfId="252"/>
    <cellStyle name="20% - 강조색3 2 8 4" xfId="253"/>
    <cellStyle name="20% - 강조색3 2 8 5" xfId="254"/>
    <cellStyle name="20% - 강조색3 2 8 6" xfId="255"/>
    <cellStyle name="20% - 강조색3 2 9" xfId="256"/>
    <cellStyle name="20% - 강조색3 2 9 2" xfId="257"/>
    <cellStyle name="20% - 강조색3 2 9 3" xfId="258"/>
    <cellStyle name="20% - 강조색3 2 9 4" xfId="259"/>
    <cellStyle name="20% - 강조색3 2 9 5" xfId="260"/>
    <cellStyle name="20% - 강조색3 2 9 6" xfId="261"/>
    <cellStyle name="20% - 강조색4 2" xfId="262"/>
    <cellStyle name="20% - 강조색4 2 10" xfId="263"/>
    <cellStyle name="20% - 강조색4 2 10 2" xfId="264"/>
    <cellStyle name="20% - 강조색4 2 10 3" xfId="265"/>
    <cellStyle name="20% - 강조색4 2 10 4" xfId="266"/>
    <cellStyle name="20% - 강조색4 2 10 5" xfId="267"/>
    <cellStyle name="20% - 강조색4 2 10 6" xfId="268"/>
    <cellStyle name="20% - 강조색4 2 11" xfId="269"/>
    <cellStyle name="20% - 강조색4 2 11 2" xfId="270"/>
    <cellStyle name="20% - 강조색4 2 11 3" xfId="271"/>
    <cellStyle name="20% - 강조색4 2 11 4" xfId="272"/>
    <cellStyle name="20% - 강조색4 2 11 5" xfId="273"/>
    <cellStyle name="20% - 강조색4 2 11 6" xfId="274"/>
    <cellStyle name="20% - 강조색4 2 12" xfId="275"/>
    <cellStyle name="20% - 강조색4 2 12 2" xfId="276"/>
    <cellStyle name="20% - 강조색4 2 12 3" xfId="277"/>
    <cellStyle name="20% - 강조색4 2 12 4" xfId="278"/>
    <cellStyle name="20% - 강조색4 2 12 5" xfId="279"/>
    <cellStyle name="20% - 강조색4 2 12 6" xfId="280"/>
    <cellStyle name="20% - 강조색4 2 13" xfId="281"/>
    <cellStyle name="20% - 강조색4 2 13 2" xfId="282"/>
    <cellStyle name="20% - 강조색4 2 13 3" xfId="283"/>
    <cellStyle name="20% - 강조색4 2 13 4" xfId="284"/>
    <cellStyle name="20% - 강조색4 2 13 5" xfId="285"/>
    <cellStyle name="20% - 강조색4 2 13 6" xfId="286"/>
    <cellStyle name="20% - 강조색4 2 14" xfId="287"/>
    <cellStyle name="20% - 강조색4 2 14 2" xfId="288"/>
    <cellStyle name="20% - 강조색4 2 14 3" xfId="289"/>
    <cellStyle name="20% - 강조색4 2 14 4" xfId="290"/>
    <cellStyle name="20% - 강조색4 2 14 5" xfId="291"/>
    <cellStyle name="20% - 강조색4 2 14 6" xfId="292"/>
    <cellStyle name="20% - 강조색4 2 15" xfId="293"/>
    <cellStyle name="20% - 강조색4 2 16" xfId="294"/>
    <cellStyle name="20% - 강조색4 2 17" xfId="295"/>
    <cellStyle name="20% - 강조색4 2 18" xfId="296"/>
    <cellStyle name="20% - 강조색4 2 19" xfId="297"/>
    <cellStyle name="20% - 강조색4 2 2" xfId="298"/>
    <cellStyle name="20% - 강조색4 2 2 2" xfId="299"/>
    <cellStyle name="20% - 강조색4 2 2 3" xfId="300"/>
    <cellStyle name="20% - 강조색4 2 2 4" xfId="301"/>
    <cellStyle name="20% - 강조색4 2 2 5" xfId="302"/>
    <cellStyle name="20% - 강조색4 2 2 6" xfId="303"/>
    <cellStyle name="20% - 강조색4 2 3" xfId="304"/>
    <cellStyle name="20% - 강조색4 2 3 2" xfId="305"/>
    <cellStyle name="20% - 강조색4 2 3 3" xfId="306"/>
    <cellStyle name="20% - 강조색4 2 3 4" xfId="307"/>
    <cellStyle name="20% - 강조색4 2 3 5" xfId="308"/>
    <cellStyle name="20% - 강조색4 2 3 6" xfId="309"/>
    <cellStyle name="20% - 강조색4 2 4" xfId="310"/>
    <cellStyle name="20% - 강조색4 2 4 2" xfId="311"/>
    <cellStyle name="20% - 강조색4 2 4 3" xfId="312"/>
    <cellStyle name="20% - 강조색4 2 4 4" xfId="313"/>
    <cellStyle name="20% - 강조색4 2 4 5" xfId="314"/>
    <cellStyle name="20% - 강조색4 2 4 6" xfId="315"/>
    <cellStyle name="20% - 강조색4 2 5" xfId="316"/>
    <cellStyle name="20% - 강조색4 2 5 2" xfId="317"/>
    <cellStyle name="20% - 강조색4 2 5 3" xfId="318"/>
    <cellStyle name="20% - 강조색4 2 5 4" xfId="319"/>
    <cellStyle name="20% - 강조색4 2 5 5" xfId="320"/>
    <cellStyle name="20% - 강조색4 2 5 6" xfId="321"/>
    <cellStyle name="20% - 강조색4 2 6" xfId="322"/>
    <cellStyle name="20% - 강조색4 2 6 2" xfId="323"/>
    <cellStyle name="20% - 강조색4 2 6 3" xfId="324"/>
    <cellStyle name="20% - 강조색4 2 6 4" xfId="325"/>
    <cellStyle name="20% - 강조색4 2 6 5" xfId="326"/>
    <cellStyle name="20% - 강조색4 2 6 6" xfId="327"/>
    <cellStyle name="20% - 강조색4 2 7" xfId="328"/>
    <cellStyle name="20% - 강조색4 2 7 2" xfId="329"/>
    <cellStyle name="20% - 강조색4 2 7 3" xfId="330"/>
    <cellStyle name="20% - 강조색4 2 7 4" xfId="331"/>
    <cellStyle name="20% - 강조색4 2 7 5" xfId="332"/>
    <cellStyle name="20% - 강조색4 2 7 6" xfId="333"/>
    <cellStyle name="20% - 강조색4 2 8" xfId="334"/>
    <cellStyle name="20% - 강조색4 2 8 2" xfId="335"/>
    <cellStyle name="20% - 강조색4 2 8 3" xfId="336"/>
    <cellStyle name="20% - 강조색4 2 8 4" xfId="337"/>
    <cellStyle name="20% - 강조색4 2 8 5" xfId="338"/>
    <cellStyle name="20% - 강조색4 2 8 6" xfId="339"/>
    <cellStyle name="20% - 강조색4 2 9" xfId="340"/>
    <cellStyle name="20% - 강조색4 2 9 2" xfId="341"/>
    <cellStyle name="20% - 강조색4 2 9 3" xfId="342"/>
    <cellStyle name="20% - 강조색4 2 9 4" xfId="343"/>
    <cellStyle name="20% - 강조색4 2 9 5" xfId="344"/>
    <cellStyle name="20% - 강조색4 2 9 6" xfId="345"/>
    <cellStyle name="20% - 강조색5 2" xfId="346"/>
    <cellStyle name="20% - 강조색5 2 10" xfId="347"/>
    <cellStyle name="20% - 강조색5 2 10 2" xfId="348"/>
    <cellStyle name="20% - 강조색5 2 10 3" xfId="349"/>
    <cellStyle name="20% - 강조색5 2 10 4" xfId="350"/>
    <cellStyle name="20% - 강조색5 2 10 5" xfId="351"/>
    <cellStyle name="20% - 강조색5 2 10 6" xfId="352"/>
    <cellStyle name="20% - 강조색5 2 11" xfId="353"/>
    <cellStyle name="20% - 강조색5 2 11 2" xfId="354"/>
    <cellStyle name="20% - 강조색5 2 11 3" xfId="355"/>
    <cellStyle name="20% - 강조색5 2 11 4" xfId="356"/>
    <cellStyle name="20% - 강조색5 2 11 5" xfId="357"/>
    <cellStyle name="20% - 강조색5 2 11 6" xfId="358"/>
    <cellStyle name="20% - 강조색5 2 12" xfId="359"/>
    <cellStyle name="20% - 강조색5 2 12 2" xfId="360"/>
    <cellStyle name="20% - 강조색5 2 12 3" xfId="361"/>
    <cellStyle name="20% - 강조색5 2 12 4" xfId="362"/>
    <cellStyle name="20% - 강조색5 2 12 5" xfId="363"/>
    <cellStyle name="20% - 강조색5 2 12 6" xfId="364"/>
    <cellStyle name="20% - 강조색5 2 13" xfId="365"/>
    <cellStyle name="20% - 강조색5 2 13 2" xfId="366"/>
    <cellStyle name="20% - 강조색5 2 13 3" xfId="367"/>
    <cellStyle name="20% - 강조색5 2 13 4" xfId="368"/>
    <cellStyle name="20% - 강조색5 2 13 5" xfId="369"/>
    <cellStyle name="20% - 강조색5 2 13 6" xfId="370"/>
    <cellStyle name="20% - 강조색5 2 14" xfId="371"/>
    <cellStyle name="20% - 강조색5 2 14 2" xfId="372"/>
    <cellStyle name="20% - 강조색5 2 14 3" xfId="373"/>
    <cellStyle name="20% - 강조색5 2 14 4" xfId="374"/>
    <cellStyle name="20% - 강조색5 2 14 5" xfId="375"/>
    <cellStyle name="20% - 강조색5 2 14 6" xfId="376"/>
    <cellStyle name="20% - 강조색5 2 15" xfId="377"/>
    <cellStyle name="20% - 강조색5 2 16" xfId="378"/>
    <cellStyle name="20% - 강조색5 2 17" xfId="379"/>
    <cellStyle name="20% - 강조색5 2 18" xfId="380"/>
    <cellStyle name="20% - 강조색5 2 19" xfId="381"/>
    <cellStyle name="20% - 강조색5 2 2" xfId="382"/>
    <cellStyle name="20% - 강조색5 2 2 2" xfId="383"/>
    <cellStyle name="20% - 강조색5 2 2 3" xfId="384"/>
    <cellStyle name="20% - 강조색5 2 2 4" xfId="385"/>
    <cellStyle name="20% - 강조색5 2 2 5" xfId="386"/>
    <cellStyle name="20% - 강조색5 2 2 6" xfId="387"/>
    <cellStyle name="20% - 강조색5 2 3" xfId="388"/>
    <cellStyle name="20% - 강조색5 2 3 2" xfId="389"/>
    <cellStyle name="20% - 강조색5 2 3 3" xfId="390"/>
    <cellStyle name="20% - 강조색5 2 3 4" xfId="391"/>
    <cellStyle name="20% - 강조색5 2 3 5" xfId="392"/>
    <cellStyle name="20% - 강조색5 2 3 6" xfId="393"/>
    <cellStyle name="20% - 강조색5 2 4" xfId="394"/>
    <cellStyle name="20% - 강조색5 2 4 2" xfId="395"/>
    <cellStyle name="20% - 강조색5 2 4 3" xfId="396"/>
    <cellStyle name="20% - 강조색5 2 4 4" xfId="397"/>
    <cellStyle name="20% - 강조색5 2 4 5" xfId="398"/>
    <cellStyle name="20% - 강조색5 2 4 6" xfId="399"/>
    <cellStyle name="20% - 강조색5 2 5" xfId="400"/>
    <cellStyle name="20% - 강조색5 2 5 2" xfId="401"/>
    <cellStyle name="20% - 강조색5 2 5 3" xfId="402"/>
    <cellStyle name="20% - 강조색5 2 5 4" xfId="403"/>
    <cellStyle name="20% - 강조색5 2 5 5" xfId="404"/>
    <cellStyle name="20% - 강조색5 2 5 6" xfId="405"/>
    <cellStyle name="20% - 강조색5 2 6" xfId="406"/>
    <cellStyle name="20% - 강조색5 2 6 2" xfId="407"/>
    <cellStyle name="20% - 강조색5 2 6 3" xfId="408"/>
    <cellStyle name="20% - 강조색5 2 6 4" xfId="409"/>
    <cellStyle name="20% - 강조색5 2 6 5" xfId="410"/>
    <cellStyle name="20% - 강조색5 2 6 6" xfId="411"/>
    <cellStyle name="20% - 강조색5 2 7" xfId="412"/>
    <cellStyle name="20% - 강조색5 2 7 2" xfId="413"/>
    <cellStyle name="20% - 강조색5 2 7 3" xfId="414"/>
    <cellStyle name="20% - 강조색5 2 7 4" xfId="415"/>
    <cellStyle name="20% - 강조색5 2 7 5" xfId="416"/>
    <cellStyle name="20% - 강조색5 2 7 6" xfId="417"/>
    <cellStyle name="20% - 강조색5 2 8" xfId="418"/>
    <cellStyle name="20% - 강조색5 2 8 2" xfId="419"/>
    <cellStyle name="20% - 강조색5 2 8 3" xfId="420"/>
    <cellStyle name="20% - 강조색5 2 8 4" xfId="421"/>
    <cellStyle name="20% - 강조색5 2 8 5" xfId="422"/>
    <cellStyle name="20% - 강조색5 2 8 6" xfId="423"/>
    <cellStyle name="20% - 강조색5 2 9" xfId="424"/>
    <cellStyle name="20% - 강조색5 2 9 2" xfId="425"/>
    <cellStyle name="20% - 강조색5 2 9 3" xfId="426"/>
    <cellStyle name="20% - 강조색5 2 9 4" xfId="427"/>
    <cellStyle name="20% - 강조색5 2 9 5" xfId="428"/>
    <cellStyle name="20% - 강조색5 2 9 6" xfId="429"/>
    <cellStyle name="20% - 강조색6 2" xfId="430"/>
    <cellStyle name="20% - 강조색6 2 10" xfId="431"/>
    <cellStyle name="20% - 강조색6 2 10 2" xfId="432"/>
    <cellStyle name="20% - 강조색6 2 10 3" xfId="433"/>
    <cellStyle name="20% - 강조색6 2 10 4" xfId="434"/>
    <cellStyle name="20% - 강조색6 2 10 5" xfId="435"/>
    <cellStyle name="20% - 강조색6 2 10 6" xfId="436"/>
    <cellStyle name="20% - 강조색6 2 11" xfId="437"/>
    <cellStyle name="20% - 강조색6 2 11 2" xfId="438"/>
    <cellStyle name="20% - 강조색6 2 11 3" xfId="439"/>
    <cellStyle name="20% - 강조색6 2 11 4" xfId="440"/>
    <cellStyle name="20% - 강조색6 2 11 5" xfId="441"/>
    <cellStyle name="20% - 강조색6 2 11 6" xfId="442"/>
    <cellStyle name="20% - 강조색6 2 12" xfId="443"/>
    <cellStyle name="20% - 강조색6 2 12 2" xfId="444"/>
    <cellStyle name="20% - 강조색6 2 12 3" xfId="445"/>
    <cellStyle name="20% - 강조색6 2 12 4" xfId="446"/>
    <cellStyle name="20% - 강조색6 2 12 5" xfId="447"/>
    <cellStyle name="20% - 강조색6 2 12 6" xfId="448"/>
    <cellStyle name="20% - 강조색6 2 13" xfId="449"/>
    <cellStyle name="20% - 강조색6 2 13 2" xfId="450"/>
    <cellStyle name="20% - 강조색6 2 13 3" xfId="451"/>
    <cellStyle name="20% - 강조색6 2 13 4" xfId="452"/>
    <cellStyle name="20% - 강조색6 2 13 5" xfId="453"/>
    <cellStyle name="20% - 강조색6 2 13 6" xfId="454"/>
    <cellStyle name="20% - 강조색6 2 14" xfId="455"/>
    <cellStyle name="20% - 강조색6 2 14 2" xfId="456"/>
    <cellStyle name="20% - 강조색6 2 14 3" xfId="457"/>
    <cellStyle name="20% - 강조색6 2 14 4" xfId="458"/>
    <cellStyle name="20% - 강조색6 2 14 5" xfId="459"/>
    <cellStyle name="20% - 강조색6 2 14 6" xfId="460"/>
    <cellStyle name="20% - 강조색6 2 15" xfId="461"/>
    <cellStyle name="20% - 강조색6 2 16" xfId="462"/>
    <cellStyle name="20% - 강조색6 2 17" xfId="463"/>
    <cellStyle name="20% - 강조색6 2 18" xfId="464"/>
    <cellStyle name="20% - 강조색6 2 19" xfId="465"/>
    <cellStyle name="20% - 강조색6 2 2" xfId="466"/>
    <cellStyle name="20% - 강조색6 2 2 2" xfId="467"/>
    <cellStyle name="20% - 강조색6 2 2 3" xfId="468"/>
    <cellStyle name="20% - 강조색6 2 2 4" xfId="469"/>
    <cellStyle name="20% - 강조색6 2 2 5" xfId="470"/>
    <cellStyle name="20% - 강조색6 2 2 6" xfId="471"/>
    <cellStyle name="20% - 강조색6 2 3" xfId="472"/>
    <cellStyle name="20% - 강조색6 2 3 2" xfId="473"/>
    <cellStyle name="20% - 강조색6 2 3 3" xfId="474"/>
    <cellStyle name="20% - 강조색6 2 3 4" xfId="475"/>
    <cellStyle name="20% - 강조색6 2 3 5" xfId="476"/>
    <cellStyle name="20% - 강조색6 2 3 6" xfId="477"/>
    <cellStyle name="20% - 강조색6 2 4" xfId="478"/>
    <cellStyle name="20% - 강조색6 2 4 2" xfId="479"/>
    <cellStyle name="20% - 강조색6 2 4 3" xfId="480"/>
    <cellStyle name="20% - 강조색6 2 4 4" xfId="481"/>
    <cellStyle name="20% - 강조색6 2 4 5" xfId="482"/>
    <cellStyle name="20% - 강조색6 2 4 6" xfId="483"/>
    <cellStyle name="20% - 강조색6 2 5" xfId="484"/>
    <cellStyle name="20% - 강조색6 2 5 2" xfId="485"/>
    <cellStyle name="20% - 강조색6 2 5 3" xfId="486"/>
    <cellStyle name="20% - 강조색6 2 5 4" xfId="487"/>
    <cellStyle name="20% - 강조색6 2 5 5" xfId="488"/>
    <cellStyle name="20% - 강조색6 2 5 6" xfId="489"/>
    <cellStyle name="20% - 강조색6 2 6" xfId="490"/>
    <cellStyle name="20% - 강조색6 2 6 2" xfId="491"/>
    <cellStyle name="20% - 강조색6 2 6 3" xfId="492"/>
    <cellStyle name="20% - 강조색6 2 6 4" xfId="493"/>
    <cellStyle name="20% - 강조색6 2 6 5" xfId="494"/>
    <cellStyle name="20% - 강조색6 2 6 6" xfId="495"/>
    <cellStyle name="20% - 강조색6 2 7" xfId="496"/>
    <cellStyle name="20% - 강조색6 2 7 2" xfId="497"/>
    <cellStyle name="20% - 강조색6 2 7 3" xfId="498"/>
    <cellStyle name="20% - 강조색6 2 7 4" xfId="499"/>
    <cellStyle name="20% - 강조색6 2 7 5" xfId="500"/>
    <cellStyle name="20% - 강조색6 2 7 6" xfId="501"/>
    <cellStyle name="20% - 강조색6 2 8" xfId="502"/>
    <cellStyle name="20% - 강조색6 2 8 2" xfId="503"/>
    <cellStyle name="20% - 강조색6 2 8 3" xfId="504"/>
    <cellStyle name="20% - 강조색6 2 8 4" xfId="505"/>
    <cellStyle name="20% - 강조색6 2 8 5" xfId="506"/>
    <cellStyle name="20% - 강조색6 2 8 6" xfId="507"/>
    <cellStyle name="20% - 강조색6 2 9" xfId="508"/>
    <cellStyle name="20% - 강조색6 2 9 2" xfId="509"/>
    <cellStyle name="20% - 강조색6 2 9 3" xfId="510"/>
    <cellStyle name="20% - 강조색6 2 9 4" xfId="511"/>
    <cellStyle name="20% - 강조색6 2 9 5" xfId="512"/>
    <cellStyle name="20% - 강조색6 2 9 6" xfId="513"/>
    <cellStyle name="40% - 강조색1 2" xfId="514"/>
    <cellStyle name="40% - 강조색1 2 10" xfId="515"/>
    <cellStyle name="40% - 강조색1 2 10 2" xfId="516"/>
    <cellStyle name="40% - 강조색1 2 10 3" xfId="517"/>
    <cellStyle name="40% - 강조색1 2 10 4" xfId="518"/>
    <cellStyle name="40% - 강조색1 2 10 5" xfId="519"/>
    <cellStyle name="40% - 강조색1 2 10 6" xfId="520"/>
    <cellStyle name="40% - 강조색1 2 11" xfId="521"/>
    <cellStyle name="40% - 강조색1 2 11 2" xfId="522"/>
    <cellStyle name="40% - 강조색1 2 11 3" xfId="523"/>
    <cellStyle name="40% - 강조색1 2 11 4" xfId="524"/>
    <cellStyle name="40% - 강조색1 2 11 5" xfId="525"/>
    <cellStyle name="40% - 강조색1 2 11 6" xfId="526"/>
    <cellStyle name="40% - 강조색1 2 12" xfId="527"/>
    <cellStyle name="40% - 강조색1 2 12 2" xfId="528"/>
    <cellStyle name="40% - 강조색1 2 12 3" xfId="529"/>
    <cellStyle name="40% - 강조색1 2 12 4" xfId="530"/>
    <cellStyle name="40% - 강조색1 2 12 5" xfId="531"/>
    <cellStyle name="40% - 강조색1 2 12 6" xfId="532"/>
    <cellStyle name="40% - 강조색1 2 13" xfId="533"/>
    <cellStyle name="40% - 강조색1 2 13 2" xfId="534"/>
    <cellStyle name="40% - 강조색1 2 13 3" xfId="535"/>
    <cellStyle name="40% - 강조색1 2 13 4" xfId="536"/>
    <cellStyle name="40% - 강조색1 2 13 5" xfId="537"/>
    <cellStyle name="40% - 강조색1 2 13 6" xfId="538"/>
    <cellStyle name="40% - 강조색1 2 14" xfId="539"/>
    <cellStyle name="40% - 강조색1 2 14 2" xfId="540"/>
    <cellStyle name="40% - 강조색1 2 14 3" xfId="541"/>
    <cellStyle name="40% - 강조색1 2 14 4" xfId="542"/>
    <cellStyle name="40% - 강조색1 2 14 5" xfId="543"/>
    <cellStyle name="40% - 강조색1 2 14 6" xfId="544"/>
    <cellStyle name="40% - 강조색1 2 15" xfId="545"/>
    <cellStyle name="40% - 강조색1 2 16" xfId="546"/>
    <cellStyle name="40% - 강조색1 2 17" xfId="547"/>
    <cellStyle name="40% - 강조색1 2 18" xfId="548"/>
    <cellStyle name="40% - 강조색1 2 19" xfId="549"/>
    <cellStyle name="40% - 강조색1 2 2" xfId="550"/>
    <cellStyle name="40% - 강조색1 2 2 2" xfId="551"/>
    <cellStyle name="40% - 강조색1 2 2 3" xfId="552"/>
    <cellStyle name="40% - 강조색1 2 2 4" xfId="553"/>
    <cellStyle name="40% - 강조색1 2 2 5" xfId="554"/>
    <cellStyle name="40% - 강조색1 2 2 6" xfId="555"/>
    <cellStyle name="40% - 강조색1 2 3" xfId="556"/>
    <cellStyle name="40% - 강조색1 2 3 2" xfId="557"/>
    <cellStyle name="40% - 강조색1 2 3 3" xfId="558"/>
    <cellStyle name="40% - 강조색1 2 3 4" xfId="559"/>
    <cellStyle name="40% - 강조색1 2 3 5" xfId="560"/>
    <cellStyle name="40% - 강조색1 2 3 6" xfId="561"/>
    <cellStyle name="40% - 강조색1 2 4" xfId="562"/>
    <cellStyle name="40% - 강조색1 2 4 2" xfId="563"/>
    <cellStyle name="40% - 강조색1 2 4 3" xfId="564"/>
    <cellStyle name="40% - 강조색1 2 4 4" xfId="565"/>
    <cellStyle name="40% - 강조색1 2 4 5" xfId="566"/>
    <cellStyle name="40% - 강조색1 2 4 6" xfId="567"/>
    <cellStyle name="40% - 강조색1 2 5" xfId="568"/>
    <cellStyle name="40% - 강조색1 2 5 2" xfId="569"/>
    <cellStyle name="40% - 강조색1 2 5 3" xfId="570"/>
    <cellStyle name="40% - 강조색1 2 5 4" xfId="571"/>
    <cellStyle name="40% - 강조색1 2 5 5" xfId="572"/>
    <cellStyle name="40% - 강조색1 2 5 6" xfId="573"/>
    <cellStyle name="40% - 강조색1 2 6" xfId="574"/>
    <cellStyle name="40% - 강조색1 2 6 2" xfId="575"/>
    <cellStyle name="40% - 강조색1 2 6 3" xfId="576"/>
    <cellStyle name="40% - 강조색1 2 6 4" xfId="577"/>
    <cellStyle name="40% - 강조색1 2 6 5" xfId="578"/>
    <cellStyle name="40% - 강조색1 2 6 6" xfId="579"/>
    <cellStyle name="40% - 강조색1 2 7" xfId="580"/>
    <cellStyle name="40% - 강조색1 2 7 2" xfId="581"/>
    <cellStyle name="40% - 강조색1 2 7 3" xfId="582"/>
    <cellStyle name="40% - 강조색1 2 7 4" xfId="583"/>
    <cellStyle name="40% - 강조색1 2 7 5" xfId="584"/>
    <cellStyle name="40% - 강조색1 2 7 6" xfId="585"/>
    <cellStyle name="40% - 강조색1 2 8" xfId="586"/>
    <cellStyle name="40% - 강조색1 2 8 2" xfId="587"/>
    <cellStyle name="40% - 강조색1 2 8 3" xfId="588"/>
    <cellStyle name="40% - 강조색1 2 8 4" xfId="589"/>
    <cellStyle name="40% - 강조색1 2 8 5" xfId="590"/>
    <cellStyle name="40% - 강조색1 2 8 6" xfId="591"/>
    <cellStyle name="40% - 강조색1 2 9" xfId="592"/>
    <cellStyle name="40% - 강조색1 2 9 2" xfId="593"/>
    <cellStyle name="40% - 강조색1 2 9 3" xfId="594"/>
    <cellStyle name="40% - 강조색1 2 9 4" xfId="595"/>
    <cellStyle name="40% - 강조색1 2 9 5" xfId="596"/>
    <cellStyle name="40% - 강조색1 2 9 6" xfId="597"/>
    <cellStyle name="40% - 강조색2 2" xfId="598"/>
    <cellStyle name="40% - 강조색2 2 10" xfId="599"/>
    <cellStyle name="40% - 강조색2 2 10 2" xfId="600"/>
    <cellStyle name="40% - 강조색2 2 10 3" xfId="601"/>
    <cellStyle name="40% - 강조색2 2 10 4" xfId="602"/>
    <cellStyle name="40% - 강조색2 2 10 5" xfId="603"/>
    <cellStyle name="40% - 강조색2 2 10 6" xfId="604"/>
    <cellStyle name="40% - 강조색2 2 11" xfId="605"/>
    <cellStyle name="40% - 강조색2 2 11 2" xfId="606"/>
    <cellStyle name="40% - 강조색2 2 11 3" xfId="607"/>
    <cellStyle name="40% - 강조색2 2 11 4" xfId="608"/>
    <cellStyle name="40% - 강조색2 2 11 5" xfId="609"/>
    <cellStyle name="40% - 강조색2 2 11 6" xfId="610"/>
    <cellStyle name="40% - 강조색2 2 12" xfId="611"/>
    <cellStyle name="40% - 강조색2 2 12 2" xfId="612"/>
    <cellStyle name="40% - 강조색2 2 12 3" xfId="613"/>
    <cellStyle name="40% - 강조색2 2 12 4" xfId="614"/>
    <cellStyle name="40% - 강조색2 2 12 5" xfId="615"/>
    <cellStyle name="40% - 강조색2 2 12 6" xfId="616"/>
    <cellStyle name="40% - 강조색2 2 13" xfId="617"/>
    <cellStyle name="40% - 강조색2 2 13 2" xfId="618"/>
    <cellStyle name="40% - 강조색2 2 13 3" xfId="619"/>
    <cellStyle name="40% - 강조색2 2 13 4" xfId="620"/>
    <cellStyle name="40% - 강조색2 2 13 5" xfId="621"/>
    <cellStyle name="40% - 강조색2 2 13 6" xfId="622"/>
    <cellStyle name="40% - 강조색2 2 14" xfId="623"/>
    <cellStyle name="40% - 강조색2 2 14 2" xfId="624"/>
    <cellStyle name="40% - 강조색2 2 14 3" xfId="625"/>
    <cellStyle name="40% - 강조색2 2 14 4" xfId="626"/>
    <cellStyle name="40% - 강조색2 2 14 5" xfId="627"/>
    <cellStyle name="40% - 강조색2 2 14 6" xfId="628"/>
    <cellStyle name="40% - 강조색2 2 15" xfId="629"/>
    <cellStyle name="40% - 강조색2 2 16" xfId="630"/>
    <cellStyle name="40% - 강조색2 2 17" xfId="631"/>
    <cellStyle name="40% - 강조색2 2 18" xfId="632"/>
    <cellStyle name="40% - 강조색2 2 19" xfId="633"/>
    <cellStyle name="40% - 강조색2 2 2" xfId="634"/>
    <cellStyle name="40% - 강조색2 2 2 2" xfId="635"/>
    <cellStyle name="40% - 강조색2 2 2 3" xfId="636"/>
    <cellStyle name="40% - 강조색2 2 2 4" xfId="637"/>
    <cellStyle name="40% - 강조색2 2 2 5" xfId="638"/>
    <cellStyle name="40% - 강조색2 2 2 6" xfId="639"/>
    <cellStyle name="40% - 강조색2 2 3" xfId="640"/>
    <cellStyle name="40% - 강조색2 2 3 2" xfId="641"/>
    <cellStyle name="40% - 강조색2 2 3 3" xfId="642"/>
    <cellStyle name="40% - 강조색2 2 3 4" xfId="643"/>
    <cellStyle name="40% - 강조색2 2 3 5" xfId="644"/>
    <cellStyle name="40% - 강조색2 2 3 6" xfId="645"/>
    <cellStyle name="40% - 강조색2 2 4" xfId="646"/>
    <cellStyle name="40% - 강조색2 2 4 2" xfId="647"/>
    <cellStyle name="40% - 강조색2 2 4 3" xfId="648"/>
    <cellStyle name="40% - 강조색2 2 4 4" xfId="649"/>
    <cellStyle name="40% - 강조색2 2 4 5" xfId="650"/>
    <cellStyle name="40% - 강조색2 2 4 6" xfId="651"/>
    <cellStyle name="40% - 강조색2 2 5" xfId="652"/>
    <cellStyle name="40% - 강조색2 2 5 2" xfId="653"/>
    <cellStyle name="40% - 강조색2 2 5 3" xfId="654"/>
    <cellStyle name="40% - 강조색2 2 5 4" xfId="655"/>
    <cellStyle name="40% - 강조색2 2 5 5" xfId="656"/>
    <cellStyle name="40% - 강조색2 2 5 6" xfId="657"/>
    <cellStyle name="40% - 강조색2 2 6" xfId="658"/>
    <cellStyle name="40% - 강조색2 2 6 2" xfId="659"/>
    <cellStyle name="40% - 강조색2 2 6 3" xfId="660"/>
    <cellStyle name="40% - 강조색2 2 6 4" xfId="661"/>
    <cellStyle name="40% - 강조색2 2 6 5" xfId="662"/>
    <cellStyle name="40% - 강조색2 2 6 6" xfId="663"/>
    <cellStyle name="40% - 강조색2 2 7" xfId="664"/>
    <cellStyle name="40% - 강조색2 2 7 2" xfId="665"/>
    <cellStyle name="40% - 강조색2 2 7 3" xfId="666"/>
    <cellStyle name="40% - 강조색2 2 7 4" xfId="667"/>
    <cellStyle name="40% - 강조색2 2 7 5" xfId="668"/>
    <cellStyle name="40% - 강조색2 2 7 6" xfId="669"/>
    <cellStyle name="40% - 강조색2 2 8" xfId="670"/>
    <cellStyle name="40% - 강조색2 2 8 2" xfId="671"/>
    <cellStyle name="40% - 강조색2 2 8 3" xfId="672"/>
    <cellStyle name="40% - 강조색2 2 8 4" xfId="673"/>
    <cellStyle name="40% - 강조색2 2 8 5" xfId="674"/>
    <cellStyle name="40% - 강조색2 2 8 6" xfId="675"/>
    <cellStyle name="40% - 강조색2 2 9" xfId="676"/>
    <cellStyle name="40% - 강조색2 2 9 2" xfId="677"/>
    <cellStyle name="40% - 강조색2 2 9 3" xfId="678"/>
    <cellStyle name="40% - 강조색2 2 9 4" xfId="679"/>
    <cellStyle name="40% - 강조색2 2 9 5" xfId="680"/>
    <cellStyle name="40% - 강조색2 2 9 6" xfId="681"/>
    <cellStyle name="40% - 강조색3 2" xfId="682"/>
    <cellStyle name="40% - 강조색3 2 10" xfId="683"/>
    <cellStyle name="40% - 강조색3 2 10 2" xfId="684"/>
    <cellStyle name="40% - 강조색3 2 10 3" xfId="685"/>
    <cellStyle name="40% - 강조색3 2 10 4" xfId="686"/>
    <cellStyle name="40% - 강조색3 2 10 5" xfId="687"/>
    <cellStyle name="40% - 강조색3 2 10 6" xfId="688"/>
    <cellStyle name="40% - 강조색3 2 11" xfId="689"/>
    <cellStyle name="40% - 강조색3 2 11 2" xfId="690"/>
    <cellStyle name="40% - 강조색3 2 11 3" xfId="691"/>
    <cellStyle name="40% - 강조색3 2 11 4" xfId="692"/>
    <cellStyle name="40% - 강조색3 2 11 5" xfId="693"/>
    <cellStyle name="40% - 강조색3 2 11 6" xfId="694"/>
    <cellStyle name="40% - 강조색3 2 12" xfId="695"/>
    <cellStyle name="40% - 강조색3 2 12 2" xfId="696"/>
    <cellStyle name="40% - 강조색3 2 12 3" xfId="697"/>
    <cellStyle name="40% - 강조색3 2 12 4" xfId="698"/>
    <cellStyle name="40% - 강조색3 2 12 5" xfId="699"/>
    <cellStyle name="40% - 강조색3 2 12 6" xfId="700"/>
    <cellStyle name="40% - 강조색3 2 13" xfId="701"/>
    <cellStyle name="40% - 강조색3 2 13 2" xfId="702"/>
    <cellStyle name="40% - 강조색3 2 13 3" xfId="703"/>
    <cellStyle name="40% - 강조색3 2 13 4" xfId="704"/>
    <cellStyle name="40% - 강조색3 2 13 5" xfId="705"/>
    <cellStyle name="40% - 강조색3 2 13 6" xfId="706"/>
    <cellStyle name="40% - 강조색3 2 14" xfId="707"/>
    <cellStyle name="40% - 강조색3 2 14 2" xfId="708"/>
    <cellStyle name="40% - 강조색3 2 14 3" xfId="709"/>
    <cellStyle name="40% - 강조색3 2 14 4" xfId="710"/>
    <cellStyle name="40% - 강조색3 2 14 5" xfId="711"/>
    <cellStyle name="40% - 강조색3 2 14 6" xfId="712"/>
    <cellStyle name="40% - 강조색3 2 15" xfId="713"/>
    <cellStyle name="40% - 강조색3 2 16" xfId="714"/>
    <cellStyle name="40% - 강조색3 2 17" xfId="715"/>
    <cellStyle name="40% - 강조색3 2 18" xfId="716"/>
    <cellStyle name="40% - 강조색3 2 19" xfId="717"/>
    <cellStyle name="40% - 강조색3 2 2" xfId="718"/>
    <cellStyle name="40% - 강조색3 2 2 2" xfId="719"/>
    <cellStyle name="40% - 강조색3 2 2 3" xfId="720"/>
    <cellStyle name="40% - 강조색3 2 2 4" xfId="721"/>
    <cellStyle name="40% - 강조색3 2 2 5" xfId="722"/>
    <cellStyle name="40% - 강조색3 2 2 6" xfId="723"/>
    <cellStyle name="40% - 강조색3 2 3" xfId="724"/>
    <cellStyle name="40% - 강조색3 2 3 2" xfId="725"/>
    <cellStyle name="40% - 강조색3 2 3 3" xfId="726"/>
    <cellStyle name="40% - 강조색3 2 3 4" xfId="727"/>
    <cellStyle name="40% - 강조색3 2 3 5" xfId="728"/>
    <cellStyle name="40% - 강조색3 2 3 6" xfId="729"/>
    <cellStyle name="40% - 강조색3 2 4" xfId="730"/>
    <cellStyle name="40% - 강조색3 2 4 2" xfId="731"/>
    <cellStyle name="40% - 강조색3 2 4 3" xfId="732"/>
    <cellStyle name="40% - 강조색3 2 4 4" xfId="733"/>
    <cellStyle name="40% - 강조색3 2 4 5" xfId="734"/>
    <cellStyle name="40% - 강조색3 2 4 6" xfId="735"/>
    <cellStyle name="40% - 강조색3 2 5" xfId="736"/>
    <cellStyle name="40% - 강조색3 2 5 2" xfId="737"/>
    <cellStyle name="40% - 강조색3 2 5 3" xfId="738"/>
    <cellStyle name="40% - 강조색3 2 5 4" xfId="739"/>
    <cellStyle name="40% - 강조색3 2 5 5" xfId="740"/>
    <cellStyle name="40% - 강조색3 2 5 6" xfId="741"/>
    <cellStyle name="40% - 강조색3 2 6" xfId="742"/>
    <cellStyle name="40% - 강조색3 2 6 2" xfId="743"/>
    <cellStyle name="40% - 강조색3 2 6 3" xfId="744"/>
    <cellStyle name="40% - 강조색3 2 6 4" xfId="745"/>
    <cellStyle name="40% - 강조색3 2 6 5" xfId="746"/>
    <cellStyle name="40% - 강조색3 2 6 6" xfId="747"/>
    <cellStyle name="40% - 강조색3 2 7" xfId="748"/>
    <cellStyle name="40% - 강조색3 2 7 2" xfId="749"/>
    <cellStyle name="40% - 강조색3 2 7 3" xfId="750"/>
    <cellStyle name="40% - 강조색3 2 7 4" xfId="751"/>
    <cellStyle name="40% - 강조색3 2 7 5" xfId="752"/>
    <cellStyle name="40% - 강조색3 2 7 6" xfId="753"/>
    <cellStyle name="40% - 강조색3 2 8" xfId="754"/>
    <cellStyle name="40% - 강조색3 2 8 2" xfId="755"/>
    <cellStyle name="40% - 강조색3 2 8 3" xfId="756"/>
    <cellStyle name="40% - 강조색3 2 8 4" xfId="757"/>
    <cellStyle name="40% - 강조색3 2 8 5" xfId="758"/>
    <cellStyle name="40% - 강조색3 2 8 6" xfId="759"/>
    <cellStyle name="40% - 강조색3 2 9" xfId="760"/>
    <cellStyle name="40% - 강조색3 2 9 2" xfId="761"/>
    <cellStyle name="40% - 강조색3 2 9 3" xfId="762"/>
    <cellStyle name="40% - 강조색3 2 9 4" xfId="763"/>
    <cellStyle name="40% - 강조색3 2 9 5" xfId="764"/>
    <cellStyle name="40% - 강조색3 2 9 6" xfId="765"/>
    <cellStyle name="40% - 강조색4 2" xfId="766"/>
    <cellStyle name="40% - 강조색4 2 10" xfId="767"/>
    <cellStyle name="40% - 강조색4 2 10 2" xfId="768"/>
    <cellStyle name="40% - 강조색4 2 10 3" xfId="769"/>
    <cellStyle name="40% - 강조색4 2 10 4" xfId="770"/>
    <cellStyle name="40% - 강조색4 2 10 5" xfId="771"/>
    <cellStyle name="40% - 강조색4 2 10 6" xfId="772"/>
    <cellStyle name="40% - 강조색4 2 11" xfId="773"/>
    <cellStyle name="40% - 강조색4 2 11 2" xfId="774"/>
    <cellStyle name="40% - 강조색4 2 11 3" xfId="775"/>
    <cellStyle name="40% - 강조색4 2 11 4" xfId="776"/>
    <cellStyle name="40% - 강조색4 2 11 5" xfId="777"/>
    <cellStyle name="40% - 강조색4 2 11 6" xfId="778"/>
    <cellStyle name="40% - 강조색4 2 12" xfId="779"/>
    <cellStyle name="40% - 강조색4 2 12 2" xfId="780"/>
    <cellStyle name="40% - 강조색4 2 12 3" xfId="781"/>
    <cellStyle name="40% - 강조색4 2 12 4" xfId="782"/>
    <cellStyle name="40% - 강조색4 2 12 5" xfId="783"/>
    <cellStyle name="40% - 강조색4 2 12 6" xfId="784"/>
    <cellStyle name="40% - 강조색4 2 13" xfId="785"/>
    <cellStyle name="40% - 강조색4 2 13 2" xfId="786"/>
    <cellStyle name="40% - 강조색4 2 13 3" xfId="787"/>
    <cellStyle name="40% - 강조색4 2 13 4" xfId="788"/>
    <cellStyle name="40% - 강조색4 2 13 5" xfId="789"/>
    <cellStyle name="40% - 강조색4 2 13 6" xfId="790"/>
    <cellStyle name="40% - 강조색4 2 14" xfId="791"/>
    <cellStyle name="40% - 강조색4 2 14 2" xfId="792"/>
    <cellStyle name="40% - 강조색4 2 14 3" xfId="793"/>
    <cellStyle name="40% - 강조색4 2 14 4" xfId="794"/>
    <cellStyle name="40% - 강조색4 2 14 5" xfId="795"/>
    <cellStyle name="40% - 강조색4 2 14 6" xfId="796"/>
    <cellStyle name="40% - 강조색4 2 15" xfId="797"/>
    <cellStyle name="40% - 강조색4 2 16" xfId="798"/>
    <cellStyle name="40% - 강조색4 2 17" xfId="799"/>
    <cellStyle name="40% - 강조색4 2 18" xfId="800"/>
    <cellStyle name="40% - 강조색4 2 19" xfId="801"/>
    <cellStyle name="40% - 강조색4 2 2" xfId="802"/>
    <cellStyle name="40% - 강조색4 2 2 2" xfId="803"/>
    <cellStyle name="40% - 강조색4 2 2 3" xfId="804"/>
    <cellStyle name="40% - 강조색4 2 2 4" xfId="805"/>
    <cellStyle name="40% - 강조색4 2 2 5" xfId="806"/>
    <cellStyle name="40% - 강조색4 2 2 6" xfId="807"/>
    <cellStyle name="40% - 강조색4 2 3" xfId="808"/>
    <cellStyle name="40% - 강조색4 2 3 2" xfId="809"/>
    <cellStyle name="40% - 강조색4 2 3 3" xfId="810"/>
    <cellStyle name="40% - 강조색4 2 3 4" xfId="811"/>
    <cellStyle name="40% - 강조색4 2 3 5" xfId="812"/>
    <cellStyle name="40% - 강조색4 2 3 6" xfId="813"/>
    <cellStyle name="40% - 강조색4 2 4" xfId="814"/>
    <cellStyle name="40% - 강조색4 2 4 2" xfId="815"/>
    <cellStyle name="40% - 강조색4 2 4 3" xfId="816"/>
    <cellStyle name="40% - 강조색4 2 4 4" xfId="817"/>
    <cellStyle name="40% - 강조색4 2 4 5" xfId="818"/>
    <cellStyle name="40% - 강조색4 2 4 6" xfId="819"/>
    <cellStyle name="40% - 강조색4 2 5" xfId="820"/>
    <cellStyle name="40% - 강조색4 2 5 2" xfId="821"/>
    <cellStyle name="40% - 강조색4 2 5 3" xfId="822"/>
    <cellStyle name="40% - 강조색4 2 5 4" xfId="823"/>
    <cellStyle name="40% - 강조색4 2 5 5" xfId="824"/>
    <cellStyle name="40% - 강조색4 2 5 6" xfId="825"/>
    <cellStyle name="40% - 강조색4 2 6" xfId="826"/>
    <cellStyle name="40% - 강조색4 2 6 2" xfId="827"/>
    <cellStyle name="40% - 강조색4 2 6 3" xfId="828"/>
    <cellStyle name="40% - 강조색4 2 6 4" xfId="829"/>
    <cellStyle name="40% - 강조색4 2 6 5" xfId="830"/>
    <cellStyle name="40% - 강조색4 2 6 6" xfId="831"/>
    <cellStyle name="40% - 강조색4 2 7" xfId="832"/>
    <cellStyle name="40% - 강조색4 2 7 2" xfId="833"/>
    <cellStyle name="40% - 강조색4 2 7 3" xfId="834"/>
    <cellStyle name="40% - 강조색4 2 7 4" xfId="835"/>
    <cellStyle name="40% - 강조색4 2 7 5" xfId="836"/>
    <cellStyle name="40% - 강조색4 2 7 6" xfId="837"/>
    <cellStyle name="40% - 강조색4 2 8" xfId="838"/>
    <cellStyle name="40% - 강조색4 2 8 2" xfId="839"/>
    <cellStyle name="40% - 강조색4 2 8 3" xfId="840"/>
    <cellStyle name="40% - 강조색4 2 8 4" xfId="841"/>
    <cellStyle name="40% - 강조색4 2 8 5" xfId="842"/>
    <cellStyle name="40% - 강조색4 2 8 6" xfId="843"/>
    <cellStyle name="40% - 강조색4 2 9" xfId="844"/>
    <cellStyle name="40% - 강조색4 2 9 2" xfId="845"/>
    <cellStyle name="40% - 강조색4 2 9 3" xfId="846"/>
    <cellStyle name="40% - 강조색4 2 9 4" xfId="847"/>
    <cellStyle name="40% - 강조색4 2 9 5" xfId="848"/>
    <cellStyle name="40% - 강조색4 2 9 6" xfId="849"/>
    <cellStyle name="40% - 강조색5 2" xfId="850"/>
    <cellStyle name="40% - 강조색5 2 10" xfId="851"/>
    <cellStyle name="40% - 강조색5 2 10 2" xfId="852"/>
    <cellStyle name="40% - 강조색5 2 10 3" xfId="853"/>
    <cellStyle name="40% - 강조색5 2 10 4" xfId="854"/>
    <cellStyle name="40% - 강조색5 2 10 5" xfId="855"/>
    <cellStyle name="40% - 강조색5 2 10 6" xfId="856"/>
    <cellStyle name="40% - 강조색5 2 11" xfId="857"/>
    <cellStyle name="40% - 강조색5 2 11 2" xfId="858"/>
    <cellStyle name="40% - 강조색5 2 11 3" xfId="859"/>
    <cellStyle name="40% - 강조색5 2 11 4" xfId="860"/>
    <cellStyle name="40% - 강조색5 2 11 5" xfId="861"/>
    <cellStyle name="40% - 강조색5 2 11 6" xfId="862"/>
    <cellStyle name="40% - 강조색5 2 12" xfId="863"/>
    <cellStyle name="40% - 강조색5 2 12 2" xfId="864"/>
    <cellStyle name="40% - 강조색5 2 12 3" xfId="865"/>
    <cellStyle name="40% - 강조색5 2 12 4" xfId="866"/>
    <cellStyle name="40% - 강조색5 2 12 5" xfId="867"/>
    <cellStyle name="40% - 강조색5 2 12 6" xfId="868"/>
    <cellStyle name="40% - 강조색5 2 13" xfId="869"/>
    <cellStyle name="40% - 강조색5 2 13 2" xfId="870"/>
    <cellStyle name="40% - 강조색5 2 13 3" xfId="871"/>
    <cellStyle name="40% - 강조색5 2 13 4" xfId="872"/>
    <cellStyle name="40% - 강조색5 2 13 5" xfId="873"/>
    <cellStyle name="40% - 강조색5 2 13 6" xfId="874"/>
    <cellStyle name="40% - 강조색5 2 14" xfId="875"/>
    <cellStyle name="40% - 강조색5 2 14 2" xfId="876"/>
    <cellStyle name="40% - 강조색5 2 14 3" xfId="877"/>
    <cellStyle name="40% - 강조색5 2 14 4" xfId="878"/>
    <cellStyle name="40% - 강조색5 2 14 5" xfId="879"/>
    <cellStyle name="40% - 강조색5 2 14 6" xfId="880"/>
    <cellStyle name="40% - 강조색5 2 15" xfId="881"/>
    <cellStyle name="40% - 강조색5 2 16" xfId="882"/>
    <cellStyle name="40% - 강조색5 2 17" xfId="883"/>
    <cellStyle name="40% - 강조색5 2 18" xfId="884"/>
    <cellStyle name="40% - 강조색5 2 19" xfId="885"/>
    <cellStyle name="40% - 강조색5 2 2" xfId="886"/>
    <cellStyle name="40% - 강조색5 2 2 2" xfId="887"/>
    <cellStyle name="40% - 강조색5 2 2 3" xfId="888"/>
    <cellStyle name="40% - 강조색5 2 2 4" xfId="889"/>
    <cellStyle name="40% - 강조색5 2 2 5" xfId="890"/>
    <cellStyle name="40% - 강조색5 2 2 6" xfId="891"/>
    <cellStyle name="40% - 강조색5 2 3" xfId="892"/>
    <cellStyle name="40% - 강조색5 2 3 2" xfId="893"/>
    <cellStyle name="40% - 강조색5 2 3 3" xfId="894"/>
    <cellStyle name="40% - 강조색5 2 3 4" xfId="895"/>
    <cellStyle name="40% - 강조색5 2 3 5" xfId="896"/>
    <cellStyle name="40% - 강조색5 2 3 6" xfId="897"/>
    <cellStyle name="40% - 강조색5 2 4" xfId="898"/>
    <cellStyle name="40% - 강조색5 2 4 2" xfId="899"/>
    <cellStyle name="40% - 강조색5 2 4 3" xfId="900"/>
    <cellStyle name="40% - 강조색5 2 4 4" xfId="901"/>
    <cellStyle name="40% - 강조색5 2 4 5" xfId="902"/>
    <cellStyle name="40% - 강조색5 2 4 6" xfId="903"/>
    <cellStyle name="40% - 강조색5 2 5" xfId="904"/>
    <cellStyle name="40% - 강조색5 2 5 2" xfId="905"/>
    <cellStyle name="40% - 강조색5 2 5 3" xfId="906"/>
    <cellStyle name="40% - 강조색5 2 5 4" xfId="907"/>
    <cellStyle name="40% - 강조색5 2 5 5" xfId="908"/>
    <cellStyle name="40% - 강조색5 2 5 6" xfId="909"/>
    <cellStyle name="40% - 강조색5 2 6" xfId="910"/>
    <cellStyle name="40% - 강조색5 2 6 2" xfId="911"/>
    <cellStyle name="40% - 강조색5 2 6 3" xfId="912"/>
    <cellStyle name="40% - 강조색5 2 6 4" xfId="913"/>
    <cellStyle name="40% - 강조색5 2 6 5" xfId="914"/>
    <cellStyle name="40% - 강조색5 2 6 6" xfId="915"/>
    <cellStyle name="40% - 강조색5 2 7" xfId="916"/>
    <cellStyle name="40% - 강조색5 2 7 2" xfId="917"/>
    <cellStyle name="40% - 강조색5 2 7 3" xfId="918"/>
    <cellStyle name="40% - 강조색5 2 7 4" xfId="919"/>
    <cellStyle name="40% - 강조색5 2 7 5" xfId="920"/>
    <cellStyle name="40% - 강조색5 2 7 6" xfId="921"/>
    <cellStyle name="40% - 강조색5 2 8" xfId="922"/>
    <cellStyle name="40% - 강조색5 2 8 2" xfId="923"/>
    <cellStyle name="40% - 강조색5 2 8 3" xfId="924"/>
    <cellStyle name="40% - 강조색5 2 8 4" xfId="925"/>
    <cellStyle name="40% - 강조색5 2 8 5" xfId="926"/>
    <cellStyle name="40% - 강조색5 2 8 6" xfId="927"/>
    <cellStyle name="40% - 강조색5 2 9" xfId="928"/>
    <cellStyle name="40% - 강조색5 2 9 2" xfId="929"/>
    <cellStyle name="40% - 강조색5 2 9 3" xfId="930"/>
    <cellStyle name="40% - 강조색5 2 9 4" xfId="931"/>
    <cellStyle name="40% - 강조색5 2 9 5" xfId="932"/>
    <cellStyle name="40% - 강조색5 2 9 6" xfId="933"/>
    <cellStyle name="40% - 강조색6 2" xfId="934"/>
    <cellStyle name="40% - 강조색6 2 10" xfId="935"/>
    <cellStyle name="40% - 강조색6 2 10 2" xfId="936"/>
    <cellStyle name="40% - 강조색6 2 10 3" xfId="937"/>
    <cellStyle name="40% - 강조색6 2 10 4" xfId="938"/>
    <cellStyle name="40% - 강조색6 2 10 5" xfId="939"/>
    <cellStyle name="40% - 강조색6 2 10 6" xfId="940"/>
    <cellStyle name="40% - 강조색6 2 11" xfId="941"/>
    <cellStyle name="40% - 강조색6 2 11 2" xfId="942"/>
    <cellStyle name="40% - 강조색6 2 11 3" xfId="943"/>
    <cellStyle name="40% - 강조색6 2 11 4" xfId="944"/>
    <cellStyle name="40% - 강조색6 2 11 5" xfId="945"/>
    <cellStyle name="40% - 강조색6 2 11 6" xfId="946"/>
    <cellStyle name="40% - 강조색6 2 12" xfId="947"/>
    <cellStyle name="40% - 강조색6 2 12 2" xfId="948"/>
    <cellStyle name="40% - 강조색6 2 12 3" xfId="949"/>
    <cellStyle name="40% - 강조색6 2 12 4" xfId="950"/>
    <cellStyle name="40% - 강조색6 2 12 5" xfId="951"/>
    <cellStyle name="40% - 강조색6 2 12 6" xfId="952"/>
    <cellStyle name="40% - 강조색6 2 13" xfId="953"/>
    <cellStyle name="40% - 강조색6 2 13 2" xfId="954"/>
    <cellStyle name="40% - 강조색6 2 13 3" xfId="955"/>
    <cellStyle name="40% - 강조색6 2 13 4" xfId="956"/>
    <cellStyle name="40% - 강조색6 2 13 5" xfId="957"/>
    <cellStyle name="40% - 강조색6 2 13 6" xfId="958"/>
    <cellStyle name="40% - 강조색6 2 14" xfId="959"/>
    <cellStyle name="40% - 강조색6 2 14 2" xfId="960"/>
    <cellStyle name="40% - 강조색6 2 14 3" xfId="961"/>
    <cellStyle name="40% - 강조색6 2 14 4" xfId="962"/>
    <cellStyle name="40% - 강조색6 2 14 5" xfId="963"/>
    <cellStyle name="40% - 강조색6 2 14 6" xfId="964"/>
    <cellStyle name="40% - 강조색6 2 15" xfId="965"/>
    <cellStyle name="40% - 강조색6 2 16" xfId="966"/>
    <cellStyle name="40% - 강조색6 2 17" xfId="967"/>
    <cellStyle name="40% - 강조색6 2 18" xfId="968"/>
    <cellStyle name="40% - 강조색6 2 19" xfId="969"/>
    <cellStyle name="40% - 강조색6 2 2" xfId="970"/>
    <cellStyle name="40% - 강조색6 2 2 2" xfId="971"/>
    <cellStyle name="40% - 강조색6 2 2 3" xfId="972"/>
    <cellStyle name="40% - 강조색6 2 2 4" xfId="973"/>
    <cellStyle name="40% - 강조색6 2 2 5" xfId="974"/>
    <cellStyle name="40% - 강조색6 2 2 6" xfId="975"/>
    <cellStyle name="40% - 강조색6 2 3" xfId="976"/>
    <cellStyle name="40% - 강조색6 2 3 2" xfId="977"/>
    <cellStyle name="40% - 강조색6 2 3 3" xfId="978"/>
    <cellStyle name="40% - 강조색6 2 3 4" xfId="979"/>
    <cellStyle name="40% - 강조색6 2 3 5" xfId="980"/>
    <cellStyle name="40% - 강조색6 2 3 6" xfId="981"/>
    <cellStyle name="40% - 강조색6 2 4" xfId="982"/>
    <cellStyle name="40% - 강조색6 2 4 2" xfId="983"/>
    <cellStyle name="40% - 강조색6 2 4 3" xfId="984"/>
    <cellStyle name="40% - 강조색6 2 4 4" xfId="985"/>
    <cellStyle name="40% - 강조색6 2 4 5" xfId="986"/>
    <cellStyle name="40% - 강조색6 2 4 6" xfId="987"/>
    <cellStyle name="40% - 강조색6 2 5" xfId="988"/>
    <cellStyle name="40% - 강조색6 2 5 2" xfId="989"/>
    <cellStyle name="40% - 강조색6 2 5 3" xfId="990"/>
    <cellStyle name="40% - 강조색6 2 5 4" xfId="991"/>
    <cellStyle name="40% - 강조색6 2 5 5" xfId="992"/>
    <cellStyle name="40% - 강조색6 2 5 6" xfId="993"/>
    <cellStyle name="40% - 강조색6 2 6" xfId="994"/>
    <cellStyle name="40% - 강조색6 2 6 2" xfId="995"/>
    <cellStyle name="40% - 강조색6 2 6 3" xfId="996"/>
    <cellStyle name="40% - 강조색6 2 6 4" xfId="997"/>
    <cellStyle name="40% - 강조색6 2 6 5" xfId="998"/>
    <cellStyle name="40% - 강조색6 2 6 6" xfId="999"/>
    <cellStyle name="40% - 강조색6 2 7" xfId="1000"/>
    <cellStyle name="40% - 강조색6 2 7 2" xfId="1001"/>
    <cellStyle name="40% - 강조색6 2 7 3" xfId="1002"/>
    <cellStyle name="40% - 강조색6 2 7 4" xfId="1003"/>
    <cellStyle name="40% - 강조색6 2 7 5" xfId="1004"/>
    <cellStyle name="40% - 강조색6 2 7 6" xfId="1005"/>
    <cellStyle name="40% - 강조색6 2 8" xfId="1006"/>
    <cellStyle name="40% - 강조색6 2 8 2" xfId="1007"/>
    <cellStyle name="40% - 강조색6 2 8 3" xfId="1008"/>
    <cellStyle name="40% - 강조색6 2 8 4" xfId="1009"/>
    <cellStyle name="40% - 강조색6 2 8 5" xfId="1010"/>
    <cellStyle name="40% - 강조색6 2 8 6" xfId="1011"/>
    <cellStyle name="40% - 강조색6 2 9" xfId="1012"/>
    <cellStyle name="40% - 강조색6 2 9 2" xfId="1013"/>
    <cellStyle name="40% - 강조색6 2 9 3" xfId="1014"/>
    <cellStyle name="40% - 강조색6 2 9 4" xfId="1015"/>
    <cellStyle name="40% - 강조색6 2 9 5" xfId="1016"/>
    <cellStyle name="40% - 강조색6 2 9 6" xfId="1017"/>
    <cellStyle name="60% - 강조색1 2" xfId="1018"/>
    <cellStyle name="60% - 강조색2 2" xfId="1019"/>
    <cellStyle name="60% - 강조색3 2" xfId="1020"/>
    <cellStyle name="60% - 강조색4 2" xfId="1021"/>
    <cellStyle name="60% - 강조색5 2" xfId="1022"/>
    <cellStyle name="60% - 강조색6 2" xfId="1023"/>
    <cellStyle name="aryInformation" xfId="3130"/>
    <cellStyle name="category" xfId="1024"/>
    <cellStyle name="Comma" xfId="1025"/>
    <cellStyle name="Comma [0]_판매계획 (2)" xfId="3131"/>
    <cellStyle name="Comma [0]Ctls" xfId="3132"/>
    <cellStyle name="Comma_판매계획 (2)" xfId="3133"/>
    <cellStyle name="CRevision Log" xfId="3134"/>
    <cellStyle name="Currency" xfId="1026"/>
    <cellStyle name="Currency [0]_판매계획 (2)" xfId="3135"/>
    <cellStyle name="Currency_판매계획 (2)" xfId="3136"/>
    <cellStyle name="Date" xfId="1027"/>
    <cellStyle name="Fixed" xfId="1028"/>
    <cellStyle name="Grey" xfId="1029"/>
    <cellStyle name="HEADER" xfId="1030"/>
    <cellStyle name="Header1" xfId="1031"/>
    <cellStyle name="Header2" xfId="1032"/>
    <cellStyle name="Heading1" xfId="1033"/>
    <cellStyle name="Heading2" xfId="1034"/>
    <cellStyle name="Input [yellow]" xfId="1035"/>
    <cellStyle name="kbook" xfId="3137"/>
    <cellStyle name="Model" xfId="1036"/>
    <cellStyle name="Normal - Style1" xfId="1037"/>
    <cellStyle name="Normal_Certs Q2" xfId="3138"/>
    <cellStyle name="OJECT_CUR" xfId="3139"/>
    <cellStyle name="on" xfId="3140"/>
    <cellStyle name="Percent" xfId="1038"/>
    <cellStyle name="Percent [2]" xfId="1039"/>
    <cellStyle name="subhead" xfId="1040"/>
    <cellStyle name="Total" xfId="1041"/>
    <cellStyle name="yInformation" xfId="3141"/>
    <cellStyle name="ㄱ" xfId="3142"/>
    <cellStyle name="강조색1 2" xfId="1042"/>
    <cellStyle name="강조색2 2" xfId="1043"/>
    <cellStyle name="강조색3 2" xfId="1044"/>
    <cellStyle name="강조색4 2" xfId="1045"/>
    <cellStyle name="강조색5 2" xfId="1046"/>
    <cellStyle name="강조색6 2" xfId="1047"/>
    <cellStyle name="경고문 2" xfId="1048"/>
    <cellStyle name="계산 2" xfId="1049"/>
    <cellStyle name="나쁨 2" xfId="1050"/>
    <cellStyle name="메모 2" xfId="1051"/>
    <cellStyle name="백분율" xfId="8" builtinId="5"/>
    <cellStyle name="백분율 10" xfId="3297"/>
    <cellStyle name="백분율 11" xfId="3518"/>
    <cellStyle name="백분율 12" xfId="1052"/>
    <cellStyle name="백분율 2" xfId="3"/>
    <cellStyle name="백분율 2 10" xfId="1054"/>
    <cellStyle name="백분율 2 10 2" xfId="1055"/>
    <cellStyle name="백분율 2 10 3" xfId="1056"/>
    <cellStyle name="백분율 2 11" xfId="1057"/>
    <cellStyle name="백분율 2 11 2" xfId="1058"/>
    <cellStyle name="백분율 2 11 3" xfId="1059"/>
    <cellStyle name="백분율 2 12" xfId="1060"/>
    <cellStyle name="백분율 2 12 2" xfId="1061"/>
    <cellStyle name="백분율 2 12 3" xfId="1062"/>
    <cellStyle name="백분율 2 13" xfId="1063"/>
    <cellStyle name="백분율 2 14" xfId="1064"/>
    <cellStyle name="백분율 2 15" xfId="1065"/>
    <cellStyle name="백분율 2 16" xfId="1066"/>
    <cellStyle name="백분율 2 17" xfId="1067"/>
    <cellStyle name="백분율 2 18" xfId="1068"/>
    <cellStyle name="백분율 2 19" xfId="1069"/>
    <cellStyle name="백분율 2 2" xfId="1070"/>
    <cellStyle name="백분율 2 2 10" xfId="1071"/>
    <cellStyle name="백분율 2 2 2" xfId="1072"/>
    <cellStyle name="백분율 2 2 2 2" xfId="1073"/>
    <cellStyle name="백분율 2 2 2 2 2" xfId="1074"/>
    <cellStyle name="백분율 2 2 2 2 3" xfId="1075"/>
    <cellStyle name="백분율 2 2 3" xfId="1076"/>
    <cellStyle name="백분율 2 2 4" xfId="1077"/>
    <cellStyle name="백분율 2 2 5" xfId="1078"/>
    <cellStyle name="백분율 2 2 5 2" xfId="1079"/>
    <cellStyle name="백분율 2 2 5 3" xfId="1080"/>
    <cellStyle name="백분율 2 2 5 3 2" xfId="1081"/>
    <cellStyle name="백분율 2 2 5 4" xfId="1082"/>
    <cellStyle name="백분율 2 2 6" xfId="1083"/>
    <cellStyle name="백분율 2 2 6 2" xfId="1084"/>
    <cellStyle name="백분율 2 2 6 2 2" xfId="1085"/>
    <cellStyle name="백분율 2 2 7" xfId="1086"/>
    <cellStyle name="백분율 2 2 8" xfId="1087"/>
    <cellStyle name="백분율 2 2 9" xfId="1088"/>
    <cellStyle name="백분율 2 20" xfId="1089"/>
    <cellStyle name="백분율 2 21" xfId="1090"/>
    <cellStyle name="백분율 2 22" xfId="1091"/>
    <cellStyle name="백분율 2 23" xfId="1092"/>
    <cellStyle name="백분율 2 24" xfId="1093"/>
    <cellStyle name="백분율 2 25" xfId="1094"/>
    <cellStyle name="백분율 2 25 2" xfId="1095"/>
    <cellStyle name="백분율 2 26" xfId="3144"/>
    <cellStyle name="백분율 2 27" xfId="1053"/>
    <cellStyle name="백분율 2 3" xfId="1096"/>
    <cellStyle name="백분율 2 3 2" xfId="1097"/>
    <cellStyle name="백분율 2 3 2 2" xfId="1098"/>
    <cellStyle name="백분율 2 3 2 2 2" xfId="1099"/>
    <cellStyle name="백분율 2 3 2 3" xfId="1100"/>
    <cellStyle name="백분율 2 3 3" xfId="1101"/>
    <cellStyle name="백분율 2 3 4" xfId="1102"/>
    <cellStyle name="백분율 2 3 5" xfId="1103"/>
    <cellStyle name="백분율 2 3 6" xfId="1104"/>
    <cellStyle name="백분율 2 3 7" xfId="1105"/>
    <cellStyle name="백분율 2 4" xfId="1106"/>
    <cellStyle name="백분율 2 4 2" xfId="1107"/>
    <cellStyle name="백분율 2 4 2 2" xfId="1108"/>
    <cellStyle name="백분율 2 4 3" xfId="1109"/>
    <cellStyle name="백분율 2 5" xfId="1110"/>
    <cellStyle name="백분율 2 5 2" xfId="1111"/>
    <cellStyle name="백분율 2 5 3" xfId="1112"/>
    <cellStyle name="백분율 2 6" xfId="1113"/>
    <cellStyle name="백분율 2 6 2" xfId="1114"/>
    <cellStyle name="백분율 2 6 3" xfId="1115"/>
    <cellStyle name="백분율 2 7" xfId="1116"/>
    <cellStyle name="백분율 2 7 2" xfId="1117"/>
    <cellStyle name="백분율 2 7 3" xfId="1118"/>
    <cellStyle name="백분율 2 8" xfId="1119"/>
    <cellStyle name="백분율 2 8 2" xfId="1120"/>
    <cellStyle name="백분율 2 8 3" xfId="1121"/>
    <cellStyle name="백분율 2 9" xfId="1122"/>
    <cellStyle name="백분율 2 9 2" xfId="1123"/>
    <cellStyle name="백분율 2 9 3" xfId="1124"/>
    <cellStyle name="백분율 24" xfId="1125"/>
    <cellStyle name="백분율 24 2" xfId="1126"/>
    <cellStyle name="백분율 3" xfId="3114"/>
    <cellStyle name="백분율 3 2" xfId="1127"/>
    <cellStyle name="백분율 3 3" xfId="1128"/>
    <cellStyle name="백분율 4" xfId="3124"/>
    <cellStyle name="백분율 5" xfId="3143"/>
    <cellStyle name="백분율 6" xfId="3174"/>
    <cellStyle name="백분율 7" xfId="3183"/>
    <cellStyle name="백분율 8" xfId="3196"/>
    <cellStyle name="백분율 9" xfId="3239"/>
    <cellStyle name="보통 2" xfId="1129"/>
    <cellStyle name="설명 텍스트 2" xfId="1130"/>
    <cellStyle name="셀 확인 2" xfId="1131"/>
    <cellStyle name="쉼표 [0]" xfId="1" builtinId="6"/>
    <cellStyle name="쉼표 [0] 10" xfId="1133"/>
    <cellStyle name="쉼표 [0] 10 10" xfId="1134"/>
    <cellStyle name="쉼표 [0] 10 11" xfId="1135"/>
    <cellStyle name="쉼표 [0] 10 12" xfId="1136"/>
    <cellStyle name="쉼표 [0] 10 2" xfId="1137"/>
    <cellStyle name="쉼표 [0] 10 3" xfId="1138"/>
    <cellStyle name="쉼표 [0] 10 4" xfId="1139"/>
    <cellStyle name="쉼표 [0] 10 5" xfId="1140"/>
    <cellStyle name="쉼표 [0] 10 6" xfId="1141"/>
    <cellStyle name="쉼표 [0] 10 7" xfId="1142"/>
    <cellStyle name="쉼표 [0] 10 8" xfId="1143"/>
    <cellStyle name="쉼표 [0] 10 9" xfId="1144"/>
    <cellStyle name="쉼표 [0] 11" xfId="1145"/>
    <cellStyle name="쉼표 [0] 11 10" xfId="1146"/>
    <cellStyle name="쉼표 [0] 11 11" xfId="1147"/>
    <cellStyle name="쉼표 [0] 11 12" xfId="1148"/>
    <cellStyle name="쉼표 [0] 11 2" xfId="1149"/>
    <cellStyle name="쉼표 [0] 11 3" xfId="1150"/>
    <cellStyle name="쉼표 [0] 11 4" xfId="1151"/>
    <cellStyle name="쉼표 [0] 11 5" xfId="1152"/>
    <cellStyle name="쉼표 [0] 11 6" xfId="1153"/>
    <cellStyle name="쉼표 [0] 11 7" xfId="1154"/>
    <cellStyle name="쉼표 [0] 11 8" xfId="1155"/>
    <cellStyle name="쉼표 [0] 11 9" xfId="1156"/>
    <cellStyle name="쉼표 [0] 12" xfId="1157"/>
    <cellStyle name="쉼표 [0] 12 2" xfId="1158"/>
    <cellStyle name="쉼표 [0] 12 2 2" xfId="1159"/>
    <cellStyle name="쉼표 [0] 12 2 2 2" xfId="1160"/>
    <cellStyle name="쉼표 [0] 12 2 2 2 2" xfId="1161"/>
    <cellStyle name="쉼표 [0] 12 2 3" xfId="1162"/>
    <cellStyle name="쉼표 [0] 12 2 4" xfId="1163"/>
    <cellStyle name="쉼표 [0] 12 2 5" xfId="1164"/>
    <cellStyle name="쉼표 [0] 12 2 6" xfId="1165"/>
    <cellStyle name="쉼표 [0] 12 3" xfId="1166"/>
    <cellStyle name="쉼표 [0] 12 3 2" xfId="1167"/>
    <cellStyle name="쉼표 [0] 12 3 2 2" xfId="1168"/>
    <cellStyle name="쉼표 [0] 12 3 2 2 2" xfId="1169"/>
    <cellStyle name="쉼표 [0] 12 3 3" xfId="1170"/>
    <cellStyle name="쉼표 [0] 12 3 4" xfId="1171"/>
    <cellStyle name="쉼표 [0] 12 3 5" xfId="1172"/>
    <cellStyle name="쉼표 [0] 12 3 6" xfId="1173"/>
    <cellStyle name="쉼표 [0] 12 4" xfId="1174"/>
    <cellStyle name="쉼표 [0] 12 4 2" xfId="1175"/>
    <cellStyle name="쉼표 [0] 12 4 2 2" xfId="1176"/>
    <cellStyle name="쉼표 [0] 12 4 2 2 2" xfId="1177"/>
    <cellStyle name="쉼표 [0] 12 4 3" xfId="1178"/>
    <cellStyle name="쉼표 [0] 12 4 4" xfId="1179"/>
    <cellStyle name="쉼표 [0] 12 4 5" xfId="1180"/>
    <cellStyle name="쉼표 [0] 12 4 6" xfId="1181"/>
    <cellStyle name="쉼표 [0] 12 5" xfId="1182"/>
    <cellStyle name="쉼표 [0] 12 5 2" xfId="1183"/>
    <cellStyle name="쉼표 [0] 12 5 2 2" xfId="1184"/>
    <cellStyle name="쉼표 [0] 12 6" xfId="1185"/>
    <cellStyle name="쉼표 [0] 12 7" xfId="1186"/>
    <cellStyle name="쉼표 [0] 12 8" xfId="1187"/>
    <cellStyle name="쉼표 [0] 12 9" xfId="1188"/>
    <cellStyle name="쉼표 [0] 13" xfId="1189"/>
    <cellStyle name="쉼표 [0] 13 10" xfId="1190"/>
    <cellStyle name="쉼표 [0] 13 11" xfId="1191"/>
    <cellStyle name="쉼표 [0] 13 12" xfId="1192"/>
    <cellStyle name="쉼표 [0] 13 2" xfId="1193"/>
    <cellStyle name="쉼표 [0] 13 2 2" xfId="1194"/>
    <cellStyle name="쉼표 [0] 13 2 2 2" xfId="1195"/>
    <cellStyle name="쉼표 [0] 13 2 2 2 2" xfId="1196"/>
    <cellStyle name="쉼표 [0] 13 2 3" xfId="1197"/>
    <cellStyle name="쉼표 [0] 13 2 4" xfId="1198"/>
    <cellStyle name="쉼표 [0] 13 2 5" xfId="1199"/>
    <cellStyle name="쉼표 [0] 13 2 6" xfId="1200"/>
    <cellStyle name="쉼표 [0] 13 3" xfId="1201"/>
    <cellStyle name="쉼표 [0] 13 3 2" xfId="1202"/>
    <cellStyle name="쉼표 [0] 13 3 2 2" xfId="1203"/>
    <cellStyle name="쉼표 [0] 13 3 2 2 2" xfId="1204"/>
    <cellStyle name="쉼표 [0] 13 3 3" xfId="1205"/>
    <cellStyle name="쉼표 [0] 13 3 4" xfId="1206"/>
    <cellStyle name="쉼표 [0] 13 3 5" xfId="1207"/>
    <cellStyle name="쉼표 [0] 13 3 6" xfId="1208"/>
    <cellStyle name="쉼표 [0] 13 4" xfId="1209"/>
    <cellStyle name="쉼표 [0] 13 4 2" xfId="1210"/>
    <cellStyle name="쉼표 [0] 13 4 2 2" xfId="1211"/>
    <cellStyle name="쉼표 [0] 13 4 2 2 2" xfId="1212"/>
    <cellStyle name="쉼표 [0] 13 4 3" xfId="1213"/>
    <cellStyle name="쉼표 [0] 13 4 4" xfId="1214"/>
    <cellStyle name="쉼표 [0] 13 4 5" xfId="1215"/>
    <cellStyle name="쉼표 [0] 13 4 6" xfId="1216"/>
    <cellStyle name="쉼표 [0] 13 5" xfId="1217"/>
    <cellStyle name="쉼표 [0] 13 5 2" xfId="1218"/>
    <cellStyle name="쉼표 [0] 13 5 2 2" xfId="1219"/>
    <cellStyle name="쉼표 [0] 13 5 2 2 2" xfId="1220"/>
    <cellStyle name="쉼표 [0] 13 5 3" xfId="1221"/>
    <cellStyle name="쉼표 [0] 13 5 4" xfId="1222"/>
    <cellStyle name="쉼표 [0] 13 5 5" xfId="1223"/>
    <cellStyle name="쉼표 [0] 13 5 6" xfId="1224"/>
    <cellStyle name="쉼표 [0] 13 6" xfId="1225"/>
    <cellStyle name="쉼표 [0] 13 6 2" xfId="1226"/>
    <cellStyle name="쉼표 [0] 13 6 2 2" xfId="1227"/>
    <cellStyle name="쉼표 [0] 13 6 2 2 2" xfId="1228"/>
    <cellStyle name="쉼표 [0] 13 6 3" xfId="1229"/>
    <cellStyle name="쉼표 [0] 13 6 4" xfId="1230"/>
    <cellStyle name="쉼표 [0] 13 6 5" xfId="1231"/>
    <cellStyle name="쉼표 [0] 13 6 6" xfId="1232"/>
    <cellStyle name="쉼표 [0] 13 7" xfId="1233"/>
    <cellStyle name="쉼표 [0] 13 7 2" xfId="1234"/>
    <cellStyle name="쉼표 [0] 13 7 2 2" xfId="1235"/>
    <cellStyle name="쉼표 [0] 13 7 2 2 2" xfId="1236"/>
    <cellStyle name="쉼표 [0] 13 7 3" xfId="1237"/>
    <cellStyle name="쉼표 [0] 13 7 4" xfId="1238"/>
    <cellStyle name="쉼표 [0] 13 7 5" xfId="1239"/>
    <cellStyle name="쉼표 [0] 13 7 6" xfId="1240"/>
    <cellStyle name="쉼표 [0] 13 8" xfId="1241"/>
    <cellStyle name="쉼표 [0] 13 8 2" xfId="1242"/>
    <cellStyle name="쉼표 [0] 13 8 2 2" xfId="1243"/>
    <cellStyle name="쉼표 [0] 13 9" xfId="1244"/>
    <cellStyle name="쉼표 [0] 14" xfId="3115"/>
    <cellStyle name="쉼표 [0] 14 2" xfId="1245"/>
    <cellStyle name="쉼표 [0] 14 3" xfId="1246"/>
    <cellStyle name="쉼표 [0] 15" xfId="1247"/>
    <cellStyle name="쉼표 [0] 16" xfId="1248"/>
    <cellStyle name="쉼표 [0] 17" xfId="1249"/>
    <cellStyle name="쉼표 [0] 18" xfId="1250"/>
    <cellStyle name="쉼표 [0] 19" xfId="1251"/>
    <cellStyle name="쉼표 [0] 2" xfId="4"/>
    <cellStyle name="쉼표 [0] 2 10" xfId="1253"/>
    <cellStyle name="쉼표 [0] 2 10 2" xfId="1254"/>
    <cellStyle name="쉼표 [0] 2 10 2 2" xfId="1255"/>
    <cellStyle name="쉼표 [0] 2 10 2 2 2" xfId="1256"/>
    <cellStyle name="쉼표 [0] 2 10 2 3" xfId="1257"/>
    <cellStyle name="쉼표 [0] 2 10 3" xfId="1258"/>
    <cellStyle name="쉼표 [0] 2 10 4" xfId="1259"/>
    <cellStyle name="쉼표 [0] 2 10 5" xfId="1260"/>
    <cellStyle name="쉼표 [0] 2 10 6" xfId="1261"/>
    <cellStyle name="쉼표 [0] 2 10 7" xfId="1262"/>
    <cellStyle name="쉼표 [0] 2 11" xfId="1263"/>
    <cellStyle name="쉼표 [0] 2 11 2" xfId="1264"/>
    <cellStyle name="쉼표 [0] 2 11 2 2" xfId="1265"/>
    <cellStyle name="쉼표 [0] 2 11 2 2 2" xfId="1266"/>
    <cellStyle name="쉼표 [0] 2 11 2 3" xfId="1267"/>
    <cellStyle name="쉼표 [0] 2 11 3" xfId="1268"/>
    <cellStyle name="쉼표 [0] 2 11 4" xfId="1269"/>
    <cellStyle name="쉼표 [0] 2 11 5" xfId="1270"/>
    <cellStyle name="쉼표 [0] 2 11 6" xfId="1271"/>
    <cellStyle name="쉼표 [0] 2 11 7" xfId="1272"/>
    <cellStyle name="쉼표 [0] 2 12" xfId="1273"/>
    <cellStyle name="쉼표 [0] 2 12 2" xfId="1274"/>
    <cellStyle name="쉼표 [0] 2 12 2 2" xfId="1275"/>
    <cellStyle name="쉼표 [0] 2 12 2 2 2" xfId="1276"/>
    <cellStyle name="쉼표 [0] 2 12 2 3" xfId="1277"/>
    <cellStyle name="쉼표 [0] 2 12 3" xfId="1278"/>
    <cellStyle name="쉼표 [0] 2 12 4" xfId="1279"/>
    <cellStyle name="쉼표 [0] 2 12 5" xfId="1280"/>
    <cellStyle name="쉼표 [0] 2 12 6" xfId="1281"/>
    <cellStyle name="쉼표 [0] 2 12 7" xfId="1282"/>
    <cellStyle name="쉼표 [0] 2 13" xfId="1283"/>
    <cellStyle name="쉼표 [0] 2 13 2" xfId="1284"/>
    <cellStyle name="쉼표 [0] 2 13 2 2" xfId="1285"/>
    <cellStyle name="쉼표 [0] 2 13 2 2 2" xfId="1286"/>
    <cellStyle name="쉼표 [0] 2 13 2 3" xfId="1287"/>
    <cellStyle name="쉼표 [0] 2 13 3" xfId="1288"/>
    <cellStyle name="쉼표 [0] 2 13 4" xfId="1289"/>
    <cellStyle name="쉼표 [0] 2 13 5" xfId="1290"/>
    <cellStyle name="쉼표 [0] 2 13 6" xfId="1291"/>
    <cellStyle name="쉼표 [0] 2 13 7" xfId="1292"/>
    <cellStyle name="쉼표 [0] 2 14" xfId="1293"/>
    <cellStyle name="쉼표 [0] 2 14 2" xfId="1294"/>
    <cellStyle name="쉼표 [0] 2 14 2 2" xfId="1295"/>
    <cellStyle name="쉼표 [0] 2 14 2 2 2" xfId="1296"/>
    <cellStyle name="쉼표 [0] 2 14 2 3" xfId="1297"/>
    <cellStyle name="쉼표 [0] 2 14 3" xfId="1298"/>
    <cellStyle name="쉼표 [0] 2 14 4" xfId="1299"/>
    <cellStyle name="쉼표 [0] 2 14 5" xfId="1300"/>
    <cellStyle name="쉼표 [0] 2 14 6" xfId="1301"/>
    <cellStyle name="쉼표 [0] 2 14 7" xfId="1302"/>
    <cellStyle name="쉼표 [0] 2 15" xfId="1303"/>
    <cellStyle name="쉼표 [0] 2 15 2" xfId="1304"/>
    <cellStyle name="쉼표 [0] 2 15 2 2" xfId="1305"/>
    <cellStyle name="쉼표 [0] 2 15 2 2 2" xfId="1306"/>
    <cellStyle name="쉼표 [0] 2 15 2 3" xfId="1307"/>
    <cellStyle name="쉼표 [0] 2 15 3" xfId="1308"/>
    <cellStyle name="쉼표 [0] 2 15 4" xfId="1309"/>
    <cellStyle name="쉼표 [0] 2 15 5" xfId="1310"/>
    <cellStyle name="쉼표 [0] 2 15 6" xfId="1311"/>
    <cellStyle name="쉼표 [0] 2 15 7" xfId="1312"/>
    <cellStyle name="쉼표 [0] 2 16" xfId="1313"/>
    <cellStyle name="쉼표 [0] 2 16 2" xfId="1314"/>
    <cellStyle name="쉼표 [0] 2 16 2 2" xfId="1315"/>
    <cellStyle name="쉼표 [0] 2 16 2 2 2" xfId="1316"/>
    <cellStyle name="쉼표 [0] 2 16 2 3" xfId="1317"/>
    <cellStyle name="쉼표 [0] 2 16 3" xfId="1318"/>
    <cellStyle name="쉼표 [0] 2 16 4" xfId="1319"/>
    <cellStyle name="쉼표 [0] 2 16 5" xfId="1320"/>
    <cellStyle name="쉼표 [0] 2 16 6" xfId="1321"/>
    <cellStyle name="쉼표 [0] 2 16 7" xfId="1322"/>
    <cellStyle name="쉼표 [0] 2 17" xfId="1323"/>
    <cellStyle name="쉼표 [0] 2 17 2" xfId="1324"/>
    <cellStyle name="쉼표 [0] 2 17 2 2" xfId="1325"/>
    <cellStyle name="쉼표 [0] 2 17 2 2 2" xfId="1326"/>
    <cellStyle name="쉼표 [0] 2 17 2 3" xfId="1327"/>
    <cellStyle name="쉼표 [0] 2 17 3" xfId="1328"/>
    <cellStyle name="쉼표 [0] 2 17 4" xfId="1329"/>
    <cellStyle name="쉼표 [0] 2 17 5" xfId="1330"/>
    <cellStyle name="쉼표 [0] 2 17 6" xfId="1331"/>
    <cellStyle name="쉼표 [0] 2 17 7" xfId="1332"/>
    <cellStyle name="쉼표 [0] 2 18" xfId="1333"/>
    <cellStyle name="쉼표 [0] 2 18 2" xfId="1334"/>
    <cellStyle name="쉼표 [0] 2 18 2 2" xfId="1335"/>
    <cellStyle name="쉼표 [0] 2 18 2 2 2" xfId="1336"/>
    <cellStyle name="쉼표 [0] 2 18 2 3" xfId="1337"/>
    <cellStyle name="쉼표 [0] 2 18 3" xfId="1338"/>
    <cellStyle name="쉼표 [0] 2 18 4" xfId="1339"/>
    <cellStyle name="쉼표 [0] 2 18 5" xfId="1340"/>
    <cellStyle name="쉼표 [0] 2 18 6" xfId="1341"/>
    <cellStyle name="쉼표 [0] 2 18 7" xfId="1342"/>
    <cellStyle name="쉼표 [0] 2 19" xfId="1343"/>
    <cellStyle name="쉼표 [0] 2 19 10" xfId="1344"/>
    <cellStyle name="쉼표 [0] 2 19 11" xfId="1345"/>
    <cellStyle name="쉼표 [0] 2 19 12" xfId="1346"/>
    <cellStyle name="쉼표 [0] 2 19 2" xfId="1347"/>
    <cellStyle name="쉼표 [0] 2 19 2 10" xfId="1348"/>
    <cellStyle name="쉼표 [0] 2 19 2 10 2" xfId="1349"/>
    <cellStyle name="쉼표 [0] 2 19 2 11" xfId="1350"/>
    <cellStyle name="쉼표 [0] 2 19 2 11 2" xfId="1351"/>
    <cellStyle name="쉼표 [0] 2 19 2 12" xfId="1352"/>
    <cellStyle name="쉼표 [0] 2 19 2 12 2" xfId="1353"/>
    <cellStyle name="쉼표 [0] 2 19 2 13" xfId="1354"/>
    <cellStyle name="쉼표 [0] 2 19 2 14" xfId="1355"/>
    <cellStyle name="쉼표 [0] 2 19 2 15" xfId="1356"/>
    <cellStyle name="쉼표 [0] 2 19 2 16" xfId="1357"/>
    <cellStyle name="쉼표 [0] 2 19 2 17" xfId="1358"/>
    <cellStyle name="쉼표 [0] 2 19 2 2" xfId="1359"/>
    <cellStyle name="쉼표 [0] 2 19 2 2 2" xfId="1360"/>
    <cellStyle name="쉼표 [0] 2 19 2 2 2 2" xfId="1361"/>
    <cellStyle name="쉼표 [0] 2 19 2 2 3" xfId="1362"/>
    <cellStyle name="쉼표 [0] 2 19 2 2 3 2" xfId="1363"/>
    <cellStyle name="쉼표 [0] 2 19 2 3" xfId="1364"/>
    <cellStyle name="쉼표 [0] 2 19 2 3 2" xfId="1365"/>
    <cellStyle name="쉼표 [0] 2 19 2 4" xfId="1366"/>
    <cellStyle name="쉼표 [0] 2 19 2 4 2" xfId="1367"/>
    <cellStyle name="쉼표 [0] 2 19 2 5" xfId="1368"/>
    <cellStyle name="쉼표 [0] 2 19 2 5 2" xfId="1369"/>
    <cellStyle name="쉼표 [0] 2 19 2 6" xfId="1370"/>
    <cellStyle name="쉼표 [0] 2 19 2 6 2" xfId="1371"/>
    <cellStyle name="쉼표 [0] 2 19 2 7" xfId="1372"/>
    <cellStyle name="쉼표 [0] 2 19 2 7 2" xfId="1373"/>
    <cellStyle name="쉼표 [0] 2 19 2 8" xfId="1374"/>
    <cellStyle name="쉼표 [0] 2 19 2 8 2" xfId="1375"/>
    <cellStyle name="쉼표 [0] 2 19 2 9" xfId="1376"/>
    <cellStyle name="쉼표 [0] 2 19 2 9 2" xfId="1377"/>
    <cellStyle name="쉼표 [0] 2 19 3" xfId="1378"/>
    <cellStyle name="쉼표 [0] 2 19 3 2" xfId="1379"/>
    <cellStyle name="쉼표 [0] 2 19 3 3" xfId="1380"/>
    <cellStyle name="쉼표 [0] 2 19 4" xfId="1381"/>
    <cellStyle name="쉼표 [0] 2 19 5" xfId="1382"/>
    <cellStyle name="쉼표 [0] 2 19 6" xfId="1383"/>
    <cellStyle name="쉼표 [0] 2 19 7" xfId="1384"/>
    <cellStyle name="쉼표 [0] 2 19 8" xfId="1385"/>
    <cellStyle name="쉼표 [0] 2 19 9" xfId="1386"/>
    <cellStyle name="쉼표 [0] 2 2" xfId="1387"/>
    <cellStyle name="쉼표 [0] 2 2 2" xfId="1388"/>
    <cellStyle name="쉼표 [0] 2 2 2 2" xfId="1389"/>
    <cellStyle name="쉼표 [0] 2 2 2 2 2" xfId="1390"/>
    <cellStyle name="쉼표 [0] 2 2 2 2 2 2" xfId="1391"/>
    <cellStyle name="쉼표 [0] 2 2 2 3" xfId="1392"/>
    <cellStyle name="쉼표 [0] 2 2 2 3 2" xfId="1393"/>
    <cellStyle name="쉼표 [0] 2 2 2 4" xfId="1394"/>
    <cellStyle name="쉼표 [0] 2 2 3" xfId="1395"/>
    <cellStyle name="쉼표 [0] 2 2 3 2" xfId="3218"/>
    <cellStyle name="쉼표 [0] 2 2 4" xfId="1396"/>
    <cellStyle name="쉼표 [0] 2 2 5" xfId="1397"/>
    <cellStyle name="쉼표 [0] 2 2 6" xfId="1398"/>
    <cellStyle name="쉼표 [0] 2 2 7" xfId="1399"/>
    <cellStyle name="쉼표 [0] 2 20" xfId="1400"/>
    <cellStyle name="쉼표 [0] 2 20 2" xfId="1401"/>
    <cellStyle name="쉼표 [0] 2 20 2 2" xfId="1402"/>
    <cellStyle name="쉼표 [0] 2 20 2 2 2" xfId="1403"/>
    <cellStyle name="쉼표 [0] 2 20 2 3" xfId="1404"/>
    <cellStyle name="쉼표 [0] 2 20 3" xfId="1405"/>
    <cellStyle name="쉼표 [0] 2 20 4" xfId="1406"/>
    <cellStyle name="쉼표 [0] 2 20 5" xfId="1407"/>
    <cellStyle name="쉼표 [0] 2 20 6" xfId="1408"/>
    <cellStyle name="쉼표 [0] 2 20 7" xfId="1409"/>
    <cellStyle name="쉼표 [0] 2 21" xfId="1410"/>
    <cellStyle name="쉼표 [0] 2 21 10" xfId="1411"/>
    <cellStyle name="쉼표 [0] 2 21 11" xfId="1412"/>
    <cellStyle name="쉼표 [0] 2 21 12" xfId="1413"/>
    <cellStyle name="쉼표 [0] 2 21 2" xfId="1414"/>
    <cellStyle name="쉼표 [0] 2 21 2 2" xfId="1415"/>
    <cellStyle name="쉼표 [0] 2 21 2 3" xfId="1416"/>
    <cellStyle name="쉼표 [0] 2 21 3" xfId="1417"/>
    <cellStyle name="쉼표 [0] 2 21 4" xfId="1418"/>
    <cellStyle name="쉼표 [0] 2 21 5" xfId="1419"/>
    <cellStyle name="쉼표 [0] 2 21 6" xfId="1420"/>
    <cellStyle name="쉼표 [0] 2 21 7" xfId="1421"/>
    <cellStyle name="쉼표 [0] 2 21 8" xfId="1422"/>
    <cellStyle name="쉼표 [0] 2 21 9" xfId="1423"/>
    <cellStyle name="쉼표 [0] 2 22" xfId="1424"/>
    <cellStyle name="쉼표 [0] 2 22 2" xfId="1425"/>
    <cellStyle name="쉼표 [0] 2 22 2 2" xfId="1426"/>
    <cellStyle name="쉼표 [0] 2 22 2 2 2" xfId="1427"/>
    <cellStyle name="쉼표 [0] 2 22 2 3" xfId="1428"/>
    <cellStyle name="쉼표 [0] 2 22 3" xfId="1429"/>
    <cellStyle name="쉼표 [0] 2 22 4" xfId="1430"/>
    <cellStyle name="쉼표 [0] 2 22 5" xfId="1431"/>
    <cellStyle name="쉼표 [0] 2 22 6" xfId="1432"/>
    <cellStyle name="쉼표 [0] 2 22 7" xfId="1433"/>
    <cellStyle name="쉼표 [0] 2 23" xfId="1434"/>
    <cellStyle name="쉼표 [0] 2 23 2" xfId="1435"/>
    <cellStyle name="쉼표 [0] 2 23 2 2" xfId="1436"/>
    <cellStyle name="쉼표 [0] 2 23 2 2 2" xfId="1437"/>
    <cellStyle name="쉼표 [0] 2 23 2 3" xfId="1438"/>
    <cellStyle name="쉼표 [0] 2 23 3" xfId="1439"/>
    <cellStyle name="쉼표 [0] 2 23 4" xfId="1440"/>
    <cellStyle name="쉼표 [0] 2 23 5" xfId="1441"/>
    <cellStyle name="쉼표 [0] 2 23 6" xfId="1442"/>
    <cellStyle name="쉼표 [0] 2 23 7" xfId="1443"/>
    <cellStyle name="쉼표 [0] 2 24" xfId="1444"/>
    <cellStyle name="쉼표 [0] 2 24 2" xfId="1445"/>
    <cellStyle name="쉼표 [0] 2 24 2 2" xfId="1446"/>
    <cellStyle name="쉼표 [0] 2 24 2 2 2" xfId="1447"/>
    <cellStyle name="쉼표 [0] 2 24 2 3" xfId="1448"/>
    <cellStyle name="쉼표 [0] 2 24 3" xfId="1449"/>
    <cellStyle name="쉼표 [0] 2 24 4" xfId="1450"/>
    <cellStyle name="쉼표 [0] 2 24 5" xfId="1451"/>
    <cellStyle name="쉼표 [0] 2 24 6" xfId="1452"/>
    <cellStyle name="쉼표 [0] 2 24 7" xfId="1453"/>
    <cellStyle name="쉼표 [0] 2 25" xfId="1454"/>
    <cellStyle name="쉼표 [0] 2 25 2" xfId="1455"/>
    <cellStyle name="쉼표 [0] 2 25 2 2" xfId="1456"/>
    <cellStyle name="쉼표 [0] 2 25 2 2 2" xfId="1457"/>
    <cellStyle name="쉼표 [0] 2 25 2 3" xfId="1458"/>
    <cellStyle name="쉼표 [0] 2 25 3" xfId="1459"/>
    <cellStyle name="쉼표 [0] 2 25 4" xfId="1460"/>
    <cellStyle name="쉼표 [0] 2 25 5" xfId="1461"/>
    <cellStyle name="쉼표 [0] 2 25 6" xfId="1462"/>
    <cellStyle name="쉼표 [0] 2 25 7" xfId="1463"/>
    <cellStyle name="쉼표 [0] 2 26" xfId="1464"/>
    <cellStyle name="쉼표 [0] 2 26 2" xfId="1465"/>
    <cellStyle name="쉼표 [0] 2 26 2 2" xfId="1466"/>
    <cellStyle name="쉼표 [0] 2 26 2 2 2" xfId="1467"/>
    <cellStyle name="쉼표 [0] 2 26 2 3" xfId="1468"/>
    <cellStyle name="쉼표 [0] 2 26 3" xfId="1469"/>
    <cellStyle name="쉼표 [0] 2 26 4" xfId="1470"/>
    <cellStyle name="쉼표 [0] 2 26 5" xfId="1471"/>
    <cellStyle name="쉼표 [0] 2 26 6" xfId="1472"/>
    <cellStyle name="쉼표 [0] 2 26 7" xfId="1473"/>
    <cellStyle name="쉼표 [0] 2 27" xfId="1474"/>
    <cellStyle name="쉼표 [0] 2 27 2" xfId="1475"/>
    <cellStyle name="쉼표 [0] 2 27 2 2" xfId="1476"/>
    <cellStyle name="쉼표 [0] 2 27 2 2 2" xfId="1477"/>
    <cellStyle name="쉼표 [0] 2 27 2 3" xfId="1478"/>
    <cellStyle name="쉼표 [0] 2 27 3" xfId="1479"/>
    <cellStyle name="쉼표 [0] 2 27 4" xfId="1480"/>
    <cellStyle name="쉼표 [0] 2 27 5" xfId="1481"/>
    <cellStyle name="쉼표 [0] 2 27 6" xfId="1482"/>
    <cellStyle name="쉼표 [0] 2 27 7" xfId="1483"/>
    <cellStyle name="쉼표 [0] 2 28" xfId="1484"/>
    <cellStyle name="쉼표 [0] 2 28 2" xfId="1485"/>
    <cellStyle name="쉼표 [0] 2 28 2 2" xfId="1486"/>
    <cellStyle name="쉼표 [0] 2 28 2 2 2" xfId="1487"/>
    <cellStyle name="쉼표 [0] 2 28 2 3" xfId="1488"/>
    <cellStyle name="쉼표 [0] 2 28 3" xfId="1489"/>
    <cellStyle name="쉼표 [0] 2 28 4" xfId="1490"/>
    <cellStyle name="쉼표 [0] 2 28 5" xfId="1491"/>
    <cellStyle name="쉼표 [0] 2 28 6" xfId="1492"/>
    <cellStyle name="쉼표 [0] 2 28 7" xfId="1493"/>
    <cellStyle name="쉼표 [0] 2 29" xfId="1494"/>
    <cellStyle name="쉼표 [0] 2 29 2" xfId="1495"/>
    <cellStyle name="쉼표 [0] 2 29 2 2" xfId="1496"/>
    <cellStyle name="쉼표 [0] 2 29 2 2 2" xfId="1497"/>
    <cellStyle name="쉼표 [0] 2 29 2 3" xfId="1498"/>
    <cellStyle name="쉼표 [0] 2 29 3" xfId="1499"/>
    <cellStyle name="쉼표 [0] 2 29 4" xfId="1500"/>
    <cellStyle name="쉼표 [0] 2 29 5" xfId="1501"/>
    <cellStyle name="쉼표 [0] 2 29 6" xfId="1502"/>
    <cellStyle name="쉼표 [0] 2 29 7" xfId="1503"/>
    <cellStyle name="쉼표 [0] 2 3" xfId="1504"/>
    <cellStyle name="쉼표 [0] 2 3 2" xfId="1505"/>
    <cellStyle name="쉼표 [0] 2 3 2 2" xfId="1506"/>
    <cellStyle name="쉼표 [0] 2 3 2 2 2" xfId="1507"/>
    <cellStyle name="쉼표 [0] 2 3 2 3" xfId="1508"/>
    <cellStyle name="쉼표 [0] 2 3 3" xfId="1509"/>
    <cellStyle name="쉼표 [0] 2 3 4" xfId="1510"/>
    <cellStyle name="쉼표 [0] 2 3 5" xfId="1511"/>
    <cellStyle name="쉼표 [0] 2 3 6" xfId="1512"/>
    <cellStyle name="쉼표 [0] 2 3 7" xfId="1513"/>
    <cellStyle name="쉼표 [0] 2 30" xfId="1514"/>
    <cellStyle name="쉼표 [0] 2 30 2" xfId="1515"/>
    <cellStyle name="쉼표 [0] 2 30 2 2" xfId="1516"/>
    <cellStyle name="쉼표 [0] 2 30 3" xfId="1517"/>
    <cellStyle name="쉼표 [0] 2 30 3 2" xfId="1518"/>
    <cellStyle name="쉼표 [0] 2 31" xfId="1519"/>
    <cellStyle name="쉼표 [0] 2 31 2" xfId="1520"/>
    <cellStyle name="쉼표 [0] 2 32" xfId="1521"/>
    <cellStyle name="쉼표 [0] 2 32 2" xfId="1522"/>
    <cellStyle name="쉼표 [0] 2 33" xfId="1523"/>
    <cellStyle name="쉼표 [0] 2 33 2" xfId="1524"/>
    <cellStyle name="쉼표 [0] 2 34" xfId="1525"/>
    <cellStyle name="쉼표 [0] 2 34 2" xfId="1526"/>
    <cellStyle name="쉼표 [0] 2 35" xfId="1527"/>
    <cellStyle name="쉼표 [0] 2 35 2" xfId="1528"/>
    <cellStyle name="쉼표 [0] 2 36" xfId="1529"/>
    <cellStyle name="쉼표 [0] 2 36 2" xfId="1530"/>
    <cellStyle name="쉼표 [0] 2 37" xfId="1531"/>
    <cellStyle name="쉼표 [0] 2 37 2" xfId="1532"/>
    <cellStyle name="쉼표 [0] 2 38" xfId="1533"/>
    <cellStyle name="쉼표 [0] 2 38 2" xfId="1534"/>
    <cellStyle name="쉼표 [0] 2 39" xfId="1535"/>
    <cellStyle name="쉼표 [0] 2 39 2" xfId="1536"/>
    <cellStyle name="쉼표 [0] 2 4" xfId="1537"/>
    <cellStyle name="쉼표 [0] 2 4 2" xfId="1538"/>
    <cellStyle name="쉼표 [0] 2 4 2 2" xfId="1539"/>
    <cellStyle name="쉼표 [0] 2 4 2 2 2" xfId="1540"/>
    <cellStyle name="쉼표 [0] 2 4 2 3" xfId="1541"/>
    <cellStyle name="쉼표 [0] 2 4 3" xfId="1542"/>
    <cellStyle name="쉼표 [0] 2 4 4" xfId="1543"/>
    <cellStyle name="쉼표 [0] 2 4 5" xfId="1544"/>
    <cellStyle name="쉼표 [0] 2 4 6" xfId="1545"/>
    <cellStyle name="쉼표 [0] 2 4 7" xfId="1546"/>
    <cellStyle name="쉼표 [0] 2 40" xfId="1547"/>
    <cellStyle name="쉼표 [0] 2 40 2" xfId="1548"/>
    <cellStyle name="쉼표 [0] 2 41" xfId="1549"/>
    <cellStyle name="쉼표 [0] 2 41 2" xfId="1550"/>
    <cellStyle name="쉼표 [0] 2 42" xfId="1551"/>
    <cellStyle name="쉼표 [0] 2 42 2" xfId="1552"/>
    <cellStyle name="쉼표 [0] 2 43" xfId="1553"/>
    <cellStyle name="쉼표 [0] 2 43 2" xfId="1554"/>
    <cellStyle name="쉼표 [0] 2 44" xfId="1555"/>
    <cellStyle name="쉼표 [0] 2 44 2" xfId="1556"/>
    <cellStyle name="쉼표 [0] 2 45" xfId="1557"/>
    <cellStyle name="쉼표 [0] 2 45 2" xfId="1558"/>
    <cellStyle name="쉼표 [0] 2 46" xfId="1559"/>
    <cellStyle name="쉼표 [0] 2 46 2" xfId="1560"/>
    <cellStyle name="쉼표 [0] 2 47" xfId="1561"/>
    <cellStyle name="쉼표 [0] 2 47 2" xfId="1562"/>
    <cellStyle name="쉼표 [0] 2 48" xfId="1563"/>
    <cellStyle name="쉼표 [0] 2 48 2" xfId="1564"/>
    <cellStyle name="쉼표 [0] 2 49" xfId="1565"/>
    <cellStyle name="쉼표 [0] 2 49 2" xfId="1566"/>
    <cellStyle name="쉼표 [0] 2 5" xfId="1567"/>
    <cellStyle name="쉼표 [0] 2 5 2" xfId="1568"/>
    <cellStyle name="쉼표 [0] 2 5 2 2" xfId="1569"/>
    <cellStyle name="쉼표 [0] 2 5 2 2 2" xfId="1570"/>
    <cellStyle name="쉼표 [0] 2 5 2 3" xfId="1571"/>
    <cellStyle name="쉼표 [0] 2 5 3" xfId="1572"/>
    <cellStyle name="쉼표 [0] 2 5 4" xfId="1573"/>
    <cellStyle name="쉼표 [0] 2 5 5" xfId="1574"/>
    <cellStyle name="쉼표 [0] 2 5 6" xfId="1575"/>
    <cellStyle name="쉼표 [0] 2 5 7" xfId="1576"/>
    <cellStyle name="쉼표 [0] 2 50" xfId="1577"/>
    <cellStyle name="쉼표 [0] 2 51" xfId="1578"/>
    <cellStyle name="쉼표 [0] 2 52" xfId="3146"/>
    <cellStyle name="쉼표 [0] 2 53" xfId="1252"/>
    <cellStyle name="쉼표 [0] 2 6" xfId="1579"/>
    <cellStyle name="쉼표 [0] 2 6 2" xfId="1580"/>
    <cellStyle name="쉼표 [0] 2 6 2 2" xfId="1581"/>
    <cellStyle name="쉼표 [0] 2 6 2 2 2" xfId="1582"/>
    <cellStyle name="쉼표 [0] 2 6 2 3" xfId="1583"/>
    <cellStyle name="쉼표 [0] 2 6 3" xfId="1584"/>
    <cellStyle name="쉼표 [0] 2 6 4" xfId="1585"/>
    <cellStyle name="쉼표 [0] 2 6 5" xfId="1586"/>
    <cellStyle name="쉼표 [0] 2 6 6" xfId="1587"/>
    <cellStyle name="쉼표 [0] 2 6 7" xfId="1588"/>
    <cellStyle name="쉼표 [0] 2 7" xfId="1589"/>
    <cellStyle name="쉼표 [0] 2 7 2" xfId="1590"/>
    <cellStyle name="쉼표 [0] 2 7 2 2" xfId="1591"/>
    <cellStyle name="쉼표 [0] 2 7 2 2 2" xfId="1592"/>
    <cellStyle name="쉼표 [0] 2 7 2 3" xfId="1593"/>
    <cellStyle name="쉼표 [0] 2 7 3" xfId="1594"/>
    <cellStyle name="쉼표 [0] 2 7 4" xfId="1595"/>
    <cellStyle name="쉼표 [0] 2 7 5" xfId="1596"/>
    <cellStyle name="쉼표 [0] 2 7 6" xfId="1597"/>
    <cellStyle name="쉼표 [0] 2 7 7" xfId="1598"/>
    <cellStyle name="쉼표 [0] 2 8" xfId="1599"/>
    <cellStyle name="쉼표 [0] 2 8 2" xfId="1600"/>
    <cellStyle name="쉼표 [0] 2 8 2 2" xfId="1601"/>
    <cellStyle name="쉼표 [0] 2 8 2 2 2" xfId="1602"/>
    <cellStyle name="쉼표 [0] 2 8 2 3" xfId="1603"/>
    <cellStyle name="쉼표 [0] 2 8 3" xfId="1604"/>
    <cellStyle name="쉼표 [0] 2 8 4" xfId="1605"/>
    <cellStyle name="쉼표 [0] 2 8 5" xfId="1606"/>
    <cellStyle name="쉼표 [0] 2 8 6" xfId="1607"/>
    <cellStyle name="쉼표 [0] 2 8 7" xfId="1608"/>
    <cellStyle name="쉼표 [0] 2 9" xfId="1609"/>
    <cellStyle name="쉼표 [0] 2 9 2" xfId="1610"/>
    <cellStyle name="쉼표 [0] 2 9 2 2" xfId="1611"/>
    <cellStyle name="쉼표 [0] 2 9 2 2 2" xfId="1612"/>
    <cellStyle name="쉼표 [0] 2 9 2 3" xfId="1613"/>
    <cellStyle name="쉼표 [0] 2 9 3" xfId="1614"/>
    <cellStyle name="쉼표 [0] 2 9 4" xfId="1615"/>
    <cellStyle name="쉼표 [0] 2 9 5" xfId="1616"/>
    <cellStyle name="쉼표 [0] 2 9 6" xfId="1617"/>
    <cellStyle name="쉼표 [0] 2 9 7" xfId="1618"/>
    <cellStyle name="쉼표 [0] 20" xfId="1619"/>
    <cellStyle name="쉼표 [0] 21" xfId="1620"/>
    <cellStyle name="쉼표 [0] 21 2" xfId="1621"/>
    <cellStyle name="쉼표 [0] 21 2 2" xfId="1622"/>
    <cellStyle name="쉼표 [0] 21 2 3" xfId="1623"/>
    <cellStyle name="쉼표 [0] 21 2 4" xfId="1624"/>
    <cellStyle name="쉼표 [0] 21 2 5" xfId="1625"/>
    <cellStyle name="쉼표 [0] 21 2 5 2" xfId="1626"/>
    <cellStyle name="쉼표 [0] 21 2 6" xfId="1627"/>
    <cellStyle name="쉼표 [0] 21 3" xfId="1628"/>
    <cellStyle name="쉼표 [0] 21 3 2" xfId="1629"/>
    <cellStyle name="쉼표 [0] 21 3 3" xfId="1630"/>
    <cellStyle name="쉼표 [0] 21 3 4" xfId="1631"/>
    <cellStyle name="쉼표 [0] 21 3 5" xfId="1632"/>
    <cellStyle name="쉼표 [0] 21 4" xfId="1633"/>
    <cellStyle name="쉼표 [0] 21 4 2" xfId="1634"/>
    <cellStyle name="쉼표 [0] 21 4 3" xfId="1635"/>
    <cellStyle name="쉼표 [0] 21 4 4" xfId="1636"/>
    <cellStyle name="쉼표 [0] 21 4 5" xfId="1637"/>
    <cellStyle name="쉼표 [0] 22" xfId="1638"/>
    <cellStyle name="쉼표 [0] 23" xfId="1639"/>
    <cellStyle name="쉼표 [0] 24" xfId="1640"/>
    <cellStyle name="쉼표 [0] 25" xfId="1641"/>
    <cellStyle name="쉼표 [0] 26" xfId="1642"/>
    <cellStyle name="쉼표 [0] 27" xfId="1643"/>
    <cellStyle name="쉼표 [0] 27 2" xfId="1644"/>
    <cellStyle name="쉼표 [0] 28" xfId="1645"/>
    <cellStyle name="쉼표 [0] 29" xfId="1646"/>
    <cellStyle name="쉼표 [0] 3" xfId="1647"/>
    <cellStyle name="쉼표 [0] 3 10" xfId="1648"/>
    <cellStyle name="쉼표 [0] 3 10 2" xfId="1649"/>
    <cellStyle name="쉼표 [0] 3 10 2 2" xfId="1650"/>
    <cellStyle name="쉼표 [0] 3 11" xfId="1651"/>
    <cellStyle name="쉼표 [0] 3 12" xfId="1652"/>
    <cellStyle name="쉼표 [0] 3 13" xfId="1653"/>
    <cellStyle name="쉼표 [0] 3 14" xfId="1654"/>
    <cellStyle name="쉼표 [0] 3 15" xfId="1655"/>
    <cellStyle name="쉼표 [0] 3 16" xfId="1656"/>
    <cellStyle name="쉼표 [0] 3 17" xfId="1657"/>
    <cellStyle name="쉼표 [0] 3 18" xfId="1658"/>
    <cellStyle name="쉼표 [0] 3 19" xfId="1659"/>
    <cellStyle name="쉼표 [0] 3 2" xfId="1660"/>
    <cellStyle name="쉼표 [0] 3 2 10" xfId="1661"/>
    <cellStyle name="쉼표 [0] 3 2 10 2" xfId="1662"/>
    <cellStyle name="쉼표 [0] 3 2 10 2 2" xfId="1663"/>
    <cellStyle name="쉼표 [0] 3 2 10 2 2 2" xfId="1664"/>
    <cellStyle name="쉼표 [0] 3 2 10 3" xfId="1665"/>
    <cellStyle name="쉼표 [0] 3 2 10 4" xfId="1666"/>
    <cellStyle name="쉼표 [0] 3 2 10 5" xfId="1667"/>
    <cellStyle name="쉼표 [0] 3 2 10 6" xfId="1668"/>
    <cellStyle name="쉼표 [0] 3 2 11" xfId="1669"/>
    <cellStyle name="쉼표 [0] 3 2 11 2" xfId="1670"/>
    <cellStyle name="쉼표 [0] 3 2 11 2 2" xfId="1671"/>
    <cellStyle name="쉼표 [0] 3 2 11 2 2 2" xfId="1672"/>
    <cellStyle name="쉼표 [0] 3 2 11 3" xfId="1673"/>
    <cellStyle name="쉼표 [0] 3 2 11 4" xfId="1674"/>
    <cellStyle name="쉼표 [0] 3 2 11 5" xfId="1675"/>
    <cellStyle name="쉼표 [0] 3 2 11 6" xfId="1676"/>
    <cellStyle name="쉼표 [0] 3 2 12" xfId="1677"/>
    <cellStyle name="쉼표 [0] 3 2 12 2" xfId="1678"/>
    <cellStyle name="쉼표 [0] 3 2 12 2 2" xfId="1679"/>
    <cellStyle name="쉼표 [0] 3 2 12 2 2 2" xfId="1680"/>
    <cellStyle name="쉼표 [0] 3 2 12 3" xfId="1681"/>
    <cellStyle name="쉼표 [0] 3 2 12 4" xfId="1682"/>
    <cellStyle name="쉼표 [0] 3 2 12 5" xfId="1683"/>
    <cellStyle name="쉼표 [0] 3 2 12 6" xfId="1684"/>
    <cellStyle name="쉼표 [0] 3 2 13" xfId="1685"/>
    <cellStyle name="쉼표 [0] 3 2 13 2" xfId="1686"/>
    <cellStyle name="쉼표 [0] 3 2 13 2 2" xfId="1687"/>
    <cellStyle name="쉼표 [0] 3 2 13 2 2 2" xfId="1688"/>
    <cellStyle name="쉼표 [0] 3 2 13 3" xfId="1689"/>
    <cellStyle name="쉼표 [0] 3 2 13 4" xfId="1690"/>
    <cellStyle name="쉼표 [0] 3 2 13 5" xfId="1691"/>
    <cellStyle name="쉼표 [0] 3 2 13 6" xfId="1692"/>
    <cellStyle name="쉼표 [0] 3 2 14" xfId="1693"/>
    <cellStyle name="쉼표 [0] 3 2 14 2" xfId="1694"/>
    <cellStyle name="쉼표 [0] 3 2 14 2 2" xfId="1695"/>
    <cellStyle name="쉼표 [0] 3 2 14 2 2 2" xfId="1696"/>
    <cellStyle name="쉼표 [0] 3 2 14 3" xfId="1697"/>
    <cellStyle name="쉼표 [0] 3 2 14 4" xfId="1698"/>
    <cellStyle name="쉼표 [0] 3 2 14 5" xfId="1699"/>
    <cellStyle name="쉼표 [0] 3 2 14 6" xfId="1700"/>
    <cellStyle name="쉼표 [0] 3 2 15" xfId="1701"/>
    <cellStyle name="쉼표 [0] 3 2 15 2" xfId="1702"/>
    <cellStyle name="쉼표 [0] 3 2 15 2 2" xfId="1703"/>
    <cellStyle name="쉼표 [0] 3 2 15 2 2 2" xfId="1704"/>
    <cellStyle name="쉼표 [0] 3 2 15 3" xfId="1705"/>
    <cellStyle name="쉼표 [0] 3 2 15 4" xfId="1706"/>
    <cellStyle name="쉼표 [0] 3 2 15 5" xfId="1707"/>
    <cellStyle name="쉼표 [0] 3 2 15 6" xfId="1708"/>
    <cellStyle name="쉼표 [0] 3 2 16" xfId="1709"/>
    <cellStyle name="쉼표 [0] 3 2 16 2" xfId="1710"/>
    <cellStyle name="쉼표 [0] 3 2 16 2 2" xfId="1711"/>
    <cellStyle name="쉼표 [0] 3 2 16 2 2 2" xfId="1712"/>
    <cellStyle name="쉼표 [0] 3 2 16 3" xfId="1713"/>
    <cellStyle name="쉼표 [0] 3 2 16 4" xfId="1714"/>
    <cellStyle name="쉼표 [0] 3 2 16 5" xfId="1715"/>
    <cellStyle name="쉼표 [0] 3 2 16 6" xfId="1716"/>
    <cellStyle name="쉼표 [0] 3 2 17" xfId="1717"/>
    <cellStyle name="쉼표 [0] 3 2 17 2" xfId="1718"/>
    <cellStyle name="쉼표 [0] 3 2 17 2 2" xfId="1719"/>
    <cellStyle name="쉼표 [0] 3 2 17 2 2 2" xfId="1720"/>
    <cellStyle name="쉼표 [0] 3 2 17 3" xfId="1721"/>
    <cellStyle name="쉼표 [0] 3 2 17 4" xfId="1722"/>
    <cellStyle name="쉼표 [0] 3 2 17 5" xfId="1723"/>
    <cellStyle name="쉼표 [0] 3 2 17 6" xfId="1724"/>
    <cellStyle name="쉼표 [0] 3 2 18" xfId="1725"/>
    <cellStyle name="쉼표 [0] 3 2 18 2" xfId="1726"/>
    <cellStyle name="쉼표 [0] 3 2 18 2 2" xfId="1727"/>
    <cellStyle name="쉼표 [0] 3 2 18 2 2 2" xfId="1728"/>
    <cellStyle name="쉼표 [0] 3 2 18 3" xfId="1729"/>
    <cellStyle name="쉼표 [0] 3 2 18 4" xfId="1730"/>
    <cellStyle name="쉼표 [0] 3 2 18 5" xfId="1731"/>
    <cellStyle name="쉼표 [0] 3 2 18 6" xfId="1732"/>
    <cellStyle name="쉼표 [0] 3 2 19" xfId="1733"/>
    <cellStyle name="쉼표 [0] 3 2 19 2" xfId="1734"/>
    <cellStyle name="쉼표 [0] 3 2 19 2 2" xfId="1735"/>
    <cellStyle name="쉼표 [0] 3 2 19 2 2 2" xfId="1736"/>
    <cellStyle name="쉼표 [0] 3 2 19 3" xfId="1737"/>
    <cellStyle name="쉼표 [0] 3 2 19 4" xfId="1738"/>
    <cellStyle name="쉼표 [0] 3 2 19 5" xfId="1739"/>
    <cellStyle name="쉼표 [0] 3 2 19 6" xfId="1740"/>
    <cellStyle name="쉼표 [0] 3 2 2" xfId="1741"/>
    <cellStyle name="쉼표 [0] 3 2 2 2" xfId="1742"/>
    <cellStyle name="쉼표 [0] 3 2 2 2 2" xfId="1743"/>
    <cellStyle name="쉼표 [0] 3 2 2 2 2 2" xfId="1744"/>
    <cellStyle name="쉼표 [0] 3 2 2 2 2 3" xfId="1745"/>
    <cellStyle name="쉼표 [0] 3 2 2 2 2 4" xfId="1746"/>
    <cellStyle name="쉼표 [0] 3 2 2 2 2 5" xfId="1747"/>
    <cellStyle name="쉼표 [0] 3 2 2 2 2 5 2" xfId="1748"/>
    <cellStyle name="쉼표 [0] 3 2 2 2 2 6" xfId="1749"/>
    <cellStyle name="쉼표 [0] 3 2 2 2 3" xfId="1750"/>
    <cellStyle name="쉼표 [0] 3 2 2 2 3 2" xfId="1751"/>
    <cellStyle name="쉼표 [0] 3 2 2 2 3 3" xfId="1752"/>
    <cellStyle name="쉼표 [0] 3 2 2 2 3 4" xfId="1753"/>
    <cellStyle name="쉼표 [0] 3 2 2 2 3 5" xfId="1754"/>
    <cellStyle name="쉼표 [0] 3 2 2 2 4" xfId="1755"/>
    <cellStyle name="쉼표 [0] 3 2 2 2 4 2" xfId="1756"/>
    <cellStyle name="쉼표 [0] 3 2 2 2 4 3" xfId="1757"/>
    <cellStyle name="쉼표 [0] 3 2 2 2 4 4" xfId="1758"/>
    <cellStyle name="쉼표 [0] 3 2 2 2 4 5" xfId="1759"/>
    <cellStyle name="쉼표 [0] 3 2 2 2 5" xfId="1760"/>
    <cellStyle name="쉼표 [0] 3 2 2 3" xfId="1761"/>
    <cellStyle name="쉼표 [0] 3 2 2 4" xfId="1762"/>
    <cellStyle name="쉼표 [0] 3 2 2 5" xfId="1763"/>
    <cellStyle name="쉼표 [0] 3 2 2 6" xfId="1764"/>
    <cellStyle name="쉼표 [0] 3 2 2 7" xfId="1765"/>
    <cellStyle name="쉼표 [0] 3 2 2 8" xfId="1766"/>
    <cellStyle name="쉼표 [0] 3 2 2 9" xfId="1767"/>
    <cellStyle name="쉼표 [0] 3 2 20" xfId="1768"/>
    <cellStyle name="쉼표 [0] 3 2 20 2" xfId="1769"/>
    <cellStyle name="쉼표 [0] 3 2 20 2 2" xfId="1770"/>
    <cellStyle name="쉼표 [0] 3 2 20 2 2 2" xfId="1771"/>
    <cellStyle name="쉼표 [0] 3 2 20 3" xfId="1772"/>
    <cellStyle name="쉼표 [0] 3 2 20 4" xfId="1773"/>
    <cellStyle name="쉼표 [0] 3 2 20 5" xfId="1774"/>
    <cellStyle name="쉼표 [0] 3 2 20 6" xfId="1775"/>
    <cellStyle name="쉼표 [0] 3 2 21" xfId="1776"/>
    <cellStyle name="쉼표 [0] 3 2 21 2" xfId="1777"/>
    <cellStyle name="쉼표 [0] 3 2 21 2 2" xfId="1778"/>
    <cellStyle name="쉼표 [0] 3 2 21 2 2 2" xfId="1779"/>
    <cellStyle name="쉼표 [0] 3 2 21 3" xfId="1780"/>
    <cellStyle name="쉼표 [0] 3 2 21 4" xfId="1781"/>
    <cellStyle name="쉼표 [0] 3 2 21 5" xfId="1782"/>
    <cellStyle name="쉼표 [0] 3 2 21 6" xfId="1783"/>
    <cellStyle name="쉼표 [0] 3 2 22" xfId="1784"/>
    <cellStyle name="쉼표 [0] 3 2 22 2" xfId="1785"/>
    <cellStyle name="쉼표 [0] 3 2 22 2 2" xfId="1786"/>
    <cellStyle name="쉼표 [0] 3 2 22 2 2 2" xfId="1787"/>
    <cellStyle name="쉼표 [0] 3 2 22 3" xfId="1788"/>
    <cellStyle name="쉼표 [0] 3 2 22 4" xfId="1789"/>
    <cellStyle name="쉼표 [0] 3 2 22 5" xfId="1790"/>
    <cellStyle name="쉼표 [0] 3 2 22 6" xfId="1791"/>
    <cellStyle name="쉼표 [0] 3 2 23" xfId="1792"/>
    <cellStyle name="쉼표 [0] 3 2 23 2" xfId="1793"/>
    <cellStyle name="쉼표 [0] 3 2 23 2 2" xfId="1794"/>
    <cellStyle name="쉼표 [0] 3 2 23 2 2 2" xfId="1795"/>
    <cellStyle name="쉼표 [0] 3 2 23 3" xfId="1796"/>
    <cellStyle name="쉼표 [0] 3 2 23 4" xfId="1797"/>
    <cellStyle name="쉼표 [0] 3 2 23 5" xfId="1798"/>
    <cellStyle name="쉼표 [0] 3 2 23 6" xfId="1799"/>
    <cellStyle name="쉼표 [0] 3 2 24" xfId="1800"/>
    <cellStyle name="쉼표 [0] 3 2 24 2" xfId="1801"/>
    <cellStyle name="쉼표 [0] 3 2 24 2 2" xfId="1802"/>
    <cellStyle name="쉼표 [0] 3 2 24 2 2 2" xfId="1803"/>
    <cellStyle name="쉼표 [0] 3 2 24 3" xfId="1804"/>
    <cellStyle name="쉼표 [0] 3 2 24 4" xfId="1805"/>
    <cellStyle name="쉼표 [0] 3 2 24 5" xfId="1806"/>
    <cellStyle name="쉼표 [0] 3 2 24 6" xfId="1807"/>
    <cellStyle name="쉼표 [0] 3 2 25" xfId="1808"/>
    <cellStyle name="쉼표 [0] 3 2 25 2" xfId="1809"/>
    <cellStyle name="쉼표 [0] 3 2 25 2 2" xfId="1810"/>
    <cellStyle name="쉼표 [0] 3 2 25 2 2 2" xfId="1811"/>
    <cellStyle name="쉼표 [0] 3 2 25 3" xfId="1812"/>
    <cellStyle name="쉼표 [0] 3 2 25 4" xfId="1813"/>
    <cellStyle name="쉼표 [0] 3 2 25 5" xfId="1814"/>
    <cellStyle name="쉼표 [0] 3 2 25 6" xfId="1815"/>
    <cellStyle name="쉼표 [0] 3 2 26" xfId="1816"/>
    <cellStyle name="쉼표 [0] 3 2 26 2" xfId="1817"/>
    <cellStyle name="쉼표 [0] 3 2 26 2 2" xfId="1818"/>
    <cellStyle name="쉼표 [0] 3 2 26 2 2 2" xfId="1819"/>
    <cellStyle name="쉼표 [0] 3 2 26 3" xfId="1820"/>
    <cellStyle name="쉼표 [0] 3 2 26 4" xfId="1821"/>
    <cellStyle name="쉼표 [0] 3 2 26 5" xfId="1822"/>
    <cellStyle name="쉼표 [0] 3 2 26 6" xfId="1823"/>
    <cellStyle name="쉼표 [0] 3 2 27" xfId="1824"/>
    <cellStyle name="쉼표 [0] 3 2 27 2" xfId="1825"/>
    <cellStyle name="쉼표 [0] 3 2 27 2 2" xfId="1826"/>
    <cellStyle name="쉼표 [0] 3 2 27 2 2 2" xfId="1827"/>
    <cellStyle name="쉼표 [0] 3 2 27 3" xfId="1828"/>
    <cellStyle name="쉼표 [0] 3 2 27 4" xfId="1829"/>
    <cellStyle name="쉼표 [0] 3 2 27 5" xfId="1830"/>
    <cellStyle name="쉼표 [0] 3 2 27 6" xfId="1831"/>
    <cellStyle name="쉼표 [0] 3 2 28" xfId="1832"/>
    <cellStyle name="쉼표 [0] 3 2 28 2" xfId="1833"/>
    <cellStyle name="쉼표 [0] 3 2 28 2 2" xfId="1834"/>
    <cellStyle name="쉼표 [0] 3 2 28 2 2 2" xfId="1835"/>
    <cellStyle name="쉼표 [0] 3 2 28 3" xfId="1836"/>
    <cellStyle name="쉼표 [0] 3 2 28 4" xfId="1837"/>
    <cellStyle name="쉼표 [0] 3 2 28 5" xfId="1838"/>
    <cellStyle name="쉼표 [0] 3 2 28 6" xfId="1839"/>
    <cellStyle name="쉼표 [0] 3 2 29" xfId="1840"/>
    <cellStyle name="쉼표 [0] 3 2 29 2" xfId="1841"/>
    <cellStyle name="쉼표 [0] 3 2 29 2 2" xfId="1842"/>
    <cellStyle name="쉼표 [0] 3 2 29 2 2 2" xfId="1843"/>
    <cellStyle name="쉼표 [0] 3 2 29 3" xfId="1844"/>
    <cellStyle name="쉼표 [0] 3 2 29 4" xfId="1845"/>
    <cellStyle name="쉼표 [0] 3 2 29 5" xfId="1846"/>
    <cellStyle name="쉼표 [0] 3 2 29 6" xfId="1847"/>
    <cellStyle name="쉼표 [0] 3 2 3" xfId="1848"/>
    <cellStyle name="쉼표 [0] 3 2 3 2" xfId="1849"/>
    <cellStyle name="쉼표 [0] 3 2 3 2 2" xfId="1850"/>
    <cellStyle name="쉼표 [0] 3 2 3 2 2 2" xfId="1851"/>
    <cellStyle name="쉼표 [0] 3 2 3 3" xfId="1852"/>
    <cellStyle name="쉼표 [0] 3 2 3 4" xfId="1853"/>
    <cellStyle name="쉼표 [0] 3 2 3 5" xfId="1854"/>
    <cellStyle name="쉼표 [0] 3 2 3 6" xfId="1855"/>
    <cellStyle name="쉼표 [0] 3 2 30" xfId="1856"/>
    <cellStyle name="쉼표 [0] 3 2 30 2" xfId="1857"/>
    <cellStyle name="쉼표 [0] 3 2 30 2 2" xfId="1858"/>
    <cellStyle name="쉼표 [0] 3 2 30 2 2 2" xfId="1859"/>
    <cellStyle name="쉼표 [0] 3 2 30 3" xfId="1860"/>
    <cellStyle name="쉼표 [0] 3 2 30 4" xfId="1861"/>
    <cellStyle name="쉼표 [0] 3 2 30 5" xfId="1862"/>
    <cellStyle name="쉼표 [0] 3 2 30 6" xfId="1863"/>
    <cellStyle name="쉼표 [0] 3 2 31" xfId="1864"/>
    <cellStyle name="쉼표 [0] 3 2 31 2" xfId="1865"/>
    <cellStyle name="쉼표 [0] 3 2 31 2 2" xfId="1866"/>
    <cellStyle name="쉼표 [0] 3 2 31 2 2 2" xfId="1867"/>
    <cellStyle name="쉼표 [0] 3 2 31 3" xfId="1868"/>
    <cellStyle name="쉼표 [0] 3 2 31 4" xfId="1869"/>
    <cellStyle name="쉼표 [0] 3 2 31 5" xfId="1870"/>
    <cellStyle name="쉼표 [0] 3 2 31 6" xfId="1871"/>
    <cellStyle name="쉼표 [0] 3 2 32" xfId="1872"/>
    <cellStyle name="쉼표 [0] 3 2 32 2" xfId="1873"/>
    <cellStyle name="쉼표 [0] 3 2 32 2 2" xfId="1874"/>
    <cellStyle name="쉼표 [0] 3 2 32 2 2 2" xfId="1875"/>
    <cellStyle name="쉼표 [0] 3 2 32 3" xfId="1876"/>
    <cellStyle name="쉼표 [0] 3 2 32 4" xfId="1877"/>
    <cellStyle name="쉼표 [0] 3 2 32 5" xfId="1878"/>
    <cellStyle name="쉼표 [0] 3 2 32 6" xfId="1879"/>
    <cellStyle name="쉼표 [0] 3 2 33" xfId="1880"/>
    <cellStyle name="쉼표 [0] 3 2 33 2" xfId="1881"/>
    <cellStyle name="쉼표 [0] 3 2 33 2 2" xfId="1882"/>
    <cellStyle name="쉼표 [0] 3 2 33 2 2 2" xfId="1883"/>
    <cellStyle name="쉼표 [0] 3 2 33 3" xfId="1884"/>
    <cellStyle name="쉼표 [0] 3 2 33 4" xfId="1885"/>
    <cellStyle name="쉼표 [0] 3 2 33 5" xfId="1886"/>
    <cellStyle name="쉼표 [0] 3 2 33 6" xfId="1887"/>
    <cellStyle name="쉼표 [0] 3 2 34" xfId="1888"/>
    <cellStyle name="쉼표 [0] 3 2 34 2" xfId="1889"/>
    <cellStyle name="쉼표 [0] 3 2 34 2 2" xfId="1890"/>
    <cellStyle name="쉼표 [0] 3 2 34 2 2 2" xfId="1891"/>
    <cellStyle name="쉼표 [0] 3 2 34 3" xfId="1892"/>
    <cellStyle name="쉼표 [0] 3 2 34 4" xfId="1893"/>
    <cellStyle name="쉼표 [0] 3 2 34 5" xfId="1894"/>
    <cellStyle name="쉼표 [0] 3 2 34 6" xfId="1895"/>
    <cellStyle name="쉼표 [0] 3 2 35" xfId="1896"/>
    <cellStyle name="쉼표 [0] 3 2 35 2" xfId="1897"/>
    <cellStyle name="쉼표 [0] 3 2 35 2 2" xfId="1898"/>
    <cellStyle name="쉼표 [0] 3 2 35 2 2 2" xfId="1899"/>
    <cellStyle name="쉼표 [0] 3 2 35 3" xfId="1900"/>
    <cellStyle name="쉼표 [0] 3 2 35 4" xfId="1901"/>
    <cellStyle name="쉼표 [0] 3 2 35 5" xfId="1902"/>
    <cellStyle name="쉼표 [0] 3 2 35 6" xfId="1903"/>
    <cellStyle name="쉼표 [0] 3 2 36" xfId="1904"/>
    <cellStyle name="쉼표 [0] 3 2 36 2" xfId="1905"/>
    <cellStyle name="쉼표 [0] 3 2 36 3" xfId="1906"/>
    <cellStyle name="쉼표 [0] 3 2 36 4" xfId="1907"/>
    <cellStyle name="쉼표 [0] 3 2 36 5" xfId="1908"/>
    <cellStyle name="쉼표 [0] 3 2 36 5 2" xfId="1909"/>
    <cellStyle name="쉼표 [0] 3 2 36 6" xfId="1910"/>
    <cellStyle name="쉼표 [0] 3 2 37" xfId="1911"/>
    <cellStyle name="쉼표 [0] 3 2 37 2" xfId="1912"/>
    <cellStyle name="쉼표 [0] 3 2 37 3" xfId="1913"/>
    <cellStyle name="쉼표 [0] 3 2 37 4" xfId="1914"/>
    <cellStyle name="쉼표 [0] 3 2 37 5" xfId="1915"/>
    <cellStyle name="쉼표 [0] 3 2 38" xfId="1916"/>
    <cellStyle name="쉼표 [0] 3 2 38 2" xfId="1917"/>
    <cellStyle name="쉼표 [0] 3 2 38 3" xfId="1918"/>
    <cellStyle name="쉼표 [0] 3 2 38 4" xfId="1919"/>
    <cellStyle name="쉼표 [0] 3 2 38 5" xfId="1920"/>
    <cellStyle name="쉼표 [0] 3 2 39" xfId="1921"/>
    <cellStyle name="쉼표 [0] 3 2 39 2" xfId="1922"/>
    <cellStyle name="쉼표 [0] 3 2 4" xfId="1923"/>
    <cellStyle name="쉼표 [0] 3 2 4 2" xfId="1924"/>
    <cellStyle name="쉼표 [0] 3 2 4 2 2" xfId="1925"/>
    <cellStyle name="쉼표 [0] 3 2 4 2 2 2" xfId="1926"/>
    <cellStyle name="쉼표 [0] 3 2 4 3" xfId="1927"/>
    <cellStyle name="쉼표 [0] 3 2 4 4" xfId="1928"/>
    <cellStyle name="쉼표 [0] 3 2 4 5" xfId="1929"/>
    <cellStyle name="쉼표 [0] 3 2 4 6" xfId="1930"/>
    <cellStyle name="쉼표 [0] 3 2 40" xfId="1931"/>
    <cellStyle name="쉼표 [0] 3 2 5" xfId="1932"/>
    <cellStyle name="쉼표 [0] 3 2 5 2" xfId="1933"/>
    <cellStyle name="쉼표 [0] 3 2 5 2 2" xfId="1934"/>
    <cellStyle name="쉼표 [0] 3 2 5 2 2 2" xfId="1935"/>
    <cellStyle name="쉼표 [0] 3 2 5 3" xfId="1936"/>
    <cellStyle name="쉼표 [0] 3 2 5 4" xfId="1937"/>
    <cellStyle name="쉼표 [0] 3 2 5 5" xfId="1938"/>
    <cellStyle name="쉼표 [0] 3 2 5 6" xfId="1939"/>
    <cellStyle name="쉼표 [0] 3 2 6" xfId="1940"/>
    <cellStyle name="쉼표 [0] 3 2 6 2" xfId="1941"/>
    <cellStyle name="쉼표 [0] 3 2 6 2 2" xfId="1942"/>
    <cellStyle name="쉼표 [0] 3 2 6 2 2 2" xfId="1943"/>
    <cellStyle name="쉼표 [0] 3 2 6 3" xfId="1944"/>
    <cellStyle name="쉼표 [0] 3 2 6 4" xfId="1945"/>
    <cellStyle name="쉼표 [0] 3 2 6 5" xfId="1946"/>
    <cellStyle name="쉼표 [0] 3 2 6 6" xfId="1947"/>
    <cellStyle name="쉼표 [0] 3 2 7" xfId="1948"/>
    <cellStyle name="쉼표 [0] 3 2 7 2" xfId="1949"/>
    <cellStyle name="쉼표 [0] 3 2 7 2 2" xfId="1950"/>
    <cellStyle name="쉼표 [0] 3 2 7 2 2 2" xfId="1951"/>
    <cellStyle name="쉼표 [0] 3 2 7 3" xfId="1952"/>
    <cellStyle name="쉼표 [0] 3 2 7 4" xfId="1953"/>
    <cellStyle name="쉼표 [0] 3 2 7 5" xfId="1954"/>
    <cellStyle name="쉼표 [0] 3 2 7 6" xfId="1955"/>
    <cellStyle name="쉼표 [0] 3 2 8" xfId="1956"/>
    <cellStyle name="쉼표 [0] 3 2 8 2" xfId="1957"/>
    <cellStyle name="쉼표 [0] 3 2 8 2 2" xfId="1958"/>
    <cellStyle name="쉼표 [0] 3 2 8 2 2 2" xfId="1959"/>
    <cellStyle name="쉼표 [0] 3 2 8 3" xfId="1960"/>
    <cellStyle name="쉼표 [0] 3 2 8 4" xfId="1961"/>
    <cellStyle name="쉼표 [0] 3 2 8 5" xfId="1962"/>
    <cellStyle name="쉼표 [0] 3 2 8 6" xfId="1963"/>
    <cellStyle name="쉼표 [0] 3 2 9" xfId="1964"/>
    <cellStyle name="쉼표 [0] 3 2 9 2" xfId="1965"/>
    <cellStyle name="쉼표 [0] 3 2 9 2 2" xfId="1966"/>
    <cellStyle name="쉼표 [0] 3 2 9 2 2 2" xfId="1967"/>
    <cellStyle name="쉼표 [0] 3 2 9 3" xfId="1968"/>
    <cellStyle name="쉼표 [0] 3 2 9 4" xfId="1969"/>
    <cellStyle name="쉼표 [0] 3 2 9 5" xfId="1970"/>
    <cellStyle name="쉼표 [0] 3 2 9 6" xfId="1971"/>
    <cellStyle name="쉼표 [0] 3 20" xfId="1972"/>
    <cellStyle name="쉼표 [0] 3 21" xfId="1973"/>
    <cellStyle name="쉼표 [0] 3 21 2" xfId="1974"/>
    <cellStyle name="쉼표 [0] 3 21 2 2" xfId="1975"/>
    <cellStyle name="쉼표 [0] 3 22" xfId="1976"/>
    <cellStyle name="쉼표 [0] 3 22 2" xfId="1977"/>
    <cellStyle name="쉼표 [0] 3 22 2 2" xfId="1978"/>
    <cellStyle name="쉼표 [0] 3 23" xfId="1979"/>
    <cellStyle name="쉼표 [0] 3 23 2" xfId="1980"/>
    <cellStyle name="쉼표 [0] 3 23 2 2" xfId="1981"/>
    <cellStyle name="쉼표 [0] 3 24" xfId="1982"/>
    <cellStyle name="쉼표 [0] 3 25" xfId="1983"/>
    <cellStyle name="쉼표 [0] 3 26" xfId="1984"/>
    <cellStyle name="쉼표 [0] 3 27" xfId="1985"/>
    <cellStyle name="쉼표 [0] 3 28" xfId="1986"/>
    <cellStyle name="쉼표 [0] 3 29" xfId="1987"/>
    <cellStyle name="쉼표 [0] 3 3" xfId="1988"/>
    <cellStyle name="쉼표 [0] 3 3 2" xfId="1989"/>
    <cellStyle name="쉼표 [0] 3 3 2 2" xfId="1990"/>
    <cellStyle name="쉼표 [0] 3 3 2 2 2" xfId="1991"/>
    <cellStyle name="쉼표 [0] 3 3 2 3" xfId="1992"/>
    <cellStyle name="쉼표 [0] 3 3 3" xfId="1993"/>
    <cellStyle name="쉼표 [0] 3 3 4" xfId="1994"/>
    <cellStyle name="쉼표 [0] 3 3 5" xfId="1995"/>
    <cellStyle name="쉼표 [0] 3 3 6" xfId="1996"/>
    <cellStyle name="쉼표 [0] 3 3 7" xfId="1997"/>
    <cellStyle name="쉼표 [0] 3 30" xfId="1998"/>
    <cellStyle name="쉼표 [0] 3 31" xfId="1999"/>
    <cellStyle name="쉼표 [0] 3 32" xfId="2000"/>
    <cellStyle name="쉼표 [0] 3 33" xfId="2001"/>
    <cellStyle name="쉼표 [0] 3 34" xfId="2002"/>
    <cellStyle name="쉼표 [0] 3 35" xfId="2003"/>
    <cellStyle name="쉼표 [0] 3 36" xfId="2004"/>
    <cellStyle name="쉼표 [0] 3 37" xfId="2005"/>
    <cellStyle name="쉼표 [0] 3 38" xfId="2006"/>
    <cellStyle name="쉼표 [0] 3 39" xfId="2007"/>
    <cellStyle name="쉼표 [0] 3 4" xfId="2008"/>
    <cellStyle name="쉼표 [0] 3 4 2" xfId="2009"/>
    <cellStyle name="쉼표 [0] 3 4 2 2" xfId="2010"/>
    <cellStyle name="쉼표 [0] 3 4 2 2 2" xfId="2011"/>
    <cellStyle name="쉼표 [0] 3 4 2 3" xfId="2012"/>
    <cellStyle name="쉼표 [0] 3 4 3" xfId="2013"/>
    <cellStyle name="쉼표 [0] 3 4 4" xfId="2014"/>
    <cellStyle name="쉼표 [0] 3 4 5" xfId="2015"/>
    <cellStyle name="쉼표 [0] 3 4 6" xfId="2016"/>
    <cellStyle name="쉼표 [0] 3 4 7" xfId="2017"/>
    <cellStyle name="쉼표 [0] 3 40" xfId="2018"/>
    <cellStyle name="쉼표 [0] 3 41" xfId="2019"/>
    <cellStyle name="쉼표 [0] 3 42" xfId="2020"/>
    <cellStyle name="쉼표 [0] 3 43" xfId="2021"/>
    <cellStyle name="쉼표 [0] 3 44" xfId="2022"/>
    <cellStyle name="쉼표 [0] 3 45" xfId="2023"/>
    <cellStyle name="쉼표 [0] 3 46" xfId="2024"/>
    <cellStyle name="쉼표 [0] 3 47" xfId="2025"/>
    <cellStyle name="쉼표 [0] 3 5" xfId="2026"/>
    <cellStyle name="쉼표 [0] 3 5 2" xfId="2027"/>
    <cellStyle name="쉼표 [0] 3 5 2 2" xfId="2028"/>
    <cellStyle name="쉼표 [0] 3 5 2 2 2" xfId="2029"/>
    <cellStyle name="쉼표 [0] 3 5 2 3" xfId="2030"/>
    <cellStyle name="쉼표 [0] 3 5 3" xfId="2031"/>
    <cellStyle name="쉼표 [0] 3 5 4" xfId="2032"/>
    <cellStyle name="쉼표 [0] 3 5 5" xfId="2033"/>
    <cellStyle name="쉼표 [0] 3 5 6" xfId="2034"/>
    <cellStyle name="쉼표 [0] 3 5 7" xfId="2035"/>
    <cellStyle name="쉼표 [0] 3 6" xfId="2036"/>
    <cellStyle name="쉼표 [0] 3 6 10" xfId="2037"/>
    <cellStyle name="쉼표 [0] 3 6 11" xfId="2038"/>
    <cellStyle name="쉼표 [0] 3 6 12" xfId="2039"/>
    <cellStyle name="쉼표 [0] 3 6 2" xfId="2040"/>
    <cellStyle name="쉼표 [0] 3 6 2 2" xfId="2041"/>
    <cellStyle name="쉼표 [0] 3 6 2 3" xfId="2042"/>
    <cellStyle name="쉼표 [0] 3 6 3" xfId="2043"/>
    <cellStyle name="쉼표 [0] 3 6 4" xfId="2044"/>
    <cellStyle name="쉼표 [0] 3 6 5" xfId="2045"/>
    <cellStyle name="쉼표 [0] 3 6 6" xfId="2046"/>
    <cellStyle name="쉼표 [0] 3 6 7" xfId="2047"/>
    <cellStyle name="쉼표 [0] 3 6 8" xfId="2048"/>
    <cellStyle name="쉼표 [0] 3 6 9" xfId="2049"/>
    <cellStyle name="쉼표 [0] 3 7" xfId="2050"/>
    <cellStyle name="쉼표 [0] 3 7 2" xfId="2051"/>
    <cellStyle name="쉼표 [0] 3 7 2 2" xfId="2052"/>
    <cellStyle name="쉼표 [0] 3 7 2 3" xfId="2053"/>
    <cellStyle name="쉼표 [0] 3 7 2 4" xfId="2054"/>
    <cellStyle name="쉼표 [0] 3 7 2 5" xfId="2055"/>
    <cellStyle name="쉼표 [0] 3 7 2 6" xfId="2056"/>
    <cellStyle name="쉼표 [0] 3 7 2 7" xfId="2057"/>
    <cellStyle name="쉼표 [0] 3 7 2 8" xfId="2058"/>
    <cellStyle name="쉼표 [0] 3 7 2 9" xfId="2059"/>
    <cellStyle name="쉼표 [0] 3 7 3" xfId="2060"/>
    <cellStyle name="쉼표 [0] 3 7 3 2" xfId="2061"/>
    <cellStyle name="쉼표 [0] 3 7 3 3" xfId="2062"/>
    <cellStyle name="쉼표 [0] 3 7 3 4" xfId="2063"/>
    <cellStyle name="쉼표 [0] 3 7 3 5" xfId="2064"/>
    <cellStyle name="쉼표 [0] 3 7 3 5 2" xfId="2065"/>
    <cellStyle name="쉼표 [0] 3 7 3 6" xfId="2066"/>
    <cellStyle name="쉼표 [0] 3 7 4" xfId="2067"/>
    <cellStyle name="쉼표 [0] 3 7 4 2" xfId="2068"/>
    <cellStyle name="쉼표 [0] 3 7 4 3" xfId="2069"/>
    <cellStyle name="쉼표 [0] 3 7 4 4" xfId="2070"/>
    <cellStyle name="쉼표 [0] 3 7 4 5" xfId="2071"/>
    <cellStyle name="쉼표 [0] 3 7 5" xfId="2072"/>
    <cellStyle name="쉼표 [0] 3 7 5 2" xfId="2073"/>
    <cellStyle name="쉼표 [0] 3 7 6" xfId="2074"/>
    <cellStyle name="쉼표 [0] 3 8" xfId="2075"/>
    <cellStyle name="쉼표 [0] 3 9" xfId="2076"/>
    <cellStyle name="쉼표 [0] 3 9 2" xfId="2077"/>
    <cellStyle name="쉼표 [0] 3 9 2 2" xfId="2078"/>
    <cellStyle name="쉼표 [0] 30" xfId="2079"/>
    <cellStyle name="쉼표 [0] 31" xfId="2080"/>
    <cellStyle name="쉼표 [0] 31 2" xfId="3219"/>
    <cellStyle name="쉼표 [0] 32" xfId="2081"/>
    <cellStyle name="쉼표 [0] 33" xfId="2082"/>
    <cellStyle name="쉼표 [0] 34" xfId="2083"/>
    <cellStyle name="쉼표 [0] 35" xfId="2084"/>
    <cellStyle name="쉼표 [0] 36" xfId="2085"/>
    <cellStyle name="쉼표 [0] 36 2" xfId="2086"/>
    <cellStyle name="쉼표 [0] 37" xfId="2087"/>
    <cellStyle name="쉼표 [0] 38" xfId="2088"/>
    <cellStyle name="쉼표 [0] 38 2" xfId="3116"/>
    <cellStyle name="쉼표 [0] 39" xfId="2089"/>
    <cellStyle name="쉼표 [0] 39 2" xfId="3117"/>
    <cellStyle name="쉼표 [0] 4" xfId="2090"/>
    <cellStyle name="쉼표 [0] 4 10" xfId="2091"/>
    <cellStyle name="쉼표 [0] 4 11" xfId="2092"/>
    <cellStyle name="쉼표 [0] 4 12" xfId="2093"/>
    <cellStyle name="쉼표 [0] 4 12 2" xfId="2094"/>
    <cellStyle name="쉼표 [0] 4 12 2 2" xfId="2095"/>
    <cellStyle name="쉼표 [0] 4 12 2 2 2" xfId="2096"/>
    <cellStyle name="쉼표 [0] 4 12 3" xfId="2097"/>
    <cellStyle name="쉼표 [0] 4 12 4" xfId="2098"/>
    <cellStyle name="쉼표 [0] 4 12 5" xfId="2099"/>
    <cellStyle name="쉼표 [0] 4 12 6" xfId="2100"/>
    <cellStyle name="쉼표 [0] 4 12 7" xfId="2101"/>
    <cellStyle name="쉼표 [0] 4 13" xfId="2102"/>
    <cellStyle name="쉼표 [0] 4 13 2" xfId="2103"/>
    <cellStyle name="쉼표 [0] 4 13 2 2" xfId="2104"/>
    <cellStyle name="쉼표 [0] 4 13 2 2 2" xfId="2105"/>
    <cellStyle name="쉼표 [0] 4 13 3" xfId="2106"/>
    <cellStyle name="쉼표 [0] 4 13 4" xfId="2107"/>
    <cellStyle name="쉼표 [0] 4 13 5" xfId="2108"/>
    <cellStyle name="쉼표 [0] 4 13 6" xfId="2109"/>
    <cellStyle name="쉼표 [0] 4 13 7" xfId="2110"/>
    <cellStyle name="쉼표 [0] 4 14" xfId="2111"/>
    <cellStyle name="쉼표 [0] 4 14 2" xfId="2112"/>
    <cellStyle name="쉼표 [0] 4 14 2 2" xfId="2113"/>
    <cellStyle name="쉼표 [0] 4 14 2 2 2" xfId="2114"/>
    <cellStyle name="쉼표 [0] 4 14 3" xfId="2115"/>
    <cellStyle name="쉼표 [0] 4 14 4" xfId="2116"/>
    <cellStyle name="쉼표 [0] 4 14 5" xfId="2117"/>
    <cellStyle name="쉼표 [0] 4 14 6" xfId="2118"/>
    <cellStyle name="쉼표 [0] 4 14 7" xfId="2119"/>
    <cellStyle name="쉼표 [0] 4 15" xfId="2120"/>
    <cellStyle name="쉼표 [0] 4 16" xfId="2121"/>
    <cellStyle name="쉼표 [0] 4 17" xfId="2122"/>
    <cellStyle name="쉼표 [0] 4 18" xfId="2123"/>
    <cellStyle name="쉼표 [0] 4 18 2" xfId="2124"/>
    <cellStyle name="쉼표 [0] 4 18 2 2" xfId="2125"/>
    <cellStyle name="쉼표 [0] 4 19" xfId="2126"/>
    <cellStyle name="쉼표 [0] 4 19 2" xfId="2127"/>
    <cellStyle name="쉼표 [0] 4 19 2 2" xfId="2128"/>
    <cellStyle name="쉼표 [0] 4 2" xfId="2129"/>
    <cellStyle name="쉼표 [0] 4 2 10" xfId="2130"/>
    <cellStyle name="쉼표 [0] 4 2 10 2" xfId="2131"/>
    <cellStyle name="쉼표 [0] 4 2 10 2 2" xfId="2132"/>
    <cellStyle name="쉼표 [0] 4 2 10 2 2 2" xfId="2133"/>
    <cellStyle name="쉼표 [0] 4 2 10 3" xfId="2134"/>
    <cellStyle name="쉼표 [0] 4 2 10 4" xfId="2135"/>
    <cellStyle name="쉼표 [0] 4 2 10 5" xfId="2136"/>
    <cellStyle name="쉼표 [0] 4 2 10 6" xfId="2137"/>
    <cellStyle name="쉼표 [0] 4 2 11" xfId="2138"/>
    <cellStyle name="쉼표 [0] 4 2 11 2" xfId="2139"/>
    <cellStyle name="쉼표 [0] 4 2 11 2 2" xfId="2140"/>
    <cellStyle name="쉼표 [0] 4 2 11 2 2 2" xfId="2141"/>
    <cellStyle name="쉼표 [0] 4 2 11 3" xfId="2142"/>
    <cellStyle name="쉼표 [0] 4 2 11 4" xfId="2143"/>
    <cellStyle name="쉼표 [0] 4 2 11 5" xfId="2144"/>
    <cellStyle name="쉼표 [0] 4 2 11 6" xfId="2145"/>
    <cellStyle name="쉼표 [0] 4 2 12" xfId="2146"/>
    <cellStyle name="쉼표 [0] 4 2 12 2" xfId="2147"/>
    <cellStyle name="쉼표 [0] 4 2 12 2 2" xfId="2148"/>
    <cellStyle name="쉼표 [0] 4 2 12 2 2 2" xfId="2149"/>
    <cellStyle name="쉼표 [0] 4 2 12 3" xfId="2150"/>
    <cellStyle name="쉼표 [0] 4 2 12 4" xfId="2151"/>
    <cellStyle name="쉼표 [0] 4 2 12 5" xfId="2152"/>
    <cellStyle name="쉼표 [0] 4 2 12 6" xfId="2153"/>
    <cellStyle name="쉼표 [0] 4 2 13" xfId="2154"/>
    <cellStyle name="쉼표 [0] 4 2 13 2" xfId="2155"/>
    <cellStyle name="쉼표 [0] 4 2 13 2 2" xfId="2156"/>
    <cellStyle name="쉼표 [0] 4 2 13 2 2 2" xfId="2157"/>
    <cellStyle name="쉼표 [0] 4 2 13 3" xfId="2158"/>
    <cellStyle name="쉼표 [0] 4 2 13 4" xfId="2159"/>
    <cellStyle name="쉼표 [0] 4 2 13 5" xfId="2160"/>
    <cellStyle name="쉼표 [0] 4 2 13 6" xfId="2161"/>
    <cellStyle name="쉼표 [0] 4 2 14" xfId="2162"/>
    <cellStyle name="쉼표 [0] 4 2 14 2" xfId="2163"/>
    <cellStyle name="쉼표 [0] 4 2 14 2 2" xfId="2164"/>
    <cellStyle name="쉼표 [0] 4 2 14 2 2 2" xfId="2165"/>
    <cellStyle name="쉼표 [0] 4 2 14 3" xfId="2166"/>
    <cellStyle name="쉼표 [0] 4 2 14 4" xfId="2167"/>
    <cellStyle name="쉼표 [0] 4 2 14 5" xfId="2168"/>
    <cellStyle name="쉼표 [0] 4 2 14 6" xfId="2169"/>
    <cellStyle name="쉼표 [0] 4 2 15" xfId="2170"/>
    <cellStyle name="쉼표 [0] 4 2 15 2" xfId="2171"/>
    <cellStyle name="쉼표 [0] 4 2 15 2 2" xfId="2172"/>
    <cellStyle name="쉼표 [0] 4 2 15 2 2 2" xfId="2173"/>
    <cellStyle name="쉼표 [0] 4 2 15 3" xfId="2174"/>
    <cellStyle name="쉼표 [0] 4 2 15 4" xfId="2175"/>
    <cellStyle name="쉼표 [0] 4 2 15 5" xfId="2176"/>
    <cellStyle name="쉼표 [0] 4 2 15 6" xfId="2177"/>
    <cellStyle name="쉼표 [0] 4 2 16" xfId="2178"/>
    <cellStyle name="쉼표 [0] 4 2 16 2" xfId="2179"/>
    <cellStyle name="쉼표 [0] 4 2 16 2 2" xfId="2180"/>
    <cellStyle name="쉼표 [0] 4 2 16 2 2 2" xfId="2181"/>
    <cellStyle name="쉼표 [0] 4 2 16 3" xfId="2182"/>
    <cellStyle name="쉼표 [0] 4 2 16 4" xfId="2183"/>
    <cellStyle name="쉼표 [0] 4 2 16 5" xfId="2184"/>
    <cellStyle name="쉼표 [0] 4 2 16 6" xfId="2185"/>
    <cellStyle name="쉼표 [0] 4 2 17" xfId="2186"/>
    <cellStyle name="쉼표 [0] 4 2 17 2" xfId="2187"/>
    <cellStyle name="쉼표 [0] 4 2 17 2 2" xfId="2188"/>
    <cellStyle name="쉼표 [0] 4 2 17 2 2 2" xfId="2189"/>
    <cellStyle name="쉼표 [0] 4 2 17 3" xfId="2190"/>
    <cellStyle name="쉼표 [0] 4 2 17 4" xfId="2191"/>
    <cellStyle name="쉼표 [0] 4 2 17 5" xfId="2192"/>
    <cellStyle name="쉼표 [0] 4 2 17 6" xfId="2193"/>
    <cellStyle name="쉼표 [0] 4 2 18" xfId="2194"/>
    <cellStyle name="쉼표 [0] 4 2 18 2" xfId="2195"/>
    <cellStyle name="쉼표 [0] 4 2 18 2 2" xfId="2196"/>
    <cellStyle name="쉼표 [0] 4 2 18 2 2 2" xfId="2197"/>
    <cellStyle name="쉼표 [0] 4 2 18 3" xfId="2198"/>
    <cellStyle name="쉼표 [0] 4 2 18 4" xfId="2199"/>
    <cellStyle name="쉼표 [0] 4 2 18 5" xfId="2200"/>
    <cellStyle name="쉼표 [0] 4 2 18 6" xfId="2201"/>
    <cellStyle name="쉼표 [0] 4 2 19" xfId="2202"/>
    <cellStyle name="쉼표 [0] 4 2 19 2" xfId="2203"/>
    <cellStyle name="쉼표 [0] 4 2 19 2 2" xfId="2204"/>
    <cellStyle name="쉼표 [0] 4 2 19 2 2 2" xfId="2205"/>
    <cellStyle name="쉼표 [0] 4 2 19 3" xfId="2206"/>
    <cellStyle name="쉼표 [0] 4 2 19 4" xfId="2207"/>
    <cellStyle name="쉼표 [0] 4 2 19 5" xfId="2208"/>
    <cellStyle name="쉼표 [0] 4 2 19 6" xfId="2209"/>
    <cellStyle name="쉼표 [0] 4 2 2" xfId="2210"/>
    <cellStyle name="쉼표 [0] 4 2 2 2" xfId="2211"/>
    <cellStyle name="쉼표 [0] 4 2 2 2 2" xfId="2212"/>
    <cellStyle name="쉼표 [0] 4 2 2 2 2 2" xfId="2213"/>
    <cellStyle name="쉼표 [0] 4 2 2 2 2 3" xfId="2214"/>
    <cellStyle name="쉼표 [0] 4 2 2 2 2 4" xfId="2215"/>
    <cellStyle name="쉼표 [0] 4 2 2 2 2 5" xfId="2216"/>
    <cellStyle name="쉼표 [0] 4 2 2 2 2 5 2" xfId="2217"/>
    <cellStyle name="쉼표 [0] 4 2 2 2 2 6" xfId="2218"/>
    <cellStyle name="쉼표 [0] 4 2 2 2 3" xfId="2219"/>
    <cellStyle name="쉼표 [0] 4 2 2 2 3 2" xfId="2220"/>
    <cellStyle name="쉼표 [0] 4 2 2 2 3 3" xfId="2221"/>
    <cellStyle name="쉼표 [0] 4 2 2 2 3 4" xfId="2222"/>
    <cellStyle name="쉼표 [0] 4 2 2 2 3 5" xfId="2223"/>
    <cellStyle name="쉼표 [0] 4 2 2 2 4" xfId="2224"/>
    <cellStyle name="쉼표 [0] 4 2 2 2 4 2" xfId="2225"/>
    <cellStyle name="쉼표 [0] 4 2 2 2 4 3" xfId="2226"/>
    <cellStyle name="쉼표 [0] 4 2 2 2 4 4" xfId="2227"/>
    <cellStyle name="쉼표 [0] 4 2 2 2 4 5" xfId="2228"/>
    <cellStyle name="쉼표 [0] 4 2 2 2 5" xfId="2229"/>
    <cellStyle name="쉼표 [0] 4 2 2 3" xfId="2230"/>
    <cellStyle name="쉼표 [0] 4 2 2 4" xfId="2231"/>
    <cellStyle name="쉼표 [0] 4 2 2 5" xfId="2232"/>
    <cellStyle name="쉼표 [0] 4 2 2 6" xfId="2233"/>
    <cellStyle name="쉼표 [0] 4 2 2 7" xfId="2234"/>
    <cellStyle name="쉼표 [0] 4 2 2 8" xfId="2235"/>
    <cellStyle name="쉼표 [0] 4 2 2 9" xfId="2236"/>
    <cellStyle name="쉼표 [0] 4 2 20" xfId="2237"/>
    <cellStyle name="쉼표 [0] 4 2 20 2" xfId="2238"/>
    <cellStyle name="쉼표 [0] 4 2 20 2 2" xfId="2239"/>
    <cellStyle name="쉼표 [0] 4 2 20 2 2 2" xfId="2240"/>
    <cellStyle name="쉼표 [0] 4 2 20 3" xfId="2241"/>
    <cellStyle name="쉼표 [0] 4 2 20 4" xfId="2242"/>
    <cellStyle name="쉼표 [0] 4 2 20 5" xfId="2243"/>
    <cellStyle name="쉼표 [0] 4 2 20 6" xfId="2244"/>
    <cellStyle name="쉼표 [0] 4 2 21" xfId="2245"/>
    <cellStyle name="쉼표 [0] 4 2 21 2" xfId="2246"/>
    <cellStyle name="쉼표 [0] 4 2 21 2 2" xfId="2247"/>
    <cellStyle name="쉼표 [0] 4 2 21 2 2 2" xfId="2248"/>
    <cellStyle name="쉼표 [0] 4 2 21 3" xfId="2249"/>
    <cellStyle name="쉼표 [0] 4 2 21 4" xfId="2250"/>
    <cellStyle name="쉼표 [0] 4 2 21 5" xfId="2251"/>
    <cellStyle name="쉼표 [0] 4 2 21 6" xfId="2252"/>
    <cellStyle name="쉼표 [0] 4 2 22" xfId="2253"/>
    <cellStyle name="쉼표 [0] 4 2 22 2" xfId="2254"/>
    <cellStyle name="쉼표 [0] 4 2 22 2 2" xfId="2255"/>
    <cellStyle name="쉼표 [0] 4 2 22 2 2 2" xfId="2256"/>
    <cellStyle name="쉼표 [0] 4 2 22 3" xfId="2257"/>
    <cellStyle name="쉼표 [0] 4 2 22 4" xfId="2258"/>
    <cellStyle name="쉼표 [0] 4 2 22 5" xfId="2259"/>
    <cellStyle name="쉼표 [0] 4 2 22 6" xfId="2260"/>
    <cellStyle name="쉼표 [0] 4 2 23" xfId="2261"/>
    <cellStyle name="쉼표 [0] 4 2 23 2" xfId="2262"/>
    <cellStyle name="쉼표 [0] 4 2 23 2 2" xfId="2263"/>
    <cellStyle name="쉼표 [0] 4 2 23 2 2 2" xfId="2264"/>
    <cellStyle name="쉼표 [0] 4 2 23 3" xfId="2265"/>
    <cellStyle name="쉼표 [0] 4 2 23 4" xfId="2266"/>
    <cellStyle name="쉼표 [0] 4 2 23 5" xfId="2267"/>
    <cellStyle name="쉼표 [0] 4 2 23 6" xfId="2268"/>
    <cellStyle name="쉼표 [0] 4 2 24" xfId="2269"/>
    <cellStyle name="쉼표 [0] 4 2 24 2" xfId="2270"/>
    <cellStyle name="쉼표 [0] 4 2 24 2 2" xfId="2271"/>
    <cellStyle name="쉼표 [0] 4 2 24 2 2 2" xfId="2272"/>
    <cellStyle name="쉼표 [0] 4 2 24 3" xfId="2273"/>
    <cellStyle name="쉼표 [0] 4 2 24 4" xfId="2274"/>
    <cellStyle name="쉼표 [0] 4 2 24 5" xfId="2275"/>
    <cellStyle name="쉼표 [0] 4 2 24 6" xfId="2276"/>
    <cellStyle name="쉼표 [0] 4 2 25" xfId="2277"/>
    <cellStyle name="쉼표 [0] 4 2 25 2" xfId="2278"/>
    <cellStyle name="쉼표 [0] 4 2 25 2 2" xfId="2279"/>
    <cellStyle name="쉼표 [0] 4 2 25 2 2 2" xfId="2280"/>
    <cellStyle name="쉼표 [0] 4 2 25 3" xfId="2281"/>
    <cellStyle name="쉼표 [0] 4 2 25 4" xfId="2282"/>
    <cellStyle name="쉼표 [0] 4 2 25 5" xfId="2283"/>
    <cellStyle name="쉼표 [0] 4 2 25 6" xfId="2284"/>
    <cellStyle name="쉼표 [0] 4 2 26" xfId="2285"/>
    <cellStyle name="쉼표 [0] 4 2 26 2" xfId="2286"/>
    <cellStyle name="쉼표 [0] 4 2 26 2 2" xfId="2287"/>
    <cellStyle name="쉼표 [0] 4 2 26 2 2 2" xfId="2288"/>
    <cellStyle name="쉼표 [0] 4 2 26 3" xfId="2289"/>
    <cellStyle name="쉼표 [0] 4 2 26 4" xfId="2290"/>
    <cellStyle name="쉼표 [0] 4 2 26 5" xfId="2291"/>
    <cellStyle name="쉼표 [0] 4 2 26 6" xfId="2292"/>
    <cellStyle name="쉼표 [0] 4 2 27" xfId="2293"/>
    <cellStyle name="쉼표 [0] 4 2 27 2" xfId="2294"/>
    <cellStyle name="쉼표 [0] 4 2 27 2 2" xfId="2295"/>
    <cellStyle name="쉼표 [0] 4 2 27 2 2 2" xfId="2296"/>
    <cellStyle name="쉼표 [0] 4 2 27 3" xfId="2297"/>
    <cellStyle name="쉼표 [0] 4 2 27 4" xfId="2298"/>
    <cellStyle name="쉼표 [0] 4 2 27 5" xfId="2299"/>
    <cellStyle name="쉼표 [0] 4 2 27 6" xfId="2300"/>
    <cellStyle name="쉼표 [0] 4 2 28" xfId="2301"/>
    <cellStyle name="쉼표 [0] 4 2 28 2" xfId="2302"/>
    <cellStyle name="쉼표 [0] 4 2 28 2 2" xfId="2303"/>
    <cellStyle name="쉼표 [0] 4 2 28 2 2 2" xfId="2304"/>
    <cellStyle name="쉼표 [0] 4 2 28 3" xfId="2305"/>
    <cellStyle name="쉼표 [0] 4 2 28 4" xfId="2306"/>
    <cellStyle name="쉼표 [0] 4 2 28 5" xfId="2307"/>
    <cellStyle name="쉼표 [0] 4 2 28 6" xfId="2308"/>
    <cellStyle name="쉼표 [0] 4 2 29" xfId="2309"/>
    <cellStyle name="쉼표 [0] 4 2 29 2" xfId="2310"/>
    <cellStyle name="쉼표 [0] 4 2 29 2 2" xfId="2311"/>
    <cellStyle name="쉼표 [0] 4 2 29 2 2 2" xfId="2312"/>
    <cellStyle name="쉼표 [0] 4 2 29 3" xfId="2313"/>
    <cellStyle name="쉼표 [0] 4 2 29 4" xfId="2314"/>
    <cellStyle name="쉼표 [0] 4 2 29 5" xfId="2315"/>
    <cellStyle name="쉼표 [0] 4 2 29 6" xfId="2316"/>
    <cellStyle name="쉼표 [0] 4 2 3" xfId="2317"/>
    <cellStyle name="쉼표 [0] 4 2 3 2" xfId="2318"/>
    <cellStyle name="쉼표 [0] 4 2 3 2 2" xfId="2319"/>
    <cellStyle name="쉼표 [0] 4 2 3 2 2 2" xfId="2320"/>
    <cellStyle name="쉼표 [0] 4 2 3 3" xfId="2321"/>
    <cellStyle name="쉼표 [0] 4 2 3 4" xfId="2322"/>
    <cellStyle name="쉼표 [0] 4 2 3 5" xfId="2323"/>
    <cellStyle name="쉼표 [0] 4 2 3 6" xfId="2324"/>
    <cellStyle name="쉼표 [0] 4 2 30" xfId="2325"/>
    <cellStyle name="쉼표 [0] 4 2 30 2" xfId="2326"/>
    <cellStyle name="쉼표 [0] 4 2 30 2 2" xfId="2327"/>
    <cellStyle name="쉼표 [0] 4 2 30 2 2 2" xfId="2328"/>
    <cellStyle name="쉼표 [0] 4 2 30 3" xfId="2329"/>
    <cellStyle name="쉼표 [0] 4 2 30 4" xfId="2330"/>
    <cellStyle name="쉼표 [0] 4 2 30 5" xfId="2331"/>
    <cellStyle name="쉼표 [0] 4 2 30 6" xfId="2332"/>
    <cellStyle name="쉼표 [0] 4 2 31" xfId="2333"/>
    <cellStyle name="쉼표 [0] 4 2 31 2" xfId="2334"/>
    <cellStyle name="쉼표 [0] 4 2 31 2 2" xfId="2335"/>
    <cellStyle name="쉼표 [0] 4 2 31 2 2 2" xfId="2336"/>
    <cellStyle name="쉼표 [0] 4 2 31 3" xfId="2337"/>
    <cellStyle name="쉼표 [0] 4 2 31 4" xfId="2338"/>
    <cellStyle name="쉼표 [0] 4 2 31 5" xfId="2339"/>
    <cellStyle name="쉼표 [0] 4 2 31 6" xfId="2340"/>
    <cellStyle name="쉼표 [0] 4 2 32" xfId="2341"/>
    <cellStyle name="쉼표 [0] 4 2 32 2" xfId="2342"/>
    <cellStyle name="쉼표 [0] 4 2 32 2 2" xfId="2343"/>
    <cellStyle name="쉼표 [0] 4 2 32 2 2 2" xfId="2344"/>
    <cellStyle name="쉼표 [0] 4 2 32 3" xfId="2345"/>
    <cellStyle name="쉼표 [0] 4 2 32 4" xfId="2346"/>
    <cellStyle name="쉼표 [0] 4 2 32 5" xfId="2347"/>
    <cellStyle name="쉼표 [0] 4 2 32 6" xfId="2348"/>
    <cellStyle name="쉼표 [0] 4 2 33" xfId="2349"/>
    <cellStyle name="쉼표 [0] 4 2 33 2" xfId="2350"/>
    <cellStyle name="쉼표 [0] 4 2 33 2 2" xfId="2351"/>
    <cellStyle name="쉼표 [0] 4 2 33 2 2 2" xfId="2352"/>
    <cellStyle name="쉼표 [0] 4 2 33 3" xfId="2353"/>
    <cellStyle name="쉼표 [0] 4 2 33 4" xfId="2354"/>
    <cellStyle name="쉼표 [0] 4 2 33 5" xfId="2355"/>
    <cellStyle name="쉼표 [0] 4 2 33 6" xfId="2356"/>
    <cellStyle name="쉼표 [0] 4 2 34" xfId="2357"/>
    <cellStyle name="쉼표 [0] 4 2 34 2" xfId="2358"/>
    <cellStyle name="쉼표 [0] 4 2 34 2 2" xfId="2359"/>
    <cellStyle name="쉼표 [0] 4 2 34 2 2 2" xfId="2360"/>
    <cellStyle name="쉼표 [0] 4 2 34 3" xfId="2361"/>
    <cellStyle name="쉼표 [0] 4 2 34 4" xfId="2362"/>
    <cellStyle name="쉼표 [0] 4 2 34 5" xfId="2363"/>
    <cellStyle name="쉼표 [0] 4 2 34 6" xfId="2364"/>
    <cellStyle name="쉼표 [0] 4 2 35" xfId="2365"/>
    <cellStyle name="쉼표 [0] 4 2 35 2" xfId="2366"/>
    <cellStyle name="쉼표 [0] 4 2 35 2 2" xfId="2367"/>
    <cellStyle name="쉼표 [0] 4 2 35 2 2 2" xfId="2368"/>
    <cellStyle name="쉼표 [0] 4 2 35 3" xfId="2369"/>
    <cellStyle name="쉼표 [0] 4 2 35 4" xfId="2370"/>
    <cellStyle name="쉼표 [0] 4 2 35 5" xfId="2371"/>
    <cellStyle name="쉼표 [0] 4 2 35 6" xfId="2372"/>
    <cellStyle name="쉼표 [0] 4 2 36" xfId="2373"/>
    <cellStyle name="쉼표 [0] 4 2 36 2" xfId="2374"/>
    <cellStyle name="쉼표 [0] 4 2 36 3" xfId="2375"/>
    <cellStyle name="쉼표 [0] 4 2 36 4" xfId="2376"/>
    <cellStyle name="쉼표 [0] 4 2 36 5" xfId="2377"/>
    <cellStyle name="쉼표 [0] 4 2 36 5 2" xfId="2378"/>
    <cellStyle name="쉼표 [0] 4 2 36 6" xfId="2379"/>
    <cellStyle name="쉼표 [0] 4 2 37" xfId="2380"/>
    <cellStyle name="쉼표 [0] 4 2 37 2" xfId="2381"/>
    <cellStyle name="쉼표 [0] 4 2 37 3" xfId="2382"/>
    <cellStyle name="쉼표 [0] 4 2 37 4" xfId="2383"/>
    <cellStyle name="쉼표 [0] 4 2 37 5" xfId="2384"/>
    <cellStyle name="쉼표 [0] 4 2 38" xfId="2385"/>
    <cellStyle name="쉼표 [0] 4 2 38 2" xfId="2386"/>
    <cellStyle name="쉼표 [0] 4 2 38 3" xfId="2387"/>
    <cellStyle name="쉼표 [0] 4 2 38 4" xfId="2388"/>
    <cellStyle name="쉼표 [0] 4 2 38 5" xfId="2389"/>
    <cellStyle name="쉼표 [0] 4 2 39" xfId="2390"/>
    <cellStyle name="쉼표 [0] 4 2 39 2" xfId="2391"/>
    <cellStyle name="쉼표 [0] 4 2 4" xfId="2392"/>
    <cellStyle name="쉼표 [0] 4 2 4 2" xfId="2393"/>
    <cellStyle name="쉼표 [0] 4 2 4 2 2" xfId="2394"/>
    <cellStyle name="쉼표 [0] 4 2 4 2 2 2" xfId="2395"/>
    <cellStyle name="쉼표 [0] 4 2 4 3" xfId="2396"/>
    <cellStyle name="쉼표 [0] 4 2 4 4" xfId="2397"/>
    <cellStyle name="쉼표 [0] 4 2 4 5" xfId="2398"/>
    <cellStyle name="쉼표 [0] 4 2 4 6" xfId="2399"/>
    <cellStyle name="쉼표 [0] 4 2 40" xfId="2400"/>
    <cellStyle name="쉼표 [0] 4 2 5" xfId="2401"/>
    <cellStyle name="쉼표 [0] 4 2 5 2" xfId="2402"/>
    <cellStyle name="쉼표 [0] 4 2 5 2 2" xfId="2403"/>
    <cellStyle name="쉼표 [0] 4 2 5 2 2 2" xfId="2404"/>
    <cellStyle name="쉼표 [0] 4 2 5 3" xfId="2405"/>
    <cellStyle name="쉼표 [0] 4 2 5 4" xfId="2406"/>
    <cellStyle name="쉼표 [0] 4 2 5 5" xfId="2407"/>
    <cellStyle name="쉼표 [0] 4 2 5 6" xfId="2408"/>
    <cellStyle name="쉼표 [0] 4 2 6" xfId="2409"/>
    <cellStyle name="쉼표 [0] 4 2 6 2" xfId="2410"/>
    <cellStyle name="쉼표 [0] 4 2 6 2 2" xfId="2411"/>
    <cellStyle name="쉼표 [0] 4 2 6 2 2 2" xfId="2412"/>
    <cellStyle name="쉼표 [0] 4 2 6 3" xfId="2413"/>
    <cellStyle name="쉼표 [0] 4 2 6 4" xfId="2414"/>
    <cellStyle name="쉼표 [0] 4 2 6 5" xfId="2415"/>
    <cellStyle name="쉼표 [0] 4 2 6 6" xfId="2416"/>
    <cellStyle name="쉼표 [0] 4 2 7" xfId="2417"/>
    <cellStyle name="쉼표 [0] 4 2 7 2" xfId="2418"/>
    <cellStyle name="쉼표 [0] 4 2 7 2 2" xfId="2419"/>
    <cellStyle name="쉼표 [0] 4 2 7 2 2 2" xfId="2420"/>
    <cellStyle name="쉼표 [0] 4 2 7 3" xfId="2421"/>
    <cellStyle name="쉼표 [0] 4 2 7 4" xfId="2422"/>
    <cellStyle name="쉼표 [0] 4 2 7 5" xfId="2423"/>
    <cellStyle name="쉼표 [0] 4 2 7 6" xfId="2424"/>
    <cellStyle name="쉼표 [0] 4 2 8" xfId="2425"/>
    <cellStyle name="쉼표 [0] 4 2 8 2" xfId="2426"/>
    <cellStyle name="쉼표 [0] 4 2 8 2 2" xfId="2427"/>
    <cellStyle name="쉼표 [0] 4 2 8 2 2 2" xfId="2428"/>
    <cellStyle name="쉼표 [0] 4 2 8 3" xfId="2429"/>
    <cellStyle name="쉼표 [0] 4 2 8 4" xfId="2430"/>
    <cellStyle name="쉼표 [0] 4 2 8 5" xfId="2431"/>
    <cellStyle name="쉼표 [0] 4 2 8 6" xfId="2432"/>
    <cellStyle name="쉼표 [0] 4 2 9" xfId="2433"/>
    <cellStyle name="쉼표 [0] 4 2 9 2" xfId="2434"/>
    <cellStyle name="쉼표 [0] 4 2 9 2 2" xfId="2435"/>
    <cellStyle name="쉼표 [0] 4 2 9 2 2 2" xfId="2436"/>
    <cellStyle name="쉼표 [0] 4 2 9 3" xfId="2437"/>
    <cellStyle name="쉼표 [0] 4 2 9 4" xfId="2438"/>
    <cellStyle name="쉼표 [0] 4 2 9 5" xfId="2439"/>
    <cellStyle name="쉼표 [0] 4 2 9 6" xfId="2440"/>
    <cellStyle name="쉼표 [0] 4 20" xfId="2441"/>
    <cellStyle name="쉼표 [0] 4 21" xfId="2442"/>
    <cellStyle name="쉼표 [0] 4 22" xfId="2443"/>
    <cellStyle name="쉼표 [0] 4 23" xfId="2444"/>
    <cellStyle name="쉼표 [0] 4 24" xfId="2445"/>
    <cellStyle name="쉼표 [0] 4 25" xfId="2446"/>
    <cellStyle name="쉼표 [0] 4 26" xfId="2447"/>
    <cellStyle name="쉼표 [0] 4 27" xfId="2448"/>
    <cellStyle name="쉼표 [0] 4 28" xfId="2449"/>
    <cellStyle name="쉼표 [0] 4 29" xfId="2450"/>
    <cellStyle name="쉼표 [0] 4 3" xfId="2451"/>
    <cellStyle name="쉼표 [0] 4 3 2" xfId="2452"/>
    <cellStyle name="쉼표 [0] 4 3 2 2" xfId="2453"/>
    <cellStyle name="쉼표 [0] 4 3 2 2 2" xfId="2454"/>
    <cellStyle name="쉼표 [0] 4 3 2 3" xfId="2455"/>
    <cellStyle name="쉼표 [0] 4 3 3" xfId="2456"/>
    <cellStyle name="쉼표 [0] 4 3 4" xfId="2457"/>
    <cellStyle name="쉼표 [0] 4 3 5" xfId="2458"/>
    <cellStyle name="쉼표 [0] 4 3 6" xfId="2459"/>
    <cellStyle name="쉼표 [0] 4 3 7" xfId="2460"/>
    <cellStyle name="쉼표 [0] 4 30" xfId="2461"/>
    <cellStyle name="쉼표 [0] 4 31" xfId="2462"/>
    <cellStyle name="쉼표 [0] 4 32" xfId="2463"/>
    <cellStyle name="쉼표 [0] 4 33" xfId="2464"/>
    <cellStyle name="쉼표 [0] 4 34" xfId="2465"/>
    <cellStyle name="쉼표 [0] 4 35" xfId="2466"/>
    <cellStyle name="쉼표 [0] 4 36" xfId="2467"/>
    <cellStyle name="쉼표 [0] 4 37" xfId="2468"/>
    <cellStyle name="쉼표 [0] 4 38" xfId="2469"/>
    <cellStyle name="쉼표 [0] 4 39" xfId="2470"/>
    <cellStyle name="쉼표 [0] 4 4" xfId="2471"/>
    <cellStyle name="쉼표 [0] 4 4 2" xfId="2472"/>
    <cellStyle name="쉼표 [0] 4 4 2 2" xfId="2473"/>
    <cellStyle name="쉼표 [0] 4 4 2 2 2" xfId="2474"/>
    <cellStyle name="쉼표 [0] 4 4 2 3" xfId="2475"/>
    <cellStyle name="쉼표 [0] 4 4 3" xfId="2476"/>
    <cellStyle name="쉼표 [0] 4 4 4" xfId="2477"/>
    <cellStyle name="쉼표 [0] 4 4 5" xfId="2478"/>
    <cellStyle name="쉼표 [0] 4 4 6" xfId="2479"/>
    <cellStyle name="쉼표 [0] 4 4 7" xfId="2480"/>
    <cellStyle name="쉼표 [0] 4 40" xfId="2481"/>
    <cellStyle name="쉼표 [0] 4 41" xfId="2482"/>
    <cellStyle name="쉼표 [0] 4 42" xfId="2483"/>
    <cellStyle name="쉼표 [0] 4 43" xfId="2484"/>
    <cellStyle name="쉼표 [0] 4 44" xfId="2485"/>
    <cellStyle name="쉼표 [0] 4 45" xfId="2486"/>
    <cellStyle name="쉼표 [0] 4 46" xfId="2487"/>
    <cellStyle name="쉼표 [0] 4 47" xfId="2488"/>
    <cellStyle name="쉼표 [0] 4 48" xfId="2489"/>
    <cellStyle name="쉼표 [0] 4 49" xfId="2490"/>
    <cellStyle name="쉼표 [0] 4 5" xfId="2491"/>
    <cellStyle name="쉼표 [0] 4 5 2" xfId="2492"/>
    <cellStyle name="쉼표 [0] 4 5 2 2" xfId="2493"/>
    <cellStyle name="쉼표 [0] 4 5 2 2 2" xfId="2494"/>
    <cellStyle name="쉼표 [0] 4 5 2 3" xfId="2495"/>
    <cellStyle name="쉼표 [0] 4 5 3" xfId="2496"/>
    <cellStyle name="쉼표 [0] 4 5 4" xfId="2497"/>
    <cellStyle name="쉼표 [0] 4 5 5" xfId="2498"/>
    <cellStyle name="쉼표 [0] 4 5 6" xfId="2499"/>
    <cellStyle name="쉼표 [0] 4 5 7" xfId="2500"/>
    <cellStyle name="쉼표 [0] 4 50" xfId="2501"/>
    <cellStyle name="쉼표 [0] 4 6" xfId="2502"/>
    <cellStyle name="쉼표 [0] 4 6 2" xfId="2503"/>
    <cellStyle name="쉼표 [0] 4 6 2 2" xfId="2504"/>
    <cellStyle name="쉼표 [0] 4 6 2 2 2" xfId="2505"/>
    <cellStyle name="쉼표 [0] 4 6 2 3" xfId="2506"/>
    <cellStyle name="쉼표 [0] 4 6 3" xfId="2507"/>
    <cellStyle name="쉼표 [0] 4 6 4" xfId="2508"/>
    <cellStyle name="쉼표 [0] 4 6 5" xfId="2509"/>
    <cellStyle name="쉼표 [0] 4 6 6" xfId="2510"/>
    <cellStyle name="쉼표 [0] 4 6 7" xfId="2511"/>
    <cellStyle name="쉼표 [0] 4 7" xfId="2512"/>
    <cellStyle name="쉼표 [0] 4 7 2" xfId="2513"/>
    <cellStyle name="쉼표 [0] 4 7 2 2" xfId="2514"/>
    <cellStyle name="쉼표 [0] 4 7 2 3" xfId="2515"/>
    <cellStyle name="쉼표 [0] 4 7 2 4" xfId="2516"/>
    <cellStyle name="쉼표 [0] 4 7 2 5" xfId="2517"/>
    <cellStyle name="쉼표 [0] 4 7 2 6" xfId="2518"/>
    <cellStyle name="쉼표 [0] 4 7 2 7" xfId="2519"/>
    <cellStyle name="쉼표 [0] 4 7 2 8" xfId="2520"/>
    <cellStyle name="쉼표 [0] 4 7 2 9" xfId="2521"/>
    <cellStyle name="쉼표 [0] 4 7 3" xfId="2522"/>
    <cellStyle name="쉼표 [0] 4 7 3 2" xfId="2523"/>
    <cellStyle name="쉼표 [0] 4 7 3 3" xfId="2524"/>
    <cellStyle name="쉼표 [0] 4 7 3 4" xfId="2525"/>
    <cellStyle name="쉼표 [0] 4 7 3 5" xfId="2526"/>
    <cellStyle name="쉼표 [0] 4 7 3 5 2" xfId="2527"/>
    <cellStyle name="쉼표 [0] 4 7 3 6" xfId="2528"/>
    <cellStyle name="쉼표 [0] 4 7 4" xfId="2529"/>
    <cellStyle name="쉼표 [0] 4 7 4 2" xfId="2530"/>
    <cellStyle name="쉼표 [0] 4 7 4 3" xfId="2531"/>
    <cellStyle name="쉼표 [0] 4 7 4 4" xfId="2532"/>
    <cellStyle name="쉼표 [0] 4 7 4 5" xfId="2533"/>
    <cellStyle name="쉼표 [0] 4 7 5" xfId="2534"/>
    <cellStyle name="쉼표 [0] 4 8" xfId="2535"/>
    <cellStyle name="쉼표 [0] 4 9" xfId="2536"/>
    <cellStyle name="쉼표 [0] 40" xfId="3121"/>
    <cellStyle name="쉼표 [0] 41" xfId="3125"/>
    <cellStyle name="쉼표 [0] 42" xfId="3145"/>
    <cellStyle name="쉼표 [0] 43" xfId="3175"/>
    <cellStyle name="쉼표 [0] 44" xfId="3184"/>
    <cellStyle name="쉼표 [0] 45" xfId="3197"/>
    <cellStyle name="쉼표 [0] 46" xfId="3216"/>
    <cellStyle name="쉼표 [0] 46 2" xfId="3276"/>
    <cellStyle name="쉼표 [0] 46 2 2" xfId="3388"/>
    <cellStyle name="쉼표 [0] 46 2 2 2" xfId="3717"/>
    <cellStyle name="쉼표 [0] 46 2 3" xfId="3497"/>
    <cellStyle name="쉼표 [0] 46 2 3 2" xfId="3826"/>
    <cellStyle name="쉼표 [0] 46 2 4" xfId="3609"/>
    <cellStyle name="쉼표 [0] 46 3" xfId="3334"/>
    <cellStyle name="쉼표 [0] 46 3 2" xfId="3663"/>
    <cellStyle name="쉼표 [0] 46 4" xfId="3443"/>
    <cellStyle name="쉼표 [0] 46 4 2" xfId="3772"/>
    <cellStyle name="쉼표 [0] 46 5" xfId="3555"/>
    <cellStyle name="쉼표 [0] 47" xfId="3240"/>
    <cellStyle name="쉼표 [0] 48" xfId="3298"/>
    <cellStyle name="쉼표 [0] 49" xfId="3519"/>
    <cellStyle name="쉼표 [0] 5" xfId="2537"/>
    <cellStyle name="쉼표 [0] 5 10" xfId="2538"/>
    <cellStyle name="쉼표 [0] 5 11" xfId="2539"/>
    <cellStyle name="쉼표 [0] 5 12" xfId="2540"/>
    <cellStyle name="쉼표 [0] 5 13" xfId="2541"/>
    <cellStyle name="쉼표 [0] 5 2" xfId="2542"/>
    <cellStyle name="쉼표 [0] 5 2 2" xfId="2543"/>
    <cellStyle name="쉼표 [0] 5 2 2 2" xfId="2544"/>
    <cellStyle name="쉼표 [0] 5 2 2 2 2" xfId="2545"/>
    <cellStyle name="쉼표 [0] 5 2 2 3" xfId="2546"/>
    <cellStyle name="쉼표 [0] 5 2 3" xfId="2547"/>
    <cellStyle name="쉼표 [0] 5 2 4" xfId="2548"/>
    <cellStyle name="쉼표 [0] 5 2 5" xfId="2549"/>
    <cellStyle name="쉼표 [0] 5 2 6" xfId="2550"/>
    <cellStyle name="쉼표 [0] 5 2 7" xfId="2551"/>
    <cellStyle name="쉼표 [0] 5 3" xfId="2552"/>
    <cellStyle name="쉼표 [0] 5 4" xfId="2553"/>
    <cellStyle name="쉼표 [0] 5 5" xfId="2554"/>
    <cellStyle name="쉼표 [0] 5 6" xfId="2555"/>
    <cellStyle name="쉼표 [0] 5 7" xfId="2556"/>
    <cellStyle name="쉼표 [0] 5 8" xfId="2557"/>
    <cellStyle name="쉼표 [0] 5 9" xfId="2558"/>
    <cellStyle name="쉼표 [0] 50" xfId="1132"/>
    <cellStyle name="쉼표 [0] 6" xfId="2559"/>
    <cellStyle name="쉼표 [0] 6 10" xfId="2560"/>
    <cellStyle name="쉼표 [0] 6 11" xfId="2561"/>
    <cellStyle name="쉼표 [0] 6 12" xfId="2562"/>
    <cellStyle name="쉼표 [0] 6 13" xfId="2563"/>
    <cellStyle name="쉼표 [0] 6 14" xfId="2564"/>
    <cellStyle name="쉼표 [0] 6 2" xfId="2565"/>
    <cellStyle name="쉼표 [0] 6 2 2" xfId="2566"/>
    <cellStyle name="쉼표 [0] 6 2 2 2" xfId="2567"/>
    <cellStyle name="쉼표 [0] 6 2 2 2 2" xfId="2568"/>
    <cellStyle name="쉼표 [0] 6 2 2 3" xfId="2569"/>
    <cellStyle name="쉼표 [0] 6 2 3" xfId="2570"/>
    <cellStyle name="쉼표 [0] 6 2 4" xfId="2571"/>
    <cellStyle name="쉼표 [0] 6 2 5" xfId="2572"/>
    <cellStyle name="쉼표 [0] 6 2 6" xfId="2573"/>
    <cellStyle name="쉼표 [0] 6 2 7" xfId="2574"/>
    <cellStyle name="쉼표 [0] 6 3" xfId="2575"/>
    <cellStyle name="쉼표 [0] 6 3 2" xfId="2576"/>
    <cellStyle name="쉼표 [0] 6 3 2 2" xfId="2577"/>
    <cellStyle name="쉼표 [0] 6 3 2 2 2" xfId="2578"/>
    <cellStyle name="쉼표 [0] 6 3 2 3" xfId="2579"/>
    <cellStyle name="쉼표 [0] 6 3 3" xfId="2580"/>
    <cellStyle name="쉼표 [0] 6 3 4" xfId="2581"/>
    <cellStyle name="쉼표 [0] 6 3 5" xfId="2582"/>
    <cellStyle name="쉼표 [0] 6 3 6" xfId="2583"/>
    <cellStyle name="쉼표 [0] 6 3 7" xfId="2584"/>
    <cellStyle name="쉼표 [0] 6 4" xfId="2585"/>
    <cellStyle name="쉼표 [0] 6 5" xfId="2586"/>
    <cellStyle name="쉼표 [0] 6 6" xfId="2587"/>
    <cellStyle name="쉼표 [0] 6 7" xfId="2588"/>
    <cellStyle name="쉼표 [0] 6 8" xfId="2589"/>
    <cellStyle name="쉼표 [0] 6 9" xfId="2590"/>
    <cellStyle name="쉼표 [0] 7" xfId="2591"/>
    <cellStyle name="쉼표 [0] 7 10" xfId="2592"/>
    <cellStyle name="쉼표 [0] 7 11" xfId="2593"/>
    <cellStyle name="쉼표 [0] 7 12" xfId="2594"/>
    <cellStyle name="쉼표 [0] 7 2" xfId="2595"/>
    <cellStyle name="쉼표 [0] 7 3" xfId="2596"/>
    <cellStyle name="쉼표 [0] 7 4" xfId="2597"/>
    <cellStyle name="쉼표 [0] 7 5" xfId="2598"/>
    <cellStyle name="쉼표 [0] 7 6" xfId="2599"/>
    <cellStyle name="쉼표 [0] 7 7" xfId="2600"/>
    <cellStyle name="쉼표 [0] 7 8" xfId="2601"/>
    <cellStyle name="쉼표 [0] 7 9" xfId="2602"/>
    <cellStyle name="쉼표 [0] 8" xfId="2603"/>
    <cellStyle name="쉼표 [0] 8 10" xfId="2604"/>
    <cellStyle name="쉼표 [0] 8 11" xfId="2605"/>
    <cellStyle name="쉼표 [0] 8 12" xfId="2606"/>
    <cellStyle name="쉼표 [0] 8 2" xfId="2607"/>
    <cellStyle name="쉼표 [0] 8 3" xfId="2608"/>
    <cellStyle name="쉼표 [0] 8 4" xfId="2609"/>
    <cellStyle name="쉼표 [0] 8 5" xfId="2610"/>
    <cellStyle name="쉼표 [0] 8 6" xfId="2611"/>
    <cellStyle name="쉼표 [0] 8 7" xfId="2612"/>
    <cellStyle name="쉼표 [0] 8 8" xfId="2613"/>
    <cellStyle name="쉼표 [0] 8 9" xfId="2614"/>
    <cellStyle name="쉼표 [0] 9" xfId="2615"/>
    <cellStyle name="쉼표 [0] 9 10" xfId="2616"/>
    <cellStyle name="쉼표 [0] 9 11" xfId="2617"/>
    <cellStyle name="쉼표 [0] 9 12" xfId="2618"/>
    <cellStyle name="쉼표 [0] 9 2" xfId="2619"/>
    <cellStyle name="쉼표 [0] 9 3" xfId="2620"/>
    <cellStyle name="쉼표 [0] 9 4" xfId="2621"/>
    <cellStyle name="쉼표 [0] 9 5" xfId="2622"/>
    <cellStyle name="쉼표 [0] 9 6" xfId="2623"/>
    <cellStyle name="쉼표 [0] 9 7" xfId="2624"/>
    <cellStyle name="쉼표 [0] 9 8" xfId="2625"/>
    <cellStyle name="쉼표 [0] 9 9" xfId="2626"/>
    <cellStyle name="스타일 1" xfId="2627"/>
    <cellStyle name="스타일 1 2" xfId="3147"/>
    <cellStyle name="스타일 10" xfId="3148"/>
    <cellStyle name="스타일 11" xfId="3149"/>
    <cellStyle name="스타일 12" xfId="3150"/>
    <cellStyle name="스타일 13" xfId="3151"/>
    <cellStyle name="스타일 14" xfId="3152"/>
    <cellStyle name="스타일 15" xfId="3153"/>
    <cellStyle name="스타일 16" xfId="3154"/>
    <cellStyle name="스타일 17" xfId="3155"/>
    <cellStyle name="스타일 18" xfId="3156"/>
    <cellStyle name="스타일 19" xfId="3157"/>
    <cellStyle name="스타일 2" xfId="3158"/>
    <cellStyle name="스타일 20" xfId="3159"/>
    <cellStyle name="스타일 21" xfId="3160"/>
    <cellStyle name="스타일 3" xfId="3161"/>
    <cellStyle name="스타일 4" xfId="3162"/>
    <cellStyle name="스타일 5" xfId="3163"/>
    <cellStyle name="스타일 6" xfId="3164"/>
    <cellStyle name="스타일 7" xfId="3165"/>
    <cellStyle name="스타일 8" xfId="3166"/>
    <cellStyle name="스타일 9" xfId="3167"/>
    <cellStyle name="연결된 셀 2" xfId="2628"/>
    <cellStyle name="요약 2" xfId="2629"/>
    <cellStyle name="입력 2" xfId="2630"/>
    <cellStyle name="제목 1 2" xfId="2631"/>
    <cellStyle name="제목 2 2" xfId="2632"/>
    <cellStyle name="제목 3 2" xfId="2633"/>
    <cellStyle name="제목 4 2" xfId="2634"/>
    <cellStyle name="제목 5" xfId="2635"/>
    <cellStyle name="좋음 2" xfId="2636"/>
    <cellStyle name="출력 2" xfId="2637"/>
    <cellStyle name="콤마 [0]_1" xfId="2638"/>
    <cellStyle name="콤마_1" xfId="2639"/>
    <cellStyle name="통화 [0]" xfId="7" builtinId="7"/>
    <cellStyle name="통화 [0] 10" xfId="2641"/>
    <cellStyle name="통화 [0] 11" xfId="2642"/>
    <cellStyle name="통화 [0] 12" xfId="3118"/>
    <cellStyle name="통화 [0] 12 2" xfId="2643"/>
    <cellStyle name="통화 [0] 13" xfId="3126"/>
    <cellStyle name="통화 [0] 14" xfId="3176"/>
    <cellStyle name="통화 [0] 15" xfId="3185"/>
    <cellStyle name="통화 [0] 16" xfId="3198"/>
    <cellStyle name="통화 [0] 17" xfId="3217"/>
    <cellStyle name="통화 [0] 17 2" xfId="3277"/>
    <cellStyle name="통화 [0] 17 2 2" xfId="3389"/>
    <cellStyle name="통화 [0] 17 2 2 2" xfId="3718"/>
    <cellStyle name="통화 [0] 17 2 3" xfId="3498"/>
    <cellStyle name="통화 [0] 17 2 3 2" xfId="3827"/>
    <cellStyle name="통화 [0] 17 2 4" xfId="3610"/>
    <cellStyle name="통화 [0] 17 3" xfId="3335"/>
    <cellStyle name="통화 [0] 17 3 2" xfId="3664"/>
    <cellStyle name="통화 [0] 17 4" xfId="3444"/>
    <cellStyle name="통화 [0] 17 4 2" xfId="3773"/>
    <cellStyle name="통화 [0] 17 5" xfId="3556"/>
    <cellStyle name="통화 [0] 18" xfId="3241"/>
    <cellStyle name="통화 [0] 19" xfId="3299"/>
    <cellStyle name="통화 [0] 2" xfId="2644"/>
    <cellStyle name="통화 [0] 2 10" xfId="2645"/>
    <cellStyle name="통화 [0] 2 10 2" xfId="2646"/>
    <cellStyle name="통화 [0] 2 10 3" xfId="2647"/>
    <cellStyle name="통화 [0] 2 11" xfId="2648"/>
    <cellStyle name="통화 [0] 2 11 2" xfId="2649"/>
    <cellStyle name="통화 [0] 2 11 3" xfId="2650"/>
    <cellStyle name="통화 [0] 2 12" xfId="2651"/>
    <cellStyle name="통화 [0] 2 12 2" xfId="2652"/>
    <cellStyle name="통화 [0] 2 12 3" xfId="2653"/>
    <cellStyle name="통화 [0] 2 13" xfId="2654"/>
    <cellStyle name="통화 [0] 2 13 2" xfId="2655"/>
    <cellStyle name="통화 [0] 2 13 3" xfId="2656"/>
    <cellStyle name="통화 [0] 2 14" xfId="2657"/>
    <cellStyle name="통화 [0] 2 14 2" xfId="2658"/>
    <cellStyle name="통화 [0] 2 14 3" xfId="2659"/>
    <cellStyle name="통화 [0] 2 15" xfId="2660"/>
    <cellStyle name="통화 [0] 2 15 2" xfId="2661"/>
    <cellStyle name="통화 [0] 2 15 3" xfId="2662"/>
    <cellStyle name="통화 [0] 2 16" xfId="2663"/>
    <cellStyle name="통화 [0] 2 17" xfId="2664"/>
    <cellStyle name="통화 [0] 2 18" xfId="2665"/>
    <cellStyle name="통화 [0] 2 19" xfId="2666"/>
    <cellStyle name="통화 [0] 2 2" xfId="2667"/>
    <cellStyle name="통화 [0] 2 2 10" xfId="2668"/>
    <cellStyle name="통화 [0] 2 2 2" xfId="2669"/>
    <cellStyle name="통화 [0] 2 2 2 2" xfId="2670"/>
    <cellStyle name="통화 [0] 2 2 2 2 2" xfId="2671"/>
    <cellStyle name="통화 [0] 2 2 2 2 2 2" xfId="2672"/>
    <cellStyle name="통화 [0] 2 2 2 2 2 2 2" xfId="2673"/>
    <cellStyle name="통화 [0] 2 2 2 2 2 2 2 2" xfId="2674"/>
    <cellStyle name="통화 [0] 2 2 2 2 2 2 2 2 2" xfId="2675"/>
    <cellStyle name="통화 [0] 2 2 2 2 2 2 2 2 2 2" xfId="2676"/>
    <cellStyle name="통화 [0] 2 2 2 2 2 2 2 2 2 2 2" xfId="2677"/>
    <cellStyle name="통화 [0] 2 2 2 2 2 2 2 2 2 2 2 2" xfId="2678"/>
    <cellStyle name="통화 [0] 2 2 2 2 2 2 2 2 2 2 2 2 2" xfId="2679"/>
    <cellStyle name="통화 [0] 2 2 2 2 2 2 2 2 2 2 3" xfId="2680"/>
    <cellStyle name="통화 [0] 2 2 2 2 2 2 2 2 2 3" xfId="2681"/>
    <cellStyle name="통화 [0] 2 2 2 2 2 2 2 2 3" xfId="2682"/>
    <cellStyle name="통화 [0] 2 2 2 2 2 2 2 2 4" xfId="2683"/>
    <cellStyle name="통화 [0] 2 2 2 2 2 2 2 3" xfId="2684"/>
    <cellStyle name="통화 [0] 2 2 2 2 2 2 2 3 2" xfId="2685"/>
    <cellStyle name="통화 [0] 2 2 2 2 2 2 2 4" xfId="2686"/>
    <cellStyle name="통화 [0] 2 2 2 2 2 2 3" xfId="2687"/>
    <cellStyle name="통화 [0] 2 2 2 2 2 2 4" xfId="2688"/>
    <cellStyle name="통화 [0] 2 2 2 2 2 2 5" xfId="2689"/>
    <cellStyle name="통화 [0] 2 2 2 2 2 3" xfId="2690"/>
    <cellStyle name="통화 [0] 2 2 2 2 2 3 2" xfId="2691"/>
    <cellStyle name="통화 [0] 2 2 2 2 2 4" xfId="2692"/>
    <cellStyle name="통화 [0] 2 2 2 2 2 4 2" xfId="2693"/>
    <cellStyle name="통화 [0] 2 2 2 2 2 5" xfId="2694"/>
    <cellStyle name="통화 [0] 2 2 2 2 3" xfId="2695"/>
    <cellStyle name="통화 [0] 2 2 2 2 4" xfId="2696"/>
    <cellStyle name="통화 [0] 2 2 2 2 5" xfId="2697"/>
    <cellStyle name="통화 [0] 2 2 2 2 6" xfId="2698"/>
    <cellStyle name="통화 [0] 2 2 2 3" xfId="2699"/>
    <cellStyle name="통화 [0] 2 2 2 4" xfId="2700"/>
    <cellStyle name="통화 [0] 2 2 2 5" xfId="2701"/>
    <cellStyle name="통화 [0] 2 2 2 6" xfId="2702"/>
    <cellStyle name="통화 [0] 2 2 3" xfId="2703"/>
    <cellStyle name="통화 [0] 2 2 4" xfId="2704"/>
    <cellStyle name="통화 [0] 2 2 5" xfId="2705"/>
    <cellStyle name="통화 [0] 2 2 5 2" xfId="2706"/>
    <cellStyle name="통화 [0] 2 2 5 3" xfId="2707"/>
    <cellStyle name="통화 [0] 2 2 5 3 2" xfId="2708"/>
    <cellStyle name="통화 [0] 2 2 5 4" xfId="2709"/>
    <cellStyle name="통화 [0] 2 2 6" xfId="2710"/>
    <cellStyle name="통화 [0] 2 2 6 2" xfId="2711"/>
    <cellStyle name="통화 [0] 2 2 6 2 2" xfId="2712"/>
    <cellStyle name="통화 [0] 2 2 7" xfId="2713"/>
    <cellStyle name="통화 [0] 2 2 8" xfId="2714"/>
    <cellStyle name="통화 [0] 2 2 9" xfId="2715"/>
    <cellStyle name="통화 [0] 2 20" xfId="2716"/>
    <cellStyle name="통화 [0] 2 21" xfId="2717"/>
    <cellStyle name="통화 [0] 2 22" xfId="2718"/>
    <cellStyle name="통화 [0] 2 23" xfId="2719"/>
    <cellStyle name="통화 [0] 2 24" xfId="2720"/>
    <cellStyle name="통화 [0] 2 25" xfId="2721"/>
    <cellStyle name="통화 [0] 2 26" xfId="2722"/>
    <cellStyle name="통화 [0] 2 27" xfId="2723"/>
    <cellStyle name="통화 [0] 2 28" xfId="2724"/>
    <cellStyle name="통화 [0] 2 28 2" xfId="2725"/>
    <cellStyle name="통화 [0] 2 3" xfId="2726"/>
    <cellStyle name="통화 [0] 2 3 2" xfId="2727"/>
    <cellStyle name="통화 [0] 2 3 2 2" xfId="2728"/>
    <cellStyle name="통화 [0] 2 3 2 2 2" xfId="2729"/>
    <cellStyle name="통화 [0] 2 3 2 3" xfId="2730"/>
    <cellStyle name="통화 [0] 2 3 3" xfId="2731"/>
    <cellStyle name="통화 [0] 2 3 4" xfId="2732"/>
    <cellStyle name="통화 [0] 2 3 5" xfId="2733"/>
    <cellStyle name="통화 [0] 2 3 6" xfId="2734"/>
    <cellStyle name="통화 [0] 2 3 7" xfId="2735"/>
    <cellStyle name="통화 [0] 2 4" xfId="2736"/>
    <cellStyle name="통화 [0] 2 4 2" xfId="2737"/>
    <cellStyle name="통화 [0] 2 4 2 2" xfId="2738"/>
    <cellStyle name="통화 [0] 2 4 2 2 2" xfId="2739"/>
    <cellStyle name="통화 [0] 2 4 2 3" xfId="2740"/>
    <cellStyle name="통화 [0] 2 4 3" xfId="2741"/>
    <cellStyle name="통화 [0] 2 4 4" xfId="2742"/>
    <cellStyle name="통화 [0] 2 4 5" xfId="2743"/>
    <cellStyle name="통화 [0] 2 4 6" xfId="2744"/>
    <cellStyle name="통화 [0] 2 4 7" xfId="2745"/>
    <cellStyle name="통화 [0] 2 5" xfId="2746"/>
    <cellStyle name="통화 [0] 2 6" xfId="2747"/>
    <cellStyle name="통화 [0] 2 6 2" xfId="2748"/>
    <cellStyle name="통화 [0] 2 6 2 2" xfId="2749"/>
    <cellStyle name="통화 [0] 2 6 2 2 2" xfId="2750"/>
    <cellStyle name="통화 [0] 2 6 2 3" xfId="2751"/>
    <cellStyle name="통화 [0] 2 6 3" xfId="2752"/>
    <cellStyle name="통화 [0] 2 6 4" xfId="2753"/>
    <cellStyle name="통화 [0] 2 6 5" xfId="2754"/>
    <cellStyle name="통화 [0] 2 6 6" xfId="2755"/>
    <cellStyle name="통화 [0] 2 6 7" xfId="2756"/>
    <cellStyle name="통화 [0] 2 7" xfId="2757"/>
    <cellStyle name="통화 [0] 2 7 2" xfId="2758"/>
    <cellStyle name="통화 [0] 2 7 3" xfId="2759"/>
    <cellStyle name="통화 [0] 2 8" xfId="2760"/>
    <cellStyle name="통화 [0] 2 8 2" xfId="2761"/>
    <cellStyle name="통화 [0] 2 8 3" xfId="2762"/>
    <cellStyle name="통화 [0] 2 9" xfId="2763"/>
    <cellStyle name="통화 [0] 2 9 2" xfId="2764"/>
    <cellStyle name="통화 [0] 2 9 3" xfId="2765"/>
    <cellStyle name="통화 [0] 20" xfId="3520"/>
    <cellStyle name="통화 [0] 21" xfId="2640"/>
    <cellStyle name="통화 [0] 3" xfId="2766"/>
    <cellStyle name="통화 [0] 3 10" xfId="2767"/>
    <cellStyle name="통화 [0] 3 11" xfId="2768"/>
    <cellStyle name="통화 [0] 3 12" xfId="2769"/>
    <cellStyle name="통화 [0] 3 2" xfId="2770"/>
    <cellStyle name="통화 [0] 3 3" xfId="2771"/>
    <cellStyle name="통화 [0] 3 4" xfId="2772"/>
    <cellStyle name="통화 [0] 3 5" xfId="2773"/>
    <cellStyle name="통화 [0] 3 6" xfId="2774"/>
    <cellStyle name="통화 [0] 3 7" xfId="2775"/>
    <cellStyle name="통화 [0] 3 8" xfId="2776"/>
    <cellStyle name="통화 [0] 3 9" xfId="2777"/>
    <cellStyle name="통화 [0] 33" xfId="2778"/>
    <cellStyle name="통화 [0] 33 2" xfId="2779"/>
    <cellStyle name="통화 [0] 4" xfId="2780"/>
    <cellStyle name="통화 [0] 4 10" xfId="2781"/>
    <cellStyle name="통화 [0] 4 11" xfId="2782"/>
    <cellStyle name="통화 [0] 4 12" xfId="2783"/>
    <cellStyle name="통화 [0] 4 2" xfId="2784"/>
    <cellStyle name="통화 [0] 4 3" xfId="2785"/>
    <cellStyle name="통화 [0] 4 4" xfId="2786"/>
    <cellStyle name="통화 [0] 4 5" xfId="2787"/>
    <cellStyle name="통화 [0] 4 6" xfId="2788"/>
    <cellStyle name="통화 [0] 4 7" xfId="2789"/>
    <cellStyle name="통화 [0] 4 8" xfId="2790"/>
    <cellStyle name="통화 [0] 4 9" xfId="2791"/>
    <cellStyle name="통화 [0] 5" xfId="2792"/>
    <cellStyle name="통화 [0] 5 10" xfId="2793"/>
    <cellStyle name="통화 [0] 5 11" xfId="2794"/>
    <cellStyle name="통화 [0] 5 12" xfId="2795"/>
    <cellStyle name="통화 [0] 5 2" xfId="2796"/>
    <cellStyle name="통화 [0] 5 3" xfId="2797"/>
    <cellStyle name="통화 [0] 5 4" xfId="2798"/>
    <cellStyle name="통화 [0] 5 5" xfId="2799"/>
    <cellStyle name="통화 [0] 5 6" xfId="2800"/>
    <cellStyle name="통화 [0] 5 7" xfId="2801"/>
    <cellStyle name="통화 [0] 5 8" xfId="2802"/>
    <cellStyle name="통화 [0] 5 9" xfId="2803"/>
    <cellStyle name="통화 [0] 6" xfId="2804"/>
    <cellStyle name="통화 [0] 6 10" xfId="2805"/>
    <cellStyle name="통화 [0] 6 11" xfId="2806"/>
    <cellStyle name="통화 [0] 6 12" xfId="2807"/>
    <cellStyle name="통화 [0] 6 2" xfId="2808"/>
    <cellStyle name="통화 [0] 6 3" xfId="2809"/>
    <cellStyle name="통화 [0] 6 4" xfId="2810"/>
    <cellStyle name="통화 [0] 6 5" xfId="2811"/>
    <cellStyle name="통화 [0] 6 6" xfId="2812"/>
    <cellStyle name="통화 [0] 6 7" xfId="2813"/>
    <cellStyle name="통화 [0] 6 8" xfId="2814"/>
    <cellStyle name="통화 [0] 6 9" xfId="2815"/>
    <cellStyle name="통화 [0] 7" xfId="2816"/>
    <cellStyle name="통화 [0] 7 10" xfId="2817"/>
    <cellStyle name="통화 [0] 7 11" xfId="2818"/>
    <cellStyle name="통화 [0] 7 12" xfId="2819"/>
    <cellStyle name="통화 [0] 7 2" xfId="2820"/>
    <cellStyle name="통화 [0] 7 3" xfId="2821"/>
    <cellStyle name="통화 [0] 7 4" xfId="2822"/>
    <cellStyle name="통화 [0] 7 5" xfId="2823"/>
    <cellStyle name="통화 [0] 7 6" xfId="2824"/>
    <cellStyle name="통화 [0] 7 7" xfId="2825"/>
    <cellStyle name="통화 [0] 7 8" xfId="2826"/>
    <cellStyle name="통화 [0] 7 9" xfId="2827"/>
    <cellStyle name="통화 [0] 8" xfId="2828"/>
    <cellStyle name="통화 [0] 8 10" xfId="2829"/>
    <cellStyle name="통화 [0] 8 11" xfId="2830"/>
    <cellStyle name="통화 [0] 8 12" xfId="2831"/>
    <cellStyle name="통화 [0] 8 2" xfId="2832"/>
    <cellStyle name="통화 [0] 8 3" xfId="2833"/>
    <cellStyle name="통화 [0] 8 4" xfId="2834"/>
    <cellStyle name="통화 [0] 8 5" xfId="2835"/>
    <cellStyle name="통화 [0] 8 6" xfId="2836"/>
    <cellStyle name="통화 [0] 8 7" xfId="2837"/>
    <cellStyle name="통화 [0] 8 8" xfId="2838"/>
    <cellStyle name="통화 [0] 8 9" xfId="2839"/>
    <cellStyle name="통화 [0] 9" xfId="2840"/>
    <cellStyle name="표준" xfId="0" builtinId="0"/>
    <cellStyle name="표준 10" xfId="2841"/>
    <cellStyle name="표준 10 2" xfId="2842"/>
    <cellStyle name="표준 10 3" xfId="2843"/>
    <cellStyle name="표준 10 4" xfId="2844"/>
    <cellStyle name="표준 10 5" xfId="2845"/>
    <cellStyle name="표준 11" xfId="2846"/>
    <cellStyle name="표준 11 2" xfId="2847"/>
    <cellStyle name="표준 11 3" xfId="2848"/>
    <cellStyle name="표준 11 4" xfId="2849"/>
    <cellStyle name="표준 11 5" xfId="2850"/>
    <cellStyle name="표준 11 6" xfId="2851"/>
    <cellStyle name="표준 11 7" xfId="2852"/>
    <cellStyle name="표준 11 8" xfId="2853"/>
    <cellStyle name="표준 12" xfId="3119"/>
    <cellStyle name="표준 12 2" xfId="2854"/>
    <cellStyle name="표준 12 3" xfId="2855"/>
    <cellStyle name="표준 12 4" xfId="2856"/>
    <cellStyle name="표준 12 5" xfId="2857"/>
    <cellStyle name="표준 13" xfId="2858"/>
    <cellStyle name="표준 13 10" xfId="2859"/>
    <cellStyle name="표준 13 11" xfId="2860"/>
    <cellStyle name="표준 13 12" xfId="2861"/>
    <cellStyle name="표준 13 13" xfId="2862"/>
    <cellStyle name="표준 13 2" xfId="2863"/>
    <cellStyle name="표준 13 3" xfId="2864"/>
    <cellStyle name="표준 13 4" xfId="2865"/>
    <cellStyle name="표준 13 5" xfId="2866"/>
    <cellStyle name="표준 13 6" xfId="2867"/>
    <cellStyle name="표준 13 7" xfId="2868"/>
    <cellStyle name="표준 13 8" xfId="2869"/>
    <cellStyle name="표준 13 9" xfId="2870"/>
    <cellStyle name="표준 14" xfId="2871"/>
    <cellStyle name="標準 14" xfId="2872"/>
    <cellStyle name="표준 14 10" xfId="2873"/>
    <cellStyle name="표준 14 11" xfId="2874"/>
    <cellStyle name="표준 14 12" xfId="2875"/>
    <cellStyle name="표준 14 2" xfId="2876"/>
    <cellStyle name="표준 14 3" xfId="2877"/>
    <cellStyle name="표준 14 4" xfId="2878"/>
    <cellStyle name="표준 14 5" xfId="2879"/>
    <cellStyle name="표준 14 6" xfId="2880"/>
    <cellStyle name="표준 14 7" xfId="2881"/>
    <cellStyle name="표준 14 8" xfId="2882"/>
    <cellStyle name="표준 14 9" xfId="2883"/>
    <cellStyle name="표준 15" xfId="2884"/>
    <cellStyle name="표준 15 10" xfId="2885"/>
    <cellStyle name="표준 15 11" xfId="2886"/>
    <cellStyle name="표준 15 12" xfId="2887"/>
    <cellStyle name="표준 15 13" xfId="2888"/>
    <cellStyle name="표준 15 2" xfId="2889"/>
    <cellStyle name="표준 15 3" xfId="2890"/>
    <cellStyle name="표준 15 4" xfId="2891"/>
    <cellStyle name="표준 15 5" xfId="2892"/>
    <cellStyle name="표준 15 6" xfId="2893"/>
    <cellStyle name="표준 15 7" xfId="2894"/>
    <cellStyle name="표준 15 8" xfId="2895"/>
    <cellStyle name="표준 15 9" xfId="2896"/>
    <cellStyle name="표준 16" xfId="2897"/>
    <cellStyle name="표준 16 10" xfId="2898"/>
    <cellStyle name="표준 16 11" xfId="2899"/>
    <cellStyle name="표준 16 12" xfId="2900"/>
    <cellStyle name="표준 16 13" xfId="2901"/>
    <cellStyle name="표준 16 2" xfId="2902"/>
    <cellStyle name="표준 16 3" xfId="2903"/>
    <cellStyle name="표준 16 4" xfId="2904"/>
    <cellStyle name="표준 16 5" xfId="2905"/>
    <cellStyle name="표준 16 6" xfId="2906"/>
    <cellStyle name="표준 16 7" xfId="2907"/>
    <cellStyle name="표준 16 8" xfId="2908"/>
    <cellStyle name="표준 16 9" xfId="2909"/>
    <cellStyle name="표준 17" xfId="2910"/>
    <cellStyle name="표준 18" xfId="2911"/>
    <cellStyle name="표준 19" xfId="2912"/>
    <cellStyle name="표준 19 2" xfId="2913"/>
    <cellStyle name="표준 19 3" xfId="2914"/>
    <cellStyle name="표준 19 4" xfId="2915"/>
    <cellStyle name="표준 2" xfId="2"/>
    <cellStyle name="표준 2 10" xfId="2917"/>
    <cellStyle name="표준 2 11" xfId="2918"/>
    <cellStyle name="표준 2 12" xfId="2919"/>
    <cellStyle name="표준 2 13" xfId="2920"/>
    <cellStyle name="표준 2 14" xfId="2921"/>
    <cellStyle name="표준 2 15" xfId="2922"/>
    <cellStyle name="표준 2 16" xfId="2923"/>
    <cellStyle name="표준 2 17" xfId="2924"/>
    <cellStyle name="표준 2 18" xfId="2925"/>
    <cellStyle name="표준 2 19" xfId="2926"/>
    <cellStyle name="표준 2 2" xfId="2927"/>
    <cellStyle name="표준 2 2 2" xfId="2928"/>
    <cellStyle name="표준 2 2 2 2" xfId="2929"/>
    <cellStyle name="표준 2 2 2 2 2" xfId="2930"/>
    <cellStyle name="표준 2 2 2 2 2 2" xfId="2931"/>
    <cellStyle name="표준 2 2 2 2 2 2 2" xfId="2932"/>
    <cellStyle name="표준 2 2 2 2 2 2 2 2" xfId="2933"/>
    <cellStyle name="표준 2 2 2 2 2 2 2 2 2" xfId="2934"/>
    <cellStyle name="표준 2 2 2 2 2 2 2 2 2 2" xfId="2935"/>
    <cellStyle name="표준 2 2 2 2 2 2 2 2 2 2 2" xfId="2936"/>
    <cellStyle name="표준 2 2 2 2 2 2 2 2 2 2 2 2" xfId="2937"/>
    <cellStyle name="표준 2 2 2 2 2 2 2 2 2 2 2 2 2" xfId="2938"/>
    <cellStyle name="표준 2 2 2 2 2 2 2 2 2 2 3" xfId="2939"/>
    <cellStyle name="표준 2 2 2 2 2 2 2 2 2 3" xfId="2940"/>
    <cellStyle name="표준 2 2 2 2 2 2 2 2 3" xfId="2941"/>
    <cellStyle name="표준 2 2 2 2 2 2 2 2 4" xfId="2942"/>
    <cellStyle name="표준 2 2 2 2 2 2 2 3" xfId="2943"/>
    <cellStyle name="표준 2 2 2 2 2 2 2 4" xfId="2944"/>
    <cellStyle name="표준 2 2 2 2 2 2 3" xfId="2945"/>
    <cellStyle name="표준 2 2 2 2 2 2 4" xfId="2946"/>
    <cellStyle name="표준 2 2 2 2 2 2 5" xfId="2947"/>
    <cellStyle name="표준 2 2 2 2 2 3" xfId="2948"/>
    <cellStyle name="표준 2 2 2 2 2 4" xfId="2949"/>
    <cellStyle name="표준 2 2 2 2 2 5" xfId="2950"/>
    <cellStyle name="표준 2 2 2 2 3" xfId="2951"/>
    <cellStyle name="표준 2 2 2 2 4" xfId="2952"/>
    <cellStyle name="표준 2 2 2 2 5" xfId="2953"/>
    <cellStyle name="표준 2 2 2 2 6" xfId="2954"/>
    <cellStyle name="표준 2 2 2 3" xfId="2955"/>
    <cellStyle name="표준 2 2 2 4" xfId="2956"/>
    <cellStyle name="표준 2 2 2 5" xfId="2957"/>
    <cellStyle name="표준 2 2 2 6" xfId="2958"/>
    <cellStyle name="표준 2 2 3" xfId="2959"/>
    <cellStyle name="표준 2 2 4" xfId="2960"/>
    <cellStyle name="표준 2 2 5" xfId="2961"/>
    <cellStyle name="표준 2 2 6" xfId="2962"/>
    <cellStyle name="표준 2 2 7" xfId="2963"/>
    <cellStyle name="표준 2 20" xfId="2964"/>
    <cellStyle name="표준 2 21" xfId="2965"/>
    <cellStyle name="표준 2 22" xfId="2966"/>
    <cellStyle name="표준 2 23" xfId="2967"/>
    <cellStyle name="표준 2 24" xfId="2968"/>
    <cellStyle name="표준 2 25" xfId="2969"/>
    <cellStyle name="표준 2 26" xfId="2970"/>
    <cellStyle name="표준 2 26 2" xfId="2971"/>
    <cellStyle name="표준 2 27" xfId="2972"/>
    <cellStyle name="표준 2 28" xfId="2916"/>
    <cellStyle name="표준 2 3" xfId="2973"/>
    <cellStyle name="표준 2 4" xfId="2974"/>
    <cellStyle name="표준 2 5" xfId="2975"/>
    <cellStyle name="표준 2 6" xfId="2976"/>
    <cellStyle name="표준 2 7" xfId="2977"/>
    <cellStyle name="표준 2 8" xfId="2978"/>
    <cellStyle name="표준 2 8 10" xfId="2979"/>
    <cellStyle name="표준 2 8 11" xfId="2980"/>
    <cellStyle name="표준 2 8 12" xfId="2981"/>
    <cellStyle name="표준 2 8 13" xfId="2982"/>
    <cellStyle name="표준 2 8 13 2" xfId="2983"/>
    <cellStyle name="표준 2 8 14" xfId="2984"/>
    <cellStyle name="표준 2 8 15" xfId="2985"/>
    <cellStyle name="표준 2 8 16" xfId="2986"/>
    <cellStyle name="표준 2 8 17" xfId="2987"/>
    <cellStyle name="표준 2 8 18" xfId="2988"/>
    <cellStyle name="표준 2 8 19" xfId="2989"/>
    <cellStyle name="표준 2 8 2" xfId="2990"/>
    <cellStyle name="표준 2 8 2 10" xfId="2991"/>
    <cellStyle name="표준 2 8 2 11" xfId="2992"/>
    <cellStyle name="표준 2 8 2 12" xfId="2993"/>
    <cellStyle name="표준 2 8 2 2" xfId="2994"/>
    <cellStyle name="표준 2 8 2 2 2" xfId="2995"/>
    <cellStyle name="표준 2 8 2 3" xfId="2996"/>
    <cellStyle name="표준 2 8 2 4" xfId="2997"/>
    <cellStyle name="표준 2 8 2 5" xfId="2998"/>
    <cellStyle name="표준 2 8 2 6" xfId="2999"/>
    <cellStyle name="표준 2 8 2 7" xfId="3000"/>
    <cellStyle name="표준 2 8 2 8" xfId="3001"/>
    <cellStyle name="표준 2 8 2 9" xfId="3002"/>
    <cellStyle name="표준 2 8 20" xfId="3003"/>
    <cellStyle name="표준 2 8 21" xfId="3004"/>
    <cellStyle name="표준 2 8 22" xfId="3005"/>
    <cellStyle name="표준 2 8 3" xfId="3006"/>
    <cellStyle name="표준 2 8 4" xfId="3007"/>
    <cellStyle name="표준 2 8 5" xfId="3008"/>
    <cellStyle name="표준 2 8 6" xfId="3009"/>
    <cellStyle name="표준 2 8 7" xfId="3010"/>
    <cellStyle name="표준 2 8 8" xfId="3011"/>
    <cellStyle name="표준 2 8 9" xfId="3012"/>
    <cellStyle name="표준 2 9" xfId="3013"/>
    <cellStyle name="표준 2 9 2" xfId="3014"/>
    <cellStyle name="표준 2 9 2 2" xfId="3015"/>
    <cellStyle name="표준 2 9 2 3" xfId="3016"/>
    <cellStyle name="표준 2 9 2 4" xfId="3017"/>
    <cellStyle name="표준 2 9 3" xfId="3018"/>
    <cellStyle name="표준 2 9 4" xfId="3019"/>
    <cellStyle name="표준 20" xfId="3020"/>
    <cellStyle name="표준 20 2" xfId="3168"/>
    <cellStyle name="표준 21" xfId="3021"/>
    <cellStyle name="표준 21 2" xfId="3022"/>
    <cellStyle name="표준 21 3" xfId="3023"/>
    <cellStyle name="표준 21 4" xfId="3024"/>
    <cellStyle name="표준 21 5" xfId="3169"/>
    <cellStyle name="표준 22" xfId="3112"/>
    <cellStyle name="표준 22 2" xfId="3178"/>
    <cellStyle name="표준 22 2 2" xfId="3192"/>
    <cellStyle name="표준 22 2 2 2" xfId="3213"/>
    <cellStyle name="표준 22 2 2 2 2" xfId="3273"/>
    <cellStyle name="표준 22 2 2 2 2 2" xfId="3385"/>
    <cellStyle name="표준 22 2 2 2 2 2 2" xfId="3714"/>
    <cellStyle name="표준 22 2 2 2 2 3" xfId="3494"/>
    <cellStyle name="표준 22 2 2 2 2 3 2" xfId="3823"/>
    <cellStyle name="표준 22 2 2 2 2 4" xfId="3606"/>
    <cellStyle name="표준 22 2 2 2 3" xfId="3331"/>
    <cellStyle name="표준 22 2 2 2 3 2" xfId="3660"/>
    <cellStyle name="표준 22 2 2 2 4" xfId="3440"/>
    <cellStyle name="표준 22 2 2 2 4 2" xfId="3769"/>
    <cellStyle name="표준 22 2 2 2 5" xfId="3552"/>
    <cellStyle name="표준 22 2 2 3" xfId="3235"/>
    <cellStyle name="표준 22 2 2 3 2" xfId="3293"/>
    <cellStyle name="표준 22 2 2 3 2 2" xfId="3405"/>
    <cellStyle name="표준 22 2 2 3 2 2 2" xfId="3734"/>
    <cellStyle name="표준 22 2 2 3 2 3" xfId="3514"/>
    <cellStyle name="표준 22 2 2 3 2 3 2" xfId="3843"/>
    <cellStyle name="표준 22 2 2 3 2 4" xfId="3626"/>
    <cellStyle name="표준 22 2 2 3 3" xfId="3351"/>
    <cellStyle name="표준 22 2 2 3 3 2" xfId="3680"/>
    <cellStyle name="표준 22 2 2 3 4" xfId="3460"/>
    <cellStyle name="표준 22 2 2 3 4 2" xfId="3789"/>
    <cellStyle name="표준 22 2 2 3 5" xfId="3572"/>
    <cellStyle name="표준 22 2 2 4" xfId="3256"/>
    <cellStyle name="표준 22 2 2 4 2" xfId="3368"/>
    <cellStyle name="표준 22 2 2 4 2 2" xfId="3697"/>
    <cellStyle name="표준 22 2 2 4 3" xfId="3477"/>
    <cellStyle name="표준 22 2 2 4 3 2" xfId="3806"/>
    <cellStyle name="표준 22 2 2 4 4" xfId="3589"/>
    <cellStyle name="표준 22 2 2 5" xfId="3314"/>
    <cellStyle name="표준 22 2 2 5 2" xfId="3643"/>
    <cellStyle name="표준 22 2 2 6" xfId="3423"/>
    <cellStyle name="표준 22 2 2 6 2" xfId="3752"/>
    <cellStyle name="표준 22 2 2 7" xfId="3535"/>
    <cellStyle name="표준 22 2 3" xfId="3203"/>
    <cellStyle name="표준 22 2 3 2" xfId="3263"/>
    <cellStyle name="표준 22 2 3 2 2" xfId="3375"/>
    <cellStyle name="표준 22 2 3 2 2 2" xfId="3704"/>
    <cellStyle name="표준 22 2 3 2 3" xfId="3484"/>
    <cellStyle name="표준 22 2 3 2 3 2" xfId="3813"/>
    <cellStyle name="표준 22 2 3 2 4" xfId="3596"/>
    <cellStyle name="표준 22 2 3 3" xfId="3321"/>
    <cellStyle name="표준 22 2 3 3 2" xfId="3650"/>
    <cellStyle name="표준 22 2 3 4" xfId="3430"/>
    <cellStyle name="표준 22 2 3 4 2" xfId="3759"/>
    <cellStyle name="표준 22 2 3 5" xfId="3542"/>
    <cellStyle name="표준 22 2 4" xfId="3225"/>
    <cellStyle name="표준 22 2 4 2" xfId="3283"/>
    <cellStyle name="표준 22 2 4 2 2" xfId="3395"/>
    <cellStyle name="표준 22 2 4 2 2 2" xfId="3724"/>
    <cellStyle name="표준 22 2 4 2 3" xfId="3504"/>
    <cellStyle name="표준 22 2 4 2 3 2" xfId="3833"/>
    <cellStyle name="표준 22 2 4 2 4" xfId="3616"/>
    <cellStyle name="표준 22 2 4 3" xfId="3341"/>
    <cellStyle name="표준 22 2 4 3 2" xfId="3670"/>
    <cellStyle name="표준 22 2 4 4" xfId="3450"/>
    <cellStyle name="표준 22 2 4 4 2" xfId="3779"/>
    <cellStyle name="표준 22 2 4 5" xfId="3562"/>
    <cellStyle name="표준 22 2 5" xfId="3246"/>
    <cellStyle name="표준 22 2 5 2" xfId="3358"/>
    <cellStyle name="표준 22 2 5 2 2" xfId="3687"/>
    <cellStyle name="표준 22 2 5 3" xfId="3467"/>
    <cellStyle name="표준 22 2 5 3 2" xfId="3796"/>
    <cellStyle name="표준 22 2 5 4" xfId="3579"/>
    <cellStyle name="표준 22 2 6" xfId="3304"/>
    <cellStyle name="표준 22 2 6 2" xfId="3633"/>
    <cellStyle name="표준 22 2 7" xfId="3413"/>
    <cellStyle name="표준 22 2 7 2" xfId="3742"/>
    <cellStyle name="표준 22 2 8" xfId="3525"/>
    <cellStyle name="표준 22 3" xfId="3188"/>
    <cellStyle name="표준 22 3 2" xfId="3209"/>
    <cellStyle name="표준 22 3 2 2" xfId="3269"/>
    <cellStyle name="표준 22 3 2 2 2" xfId="3381"/>
    <cellStyle name="표준 22 3 2 2 2 2" xfId="3710"/>
    <cellStyle name="표준 22 3 2 2 3" xfId="3490"/>
    <cellStyle name="표준 22 3 2 2 3 2" xfId="3819"/>
    <cellStyle name="표준 22 3 2 2 4" xfId="3602"/>
    <cellStyle name="표준 22 3 2 3" xfId="3327"/>
    <cellStyle name="표준 22 3 2 3 2" xfId="3656"/>
    <cellStyle name="표준 22 3 2 4" xfId="3436"/>
    <cellStyle name="표준 22 3 2 4 2" xfId="3765"/>
    <cellStyle name="표준 22 3 2 5" xfId="3548"/>
    <cellStyle name="표준 22 3 3" xfId="3231"/>
    <cellStyle name="표준 22 3 3 2" xfId="3289"/>
    <cellStyle name="표준 22 3 3 2 2" xfId="3401"/>
    <cellStyle name="표준 22 3 3 2 2 2" xfId="3730"/>
    <cellStyle name="표준 22 3 3 2 3" xfId="3510"/>
    <cellStyle name="표준 22 3 3 2 3 2" xfId="3839"/>
    <cellStyle name="표준 22 3 3 2 4" xfId="3622"/>
    <cellStyle name="표준 22 3 3 3" xfId="3347"/>
    <cellStyle name="표준 22 3 3 3 2" xfId="3676"/>
    <cellStyle name="표준 22 3 3 4" xfId="3456"/>
    <cellStyle name="표준 22 3 3 4 2" xfId="3785"/>
    <cellStyle name="표준 22 3 3 5" xfId="3568"/>
    <cellStyle name="표준 22 3 4" xfId="3252"/>
    <cellStyle name="표준 22 3 4 2" xfId="3364"/>
    <cellStyle name="표준 22 3 4 2 2" xfId="3693"/>
    <cellStyle name="표준 22 3 4 3" xfId="3473"/>
    <cellStyle name="표준 22 3 4 3 2" xfId="3802"/>
    <cellStyle name="표준 22 3 4 4" xfId="3585"/>
    <cellStyle name="표준 22 3 5" xfId="3310"/>
    <cellStyle name="표준 22 3 5 2" xfId="3639"/>
    <cellStyle name="표준 22 3 6" xfId="3419"/>
    <cellStyle name="표준 22 3 6 2" xfId="3748"/>
    <cellStyle name="표준 22 3 7" xfId="3531"/>
    <cellStyle name="표준 22 4" xfId="3199"/>
    <cellStyle name="표준 22 4 2" xfId="3259"/>
    <cellStyle name="표준 22 4 2 2" xfId="3371"/>
    <cellStyle name="표준 22 4 2 2 2" xfId="3700"/>
    <cellStyle name="표준 22 4 2 3" xfId="3480"/>
    <cellStyle name="표준 22 4 2 3 2" xfId="3809"/>
    <cellStyle name="표준 22 4 2 4" xfId="3592"/>
    <cellStyle name="표준 22 4 3" xfId="3317"/>
    <cellStyle name="표준 22 4 3 2" xfId="3646"/>
    <cellStyle name="표준 22 4 4" xfId="3426"/>
    <cellStyle name="표준 22 4 4 2" xfId="3755"/>
    <cellStyle name="표준 22 4 5" xfId="3538"/>
    <cellStyle name="표준 22 5" xfId="3221"/>
    <cellStyle name="표준 22 5 2" xfId="3279"/>
    <cellStyle name="표준 22 5 2 2" xfId="3391"/>
    <cellStyle name="표준 22 5 2 2 2" xfId="3720"/>
    <cellStyle name="표준 22 5 2 3" xfId="3500"/>
    <cellStyle name="표준 22 5 2 3 2" xfId="3829"/>
    <cellStyle name="표준 22 5 2 4" xfId="3612"/>
    <cellStyle name="표준 22 5 3" xfId="3337"/>
    <cellStyle name="표준 22 5 3 2" xfId="3666"/>
    <cellStyle name="표준 22 5 4" xfId="3446"/>
    <cellStyle name="표준 22 5 4 2" xfId="3775"/>
    <cellStyle name="표준 22 5 5" xfId="3558"/>
    <cellStyle name="표준 22 6" xfId="3242"/>
    <cellStyle name="표준 22 6 2" xfId="3354"/>
    <cellStyle name="표준 22 6 2 2" xfId="3683"/>
    <cellStyle name="표준 22 6 3" xfId="3463"/>
    <cellStyle name="표준 22 6 3 2" xfId="3792"/>
    <cellStyle name="표준 22 6 4" xfId="3575"/>
    <cellStyle name="표준 22 7" xfId="3300"/>
    <cellStyle name="표준 22 7 2" xfId="3629"/>
    <cellStyle name="표준 22 8" xfId="3409"/>
    <cellStyle name="표준 22 8 2" xfId="3738"/>
    <cellStyle name="표준 22 9" xfId="3521"/>
    <cellStyle name="표준 23" xfId="3025"/>
    <cellStyle name="표준 24" xfId="3026"/>
    <cellStyle name="표준 25" xfId="3027"/>
    <cellStyle name="표준 26" xfId="3028"/>
    <cellStyle name="표준 27" xfId="3029"/>
    <cellStyle name="표준 28" xfId="3030"/>
    <cellStyle name="표준 29" xfId="3031"/>
    <cellStyle name="표준 3" xfId="3032"/>
    <cellStyle name="표준 3 2" xfId="5"/>
    <cellStyle name="표준 3 3" xfId="3033"/>
    <cellStyle name="표준 3 4" xfId="3034"/>
    <cellStyle name="표준 3 5" xfId="3035"/>
    <cellStyle name="표준 3 6" xfId="3036"/>
    <cellStyle name="표준 3 7" xfId="3037"/>
    <cellStyle name="표준 3 8" xfId="3038"/>
    <cellStyle name="표준 3 9" xfId="3039"/>
    <cellStyle name="표준 30" xfId="3040"/>
    <cellStyle name="표준 30 10" xfId="3041"/>
    <cellStyle name="표준 30 11" xfId="3042"/>
    <cellStyle name="표준 30 12" xfId="3043"/>
    <cellStyle name="표준 30 2" xfId="3044"/>
    <cellStyle name="표준 30 3" xfId="3045"/>
    <cellStyle name="표준 30 4" xfId="3046"/>
    <cellStyle name="표준 30 5" xfId="3047"/>
    <cellStyle name="표준 30 6" xfId="3048"/>
    <cellStyle name="표준 30 7" xfId="3049"/>
    <cellStyle name="표준 30 8" xfId="3050"/>
    <cellStyle name="표준 30 9" xfId="3051"/>
    <cellStyle name="표준 31" xfId="3052"/>
    <cellStyle name="표준 32" xfId="3053"/>
    <cellStyle name="표준 33" xfId="3054"/>
    <cellStyle name="표준 34" xfId="3055"/>
    <cellStyle name="표준 35" xfId="3056"/>
    <cellStyle name="표준 36" xfId="3057"/>
    <cellStyle name="표준 37" xfId="3058"/>
    <cellStyle name="표준 38" xfId="3059"/>
    <cellStyle name="표준 39" xfId="3060"/>
    <cellStyle name="표준 4" xfId="3061"/>
    <cellStyle name="표준 4 2" xfId="6"/>
    <cellStyle name="표준 4 3" xfId="3062"/>
    <cellStyle name="표준 4 4" xfId="3063"/>
    <cellStyle name="표준 4 5" xfId="3064"/>
    <cellStyle name="표준 4 6" xfId="3065"/>
    <cellStyle name="표준 4 7" xfId="3066"/>
    <cellStyle name="표준 40" xfId="3067"/>
    <cellStyle name="표준 41" xfId="3120"/>
    <cellStyle name="표준 42" xfId="3122"/>
    <cellStyle name="표준 43" xfId="3068"/>
    <cellStyle name="표준 44" xfId="3069"/>
    <cellStyle name="표준 45" xfId="3070"/>
    <cellStyle name="표준 46" xfId="3123"/>
    <cellStyle name="표준 46 2" xfId="3179"/>
    <cellStyle name="표준 46 2 2" xfId="3193"/>
    <cellStyle name="표준 46 2 2 2" xfId="3214"/>
    <cellStyle name="표준 46 2 2 2 2" xfId="3274"/>
    <cellStyle name="표준 46 2 2 2 2 2" xfId="3386"/>
    <cellStyle name="표준 46 2 2 2 2 2 2" xfId="3715"/>
    <cellStyle name="표준 46 2 2 2 2 3" xfId="3495"/>
    <cellStyle name="표준 46 2 2 2 2 3 2" xfId="3824"/>
    <cellStyle name="표준 46 2 2 2 2 4" xfId="3607"/>
    <cellStyle name="표준 46 2 2 2 3" xfId="3332"/>
    <cellStyle name="표준 46 2 2 2 3 2" xfId="3661"/>
    <cellStyle name="표준 46 2 2 2 4" xfId="3441"/>
    <cellStyle name="표준 46 2 2 2 4 2" xfId="3770"/>
    <cellStyle name="표준 46 2 2 2 5" xfId="3553"/>
    <cellStyle name="표준 46 2 2 3" xfId="3236"/>
    <cellStyle name="표준 46 2 2 3 2" xfId="3294"/>
    <cellStyle name="표준 46 2 2 3 2 2" xfId="3406"/>
    <cellStyle name="표준 46 2 2 3 2 2 2" xfId="3735"/>
    <cellStyle name="표준 46 2 2 3 2 3" xfId="3515"/>
    <cellStyle name="표준 46 2 2 3 2 3 2" xfId="3844"/>
    <cellStyle name="표준 46 2 2 3 2 4" xfId="3627"/>
    <cellStyle name="표준 46 2 2 3 3" xfId="3352"/>
    <cellStyle name="표준 46 2 2 3 3 2" xfId="3681"/>
    <cellStyle name="표준 46 2 2 3 4" xfId="3461"/>
    <cellStyle name="표준 46 2 2 3 4 2" xfId="3790"/>
    <cellStyle name="표준 46 2 2 3 5" xfId="3573"/>
    <cellStyle name="표준 46 2 2 4" xfId="3257"/>
    <cellStyle name="표준 46 2 2 4 2" xfId="3369"/>
    <cellStyle name="표준 46 2 2 4 2 2" xfId="3698"/>
    <cellStyle name="표준 46 2 2 4 3" xfId="3478"/>
    <cellStyle name="표준 46 2 2 4 3 2" xfId="3807"/>
    <cellStyle name="표준 46 2 2 4 4" xfId="3590"/>
    <cellStyle name="표준 46 2 2 5" xfId="3315"/>
    <cellStyle name="표준 46 2 2 5 2" xfId="3644"/>
    <cellStyle name="표준 46 2 2 6" xfId="3424"/>
    <cellStyle name="표준 46 2 2 6 2" xfId="3753"/>
    <cellStyle name="표준 46 2 2 7" xfId="3536"/>
    <cellStyle name="표준 46 2 3" xfId="3204"/>
    <cellStyle name="표준 46 2 3 2" xfId="3264"/>
    <cellStyle name="표준 46 2 3 2 2" xfId="3376"/>
    <cellStyle name="표준 46 2 3 2 2 2" xfId="3705"/>
    <cellStyle name="표준 46 2 3 2 3" xfId="3485"/>
    <cellStyle name="표준 46 2 3 2 3 2" xfId="3814"/>
    <cellStyle name="표준 46 2 3 2 4" xfId="3597"/>
    <cellStyle name="표준 46 2 3 3" xfId="3322"/>
    <cellStyle name="표준 46 2 3 3 2" xfId="3651"/>
    <cellStyle name="표준 46 2 3 4" xfId="3431"/>
    <cellStyle name="표준 46 2 3 4 2" xfId="3760"/>
    <cellStyle name="표준 46 2 3 5" xfId="3543"/>
    <cellStyle name="표준 46 2 4" xfId="3226"/>
    <cellStyle name="표준 46 2 4 2" xfId="3284"/>
    <cellStyle name="표준 46 2 4 2 2" xfId="3396"/>
    <cellStyle name="표준 46 2 4 2 2 2" xfId="3725"/>
    <cellStyle name="표준 46 2 4 2 3" xfId="3505"/>
    <cellStyle name="표준 46 2 4 2 3 2" xfId="3834"/>
    <cellStyle name="표준 46 2 4 2 4" xfId="3617"/>
    <cellStyle name="표준 46 2 4 3" xfId="3342"/>
    <cellStyle name="표준 46 2 4 3 2" xfId="3671"/>
    <cellStyle name="표준 46 2 4 4" xfId="3451"/>
    <cellStyle name="표준 46 2 4 4 2" xfId="3780"/>
    <cellStyle name="표준 46 2 4 5" xfId="3563"/>
    <cellStyle name="표준 46 2 5" xfId="3247"/>
    <cellStyle name="표준 46 2 5 2" xfId="3359"/>
    <cellStyle name="표준 46 2 5 2 2" xfId="3688"/>
    <cellStyle name="표준 46 2 5 3" xfId="3468"/>
    <cellStyle name="표준 46 2 5 3 2" xfId="3797"/>
    <cellStyle name="표준 46 2 5 4" xfId="3580"/>
    <cellStyle name="표준 46 2 6" xfId="3305"/>
    <cellStyle name="표준 46 2 6 2" xfId="3634"/>
    <cellStyle name="표준 46 2 7" xfId="3414"/>
    <cellStyle name="표준 46 2 7 2" xfId="3743"/>
    <cellStyle name="표준 46 2 8" xfId="3526"/>
    <cellStyle name="표준 46 3" xfId="3189"/>
    <cellStyle name="표준 46 3 2" xfId="3210"/>
    <cellStyle name="표준 46 3 2 2" xfId="3270"/>
    <cellStyle name="표준 46 3 2 2 2" xfId="3382"/>
    <cellStyle name="표준 46 3 2 2 2 2" xfId="3711"/>
    <cellStyle name="표준 46 3 2 2 3" xfId="3491"/>
    <cellStyle name="표준 46 3 2 2 3 2" xfId="3820"/>
    <cellStyle name="표준 46 3 2 2 4" xfId="3603"/>
    <cellStyle name="표준 46 3 2 3" xfId="3328"/>
    <cellStyle name="표준 46 3 2 3 2" xfId="3657"/>
    <cellStyle name="표준 46 3 2 4" xfId="3437"/>
    <cellStyle name="표준 46 3 2 4 2" xfId="3766"/>
    <cellStyle name="표준 46 3 2 5" xfId="3549"/>
    <cellStyle name="표준 46 3 3" xfId="3232"/>
    <cellStyle name="표준 46 3 3 2" xfId="3290"/>
    <cellStyle name="표준 46 3 3 2 2" xfId="3402"/>
    <cellStyle name="표준 46 3 3 2 2 2" xfId="3731"/>
    <cellStyle name="표준 46 3 3 2 3" xfId="3511"/>
    <cellStyle name="표준 46 3 3 2 3 2" xfId="3840"/>
    <cellStyle name="표준 46 3 3 2 4" xfId="3623"/>
    <cellStyle name="표준 46 3 3 3" xfId="3348"/>
    <cellStyle name="표준 46 3 3 3 2" xfId="3677"/>
    <cellStyle name="표준 46 3 3 4" xfId="3457"/>
    <cellStyle name="표준 46 3 3 4 2" xfId="3786"/>
    <cellStyle name="표준 46 3 3 5" xfId="3569"/>
    <cellStyle name="표준 46 3 4" xfId="3253"/>
    <cellStyle name="표준 46 3 4 2" xfId="3365"/>
    <cellStyle name="표준 46 3 4 2 2" xfId="3694"/>
    <cellStyle name="표준 46 3 4 3" xfId="3474"/>
    <cellStyle name="표준 46 3 4 3 2" xfId="3803"/>
    <cellStyle name="표준 46 3 4 4" xfId="3586"/>
    <cellStyle name="표준 46 3 5" xfId="3311"/>
    <cellStyle name="표준 46 3 5 2" xfId="3640"/>
    <cellStyle name="표준 46 3 6" xfId="3420"/>
    <cellStyle name="표준 46 3 6 2" xfId="3749"/>
    <cellStyle name="표준 46 3 7" xfId="3532"/>
    <cellStyle name="표준 46 4" xfId="3200"/>
    <cellStyle name="표준 46 4 2" xfId="3260"/>
    <cellStyle name="표준 46 4 2 2" xfId="3372"/>
    <cellStyle name="표준 46 4 2 2 2" xfId="3701"/>
    <cellStyle name="표준 46 4 2 3" xfId="3481"/>
    <cellStyle name="표준 46 4 2 3 2" xfId="3810"/>
    <cellStyle name="표준 46 4 2 4" xfId="3593"/>
    <cellStyle name="표준 46 4 3" xfId="3318"/>
    <cellStyle name="표준 46 4 3 2" xfId="3647"/>
    <cellStyle name="표준 46 4 4" xfId="3427"/>
    <cellStyle name="표준 46 4 4 2" xfId="3756"/>
    <cellStyle name="표준 46 4 5" xfId="3539"/>
    <cellStyle name="표준 46 5" xfId="3222"/>
    <cellStyle name="표준 46 5 2" xfId="3280"/>
    <cellStyle name="표준 46 5 2 2" xfId="3392"/>
    <cellStyle name="표준 46 5 2 2 2" xfId="3721"/>
    <cellStyle name="표준 46 5 2 3" xfId="3501"/>
    <cellStyle name="표준 46 5 2 3 2" xfId="3830"/>
    <cellStyle name="표준 46 5 2 4" xfId="3613"/>
    <cellStyle name="표준 46 5 3" xfId="3338"/>
    <cellStyle name="표준 46 5 3 2" xfId="3667"/>
    <cellStyle name="표준 46 5 4" xfId="3447"/>
    <cellStyle name="표준 46 5 4 2" xfId="3776"/>
    <cellStyle name="표준 46 5 5" xfId="3559"/>
    <cellStyle name="표준 46 6" xfId="3243"/>
    <cellStyle name="표준 46 6 2" xfId="3355"/>
    <cellStyle name="표준 46 6 2 2" xfId="3684"/>
    <cellStyle name="표준 46 6 3" xfId="3464"/>
    <cellStyle name="표준 46 6 3 2" xfId="3793"/>
    <cellStyle name="표준 46 6 4" xfId="3576"/>
    <cellStyle name="표준 46 7" xfId="3301"/>
    <cellStyle name="표준 46 7 2" xfId="3630"/>
    <cellStyle name="표준 46 8" xfId="3410"/>
    <cellStyle name="표준 46 8 2" xfId="3739"/>
    <cellStyle name="표준 46 9" xfId="3522"/>
    <cellStyle name="표준 47" xfId="3127"/>
    <cellStyle name="표준 48" xfId="3071"/>
    <cellStyle name="표준 49" xfId="3170"/>
    <cellStyle name="표준 5" xfId="3072"/>
    <cellStyle name="표준 5 2" xfId="3073"/>
    <cellStyle name="표준 5 3" xfId="3074"/>
    <cellStyle name="표준 5 4" xfId="3075"/>
    <cellStyle name="표준 5 5" xfId="3076"/>
    <cellStyle name="표준 5 6" xfId="3077"/>
    <cellStyle name="표준 5 7" xfId="3078"/>
    <cellStyle name="표준 5 8" xfId="3079"/>
    <cellStyle name="표준 5 9" xfId="3080"/>
    <cellStyle name="표준 50" xfId="3081"/>
    <cellStyle name="표준 51" xfId="3082"/>
    <cellStyle name="표준 52" xfId="3083"/>
    <cellStyle name="표준 52 2" xfId="3084"/>
    <cellStyle name="표준 52 3" xfId="3085"/>
    <cellStyle name="표준 52 4" xfId="3086"/>
    <cellStyle name="표준 52 5" xfId="3087"/>
    <cellStyle name="표준 52 6" xfId="3088"/>
    <cellStyle name="표준 52 7" xfId="3089"/>
    <cellStyle name="표준 53" xfId="3171"/>
    <cellStyle name="표준 54" xfId="3173"/>
    <cellStyle name="표준 55" xfId="3172"/>
    <cellStyle name="표준 55 2" xfId="3190"/>
    <cellStyle name="표준 55 2 2" xfId="3211"/>
    <cellStyle name="표준 55 2 2 2" xfId="3271"/>
    <cellStyle name="표준 55 2 2 2 2" xfId="3383"/>
    <cellStyle name="표준 55 2 2 2 2 2" xfId="3712"/>
    <cellStyle name="표준 55 2 2 2 3" xfId="3492"/>
    <cellStyle name="표준 55 2 2 2 3 2" xfId="3821"/>
    <cellStyle name="표준 55 2 2 2 4" xfId="3604"/>
    <cellStyle name="표준 55 2 2 3" xfId="3329"/>
    <cellStyle name="표준 55 2 2 3 2" xfId="3658"/>
    <cellStyle name="표준 55 2 2 4" xfId="3438"/>
    <cellStyle name="표준 55 2 2 4 2" xfId="3767"/>
    <cellStyle name="표준 55 2 2 5" xfId="3550"/>
    <cellStyle name="표준 55 2 3" xfId="3233"/>
    <cellStyle name="표준 55 2 3 2" xfId="3291"/>
    <cellStyle name="표준 55 2 3 2 2" xfId="3403"/>
    <cellStyle name="표준 55 2 3 2 2 2" xfId="3732"/>
    <cellStyle name="표준 55 2 3 2 3" xfId="3512"/>
    <cellStyle name="표준 55 2 3 2 3 2" xfId="3841"/>
    <cellStyle name="표준 55 2 3 2 4" xfId="3624"/>
    <cellStyle name="표준 55 2 3 3" xfId="3349"/>
    <cellStyle name="표준 55 2 3 3 2" xfId="3678"/>
    <cellStyle name="표준 55 2 3 4" xfId="3458"/>
    <cellStyle name="표준 55 2 3 4 2" xfId="3787"/>
    <cellStyle name="표준 55 2 3 5" xfId="3570"/>
    <cellStyle name="표준 55 2 4" xfId="3254"/>
    <cellStyle name="표준 55 2 4 2" xfId="3366"/>
    <cellStyle name="표준 55 2 4 2 2" xfId="3695"/>
    <cellStyle name="표준 55 2 4 3" xfId="3475"/>
    <cellStyle name="표준 55 2 4 3 2" xfId="3804"/>
    <cellStyle name="표준 55 2 4 4" xfId="3587"/>
    <cellStyle name="표준 55 2 5" xfId="3312"/>
    <cellStyle name="표준 55 2 5 2" xfId="3641"/>
    <cellStyle name="표준 55 2 6" xfId="3421"/>
    <cellStyle name="표준 55 2 6 2" xfId="3750"/>
    <cellStyle name="표준 55 2 7" xfId="3533"/>
    <cellStyle name="표준 55 3" xfId="3201"/>
    <cellStyle name="표준 55 3 2" xfId="3261"/>
    <cellStyle name="표준 55 3 2 2" xfId="3373"/>
    <cellStyle name="표준 55 3 2 2 2" xfId="3702"/>
    <cellStyle name="표준 55 3 2 3" xfId="3482"/>
    <cellStyle name="표준 55 3 2 3 2" xfId="3811"/>
    <cellStyle name="표준 55 3 2 4" xfId="3594"/>
    <cellStyle name="표준 55 3 3" xfId="3319"/>
    <cellStyle name="표준 55 3 3 2" xfId="3648"/>
    <cellStyle name="표준 55 3 4" xfId="3428"/>
    <cellStyle name="표준 55 3 4 2" xfId="3757"/>
    <cellStyle name="표준 55 3 5" xfId="3540"/>
    <cellStyle name="표준 55 4" xfId="3223"/>
    <cellStyle name="표준 55 4 2" xfId="3281"/>
    <cellStyle name="표준 55 4 2 2" xfId="3393"/>
    <cellStyle name="표준 55 4 2 2 2" xfId="3722"/>
    <cellStyle name="표준 55 4 2 3" xfId="3502"/>
    <cellStyle name="표준 55 4 2 3 2" xfId="3831"/>
    <cellStyle name="표준 55 4 2 4" xfId="3614"/>
    <cellStyle name="표준 55 4 3" xfId="3339"/>
    <cellStyle name="표준 55 4 3 2" xfId="3668"/>
    <cellStyle name="표준 55 4 4" xfId="3448"/>
    <cellStyle name="표준 55 4 4 2" xfId="3777"/>
    <cellStyle name="표준 55 4 5" xfId="3560"/>
    <cellStyle name="표준 55 5" xfId="3244"/>
    <cellStyle name="표준 55 5 2" xfId="3356"/>
    <cellStyle name="표준 55 5 2 2" xfId="3685"/>
    <cellStyle name="표준 55 5 3" xfId="3465"/>
    <cellStyle name="표준 55 5 3 2" xfId="3794"/>
    <cellStyle name="표준 55 5 4" xfId="3577"/>
    <cellStyle name="표준 55 6" xfId="3302"/>
    <cellStyle name="표준 55 6 2" xfId="3631"/>
    <cellStyle name="표준 55 7" xfId="3411"/>
    <cellStyle name="표준 55 7 2" xfId="3740"/>
    <cellStyle name="표준 55 8" xfId="3523"/>
    <cellStyle name="표준 56" xfId="3177"/>
    <cellStyle name="표준 56 2" xfId="3191"/>
    <cellStyle name="표준 56 2 2" xfId="3212"/>
    <cellStyle name="표준 56 2 2 2" xfId="3272"/>
    <cellStyle name="표준 56 2 2 2 2" xfId="3384"/>
    <cellStyle name="표준 56 2 2 2 2 2" xfId="3713"/>
    <cellStyle name="표준 56 2 2 2 3" xfId="3493"/>
    <cellStyle name="표준 56 2 2 2 3 2" xfId="3822"/>
    <cellStyle name="표준 56 2 2 2 4" xfId="3605"/>
    <cellStyle name="표준 56 2 2 3" xfId="3330"/>
    <cellStyle name="표준 56 2 2 3 2" xfId="3659"/>
    <cellStyle name="표준 56 2 2 4" xfId="3439"/>
    <cellStyle name="표준 56 2 2 4 2" xfId="3768"/>
    <cellStyle name="표준 56 2 2 5" xfId="3551"/>
    <cellStyle name="표준 56 2 3" xfId="3234"/>
    <cellStyle name="표준 56 2 3 2" xfId="3292"/>
    <cellStyle name="표준 56 2 3 2 2" xfId="3404"/>
    <cellStyle name="표준 56 2 3 2 2 2" xfId="3733"/>
    <cellStyle name="표준 56 2 3 2 3" xfId="3513"/>
    <cellStyle name="표준 56 2 3 2 3 2" xfId="3842"/>
    <cellStyle name="표준 56 2 3 2 4" xfId="3625"/>
    <cellStyle name="표준 56 2 3 3" xfId="3350"/>
    <cellStyle name="표준 56 2 3 3 2" xfId="3679"/>
    <cellStyle name="표준 56 2 3 4" xfId="3459"/>
    <cellStyle name="표준 56 2 3 4 2" xfId="3788"/>
    <cellStyle name="표준 56 2 3 5" xfId="3571"/>
    <cellStyle name="표준 56 2 4" xfId="3255"/>
    <cellStyle name="표준 56 2 4 2" xfId="3367"/>
    <cellStyle name="표준 56 2 4 2 2" xfId="3696"/>
    <cellStyle name="표준 56 2 4 3" xfId="3476"/>
    <cellStyle name="표준 56 2 4 3 2" xfId="3805"/>
    <cellStyle name="표준 56 2 4 4" xfId="3588"/>
    <cellStyle name="표준 56 2 5" xfId="3313"/>
    <cellStyle name="표준 56 2 5 2" xfId="3642"/>
    <cellStyle name="표준 56 2 6" xfId="3422"/>
    <cellStyle name="표준 56 2 6 2" xfId="3751"/>
    <cellStyle name="표준 56 2 7" xfId="3534"/>
    <cellStyle name="표준 56 3" xfId="3202"/>
    <cellStyle name="표준 56 3 2" xfId="3262"/>
    <cellStyle name="표준 56 3 2 2" xfId="3374"/>
    <cellStyle name="표준 56 3 2 2 2" xfId="3703"/>
    <cellStyle name="표준 56 3 2 3" xfId="3483"/>
    <cellStyle name="표준 56 3 2 3 2" xfId="3812"/>
    <cellStyle name="표준 56 3 2 4" xfId="3595"/>
    <cellStyle name="표준 56 3 3" xfId="3320"/>
    <cellStyle name="표준 56 3 3 2" xfId="3649"/>
    <cellStyle name="표준 56 3 4" xfId="3429"/>
    <cellStyle name="표준 56 3 4 2" xfId="3758"/>
    <cellStyle name="표준 56 3 5" xfId="3541"/>
    <cellStyle name="표준 56 4" xfId="3224"/>
    <cellStyle name="표준 56 4 2" xfId="3282"/>
    <cellStyle name="표준 56 4 2 2" xfId="3394"/>
    <cellStyle name="표준 56 4 2 2 2" xfId="3723"/>
    <cellStyle name="표준 56 4 2 3" xfId="3503"/>
    <cellStyle name="표준 56 4 2 3 2" xfId="3832"/>
    <cellStyle name="표준 56 4 2 4" xfId="3615"/>
    <cellStyle name="표준 56 4 3" xfId="3340"/>
    <cellStyle name="표준 56 4 3 2" xfId="3669"/>
    <cellStyle name="표준 56 4 4" xfId="3449"/>
    <cellStyle name="표준 56 4 4 2" xfId="3778"/>
    <cellStyle name="표준 56 4 5" xfId="3561"/>
    <cellStyle name="표준 56 5" xfId="3245"/>
    <cellStyle name="표준 56 5 2" xfId="3357"/>
    <cellStyle name="표준 56 5 2 2" xfId="3686"/>
    <cellStyle name="표준 56 5 3" xfId="3466"/>
    <cellStyle name="표준 56 5 3 2" xfId="3795"/>
    <cellStyle name="표준 56 5 4" xfId="3578"/>
    <cellStyle name="표준 56 6" xfId="3303"/>
    <cellStyle name="표준 56 6 2" xfId="3632"/>
    <cellStyle name="표준 56 7" xfId="3412"/>
    <cellStyle name="표준 56 7 2" xfId="3741"/>
    <cellStyle name="표준 56 8" xfId="3524"/>
    <cellStyle name="표준 57" xfId="3181"/>
    <cellStyle name="표준 58" xfId="3180"/>
    <cellStyle name="표준 58 2" xfId="3205"/>
    <cellStyle name="표준 58 2 2" xfId="3265"/>
    <cellStyle name="표준 58 2 2 2" xfId="3377"/>
    <cellStyle name="표준 58 2 2 2 2" xfId="3706"/>
    <cellStyle name="표준 58 2 2 3" xfId="3486"/>
    <cellStyle name="표준 58 2 2 3 2" xfId="3815"/>
    <cellStyle name="표준 58 2 2 4" xfId="3598"/>
    <cellStyle name="표준 58 2 3" xfId="3323"/>
    <cellStyle name="표준 58 2 3 2" xfId="3652"/>
    <cellStyle name="표준 58 2 4" xfId="3432"/>
    <cellStyle name="표준 58 2 4 2" xfId="3761"/>
    <cellStyle name="표준 58 2 5" xfId="3544"/>
    <cellStyle name="표준 58 3" xfId="3227"/>
    <cellStyle name="표준 58 3 2" xfId="3285"/>
    <cellStyle name="표준 58 3 2 2" xfId="3397"/>
    <cellStyle name="표준 58 3 2 2 2" xfId="3726"/>
    <cellStyle name="표준 58 3 2 3" xfId="3506"/>
    <cellStyle name="표준 58 3 2 3 2" xfId="3835"/>
    <cellStyle name="표준 58 3 2 4" xfId="3618"/>
    <cellStyle name="표준 58 3 3" xfId="3343"/>
    <cellStyle name="표준 58 3 3 2" xfId="3672"/>
    <cellStyle name="표준 58 3 4" xfId="3452"/>
    <cellStyle name="표준 58 3 4 2" xfId="3781"/>
    <cellStyle name="표준 58 3 5" xfId="3564"/>
    <cellStyle name="표준 58 4" xfId="3248"/>
    <cellStyle name="표준 58 4 2" xfId="3360"/>
    <cellStyle name="표준 58 4 2 2" xfId="3689"/>
    <cellStyle name="표준 58 4 3" xfId="3469"/>
    <cellStyle name="표준 58 4 3 2" xfId="3798"/>
    <cellStyle name="표준 58 4 4" xfId="3581"/>
    <cellStyle name="표준 58 5" xfId="3306"/>
    <cellStyle name="표준 58 5 2" xfId="3635"/>
    <cellStyle name="표준 58 6" xfId="3415"/>
    <cellStyle name="표준 58 6 2" xfId="3744"/>
    <cellStyle name="표준 58 7" xfId="3527"/>
    <cellStyle name="표준 59" xfId="3187"/>
    <cellStyle name="표준 59 2" xfId="3208"/>
    <cellStyle name="표준 59 2 2" xfId="3268"/>
    <cellStyle name="표준 59 2 2 2" xfId="3380"/>
    <cellStyle name="표준 59 2 2 2 2" xfId="3709"/>
    <cellStyle name="표준 59 2 2 3" xfId="3489"/>
    <cellStyle name="표준 59 2 2 3 2" xfId="3818"/>
    <cellStyle name="표준 59 2 2 4" xfId="3601"/>
    <cellStyle name="표준 59 2 3" xfId="3326"/>
    <cellStyle name="표준 59 2 3 2" xfId="3655"/>
    <cellStyle name="표준 59 2 4" xfId="3435"/>
    <cellStyle name="표준 59 2 4 2" xfId="3764"/>
    <cellStyle name="표준 59 2 5" xfId="3547"/>
    <cellStyle name="표준 59 3" xfId="3230"/>
    <cellStyle name="표준 59 3 2" xfId="3288"/>
    <cellStyle name="표준 59 3 2 2" xfId="3400"/>
    <cellStyle name="표준 59 3 2 2 2" xfId="3729"/>
    <cellStyle name="표준 59 3 2 3" xfId="3509"/>
    <cellStyle name="표준 59 3 2 3 2" xfId="3838"/>
    <cellStyle name="표준 59 3 2 4" xfId="3621"/>
    <cellStyle name="표준 59 3 3" xfId="3346"/>
    <cellStyle name="표준 59 3 3 2" xfId="3675"/>
    <cellStyle name="표준 59 3 4" xfId="3455"/>
    <cellStyle name="표준 59 3 4 2" xfId="3784"/>
    <cellStyle name="표준 59 3 5" xfId="3567"/>
    <cellStyle name="표준 59 4" xfId="3251"/>
    <cellStyle name="표준 59 4 2" xfId="3363"/>
    <cellStyle name="표준 59 4 2 2" xfId="3692"/>
    <cellStyle name="표준 59 4 3" xfId="3472"/>
    <cellStyle name="표준 59 4 3 2" xfId="3801"/>
    <cellStyle name="표준 59 4 4" xfId="3584"/>
    <cellStyle name="표준 59 5" xfId="3309"/>
    <cellStyle name="표준 59 5 2" xfId="3638"/>
    <cellStyle name="표준 59 6" xfId="3418"/>
    <cellStyle name="표준 59 6 2" xfId="3747"/>
    <cellStyle name="표준 59 7" xfId="3530"/>
    <cellStyle name="표준 6" xfId="3090"/>
    <cellStyle name="표준 6 2" xfId="3091"/>
    <cellStyle name="표준 60" xfId="3182"/>
    <cellStyle name="표준 60 2" xfId="3206"/>
    <cellStyle name="표준 60 2 2" xfId="3266"/>
    <cellStyle name="표준 60 2 2 2" xfId="3378"/>
    <cellStyle name="표준 60 2 2 2 2" xfId="3707"/>
    <cellStyle name="표준 60 2 2 3" xfId="3487"/>
    <cellStyle name="표준 60 2 2 3 2" xfId="3816"/>
    <cellStyle name="표준 60 2 2 4" xfId="3599"/>
    <cellStyle name="표준 60 2 3" xfId="3324"/>
    <cellStyle name="표준 60 2 3 2" xfId="3653"/>
    <cellStyle name="표준 60 2 4" xfId="3433"/>
    <cellStyle name="표준 60 2 4 2" xfId="3762"/>
    <cellStyle name="표준 60 2 5" xfId="3545"/>
    <cellStyle name="표준 60 3" xfId="3228"/>
    <cellStyle name="표준 60 3 2" xfId="3286"/>
    <cellStyle name="표준 60 3 2 2" xfId="3398"/>
    <cellStyle name="표준 60 3 2 2 2" xfId="3727"/>
    <cellStyle name="표준 60 3 2 3" xfId="3507"/>
    <cellStyle name="표준 60 3 2 3 2" xfId="3836"/>
    <cellStyle name="표준 60 3 2 4" xfId="3619"/>
    <cellStyle name="표준 60 3 3" xfId="3344"/>
    <cellStyle name="표준 60 3 3 2" xfId="3673"/>
    <cellStyle name="표준 60 3 4" xfId="3453"/>
    <cellStyle name="표준 60 3 4 2" xfId="3782"/>
    <cellStyle name="표준 60 3 5" xfId="3565"/>
    <cellStyle name="표준 60 4" xfId="3249"/>
    <cellStyle name="표준 60 4 2" xfId="3361"/>
    <cellStyle name="표준 60 4 2 2" xfId="3690"/>
    <cellStyle name="표준 60 4 3" xfId="3470"/>
    <cellStyle name="표준 60 4 3 2" xfId="3799"/>
    <cellStyle name="표준 60 4 4" xfId="3582"/>
    <cellStyle name="표준 60 5" xfId="3307"/>
    <cellStyle name="표준 60 5 2" xfId="3636"/>
    <cellStyle name="표준 60 6" xfId="3416"/>
    <cellStyle name="표준 60 6 2" xfId="3745"/>
    <cellStyle name="표준 60 7" xfId="3528"/>
    <cellStyle name="표준 61" xfId="3186"/>
    <cellStyle name="표준 61 2" xfId="3207"/>
    <cellStyle name="표준 61 2 2" xfId="3267"/>
    <cellStyle name="표준 61 2 2 2" xfId="3379"/>
    <cellStyle name="표준 61 2 2 2 2" xfId="3708"/>
    <cellStyle name="표준 61 2 2 3" xfId="3488"/>
    <cellStyle name="표준 61 2 2 3 2" xfId="3817"/>
    <cellStyle name="표준 61 2 2 4" xfId="3600"/>
    <cellStyle name="표준 61 2 3" xfId="3325"/>
    <cellStyle name="표준 61 2 3 2" xfId="3654"/>
    <cellStyle name="표준 61 2 4" xfId="3434"/>
    <cellStyle name="표준 61 2 4 2" xfId="3763"/>
    <cellStyle name="표준 61 2 5" xfId="3546"/>
    <cellStyle name="표준 61 3" xfId="3229"/>
    <cellStyle name="표준 61 3 2" xfId="3287"/>
    <cellStyle name="표준 61 3 2 2" xfId="3399"/>
    <cellStyle name="표준 61 3 2 2 2" xfId="3728"/>
    <cellStyle name="표준 61 3 2 3" xfId="3508"/>
    <cellStyle name="표준 61 3 2 3 2" xfId="3837"/>
    <cellStyle name="표준 61 3 2 4" xfId="3620"/>
    <cellStyle name="표준 61 3 3" xfId="3345"/>
    <cellStyle name="표준 61 3 3 2" xfId="3674"/>
    <cellStyle name="표준 61 3 4" xfId="3454"/>
    <cellStyle name="표준 61 3 4 2" xfId="3783"/>
    <cellStyle name="표준 61 3 5" xfId="3566"/>
    <cellStyle name="표준 61 4" xfId="3250"/>
    <cellStyle name="표준 61 4 2" xfId="3362"/>
    <cellStyle name="표준 61 4 2 2" xfId="3691"/>
    <cellStyle name="표준 61 4 3" xfId="3471"/>
    <cellStyle name="표준 61 4 3 2" xfId="3800"/>
    <cellStyle name="표준 61 4 4" xfId="3583"/>
    <cellStyle name="표준 61 5" xfId="3308"/>
    <cellStyle name="표준 61 5 2" xfId="3637"/>
    <cellStyle name="표준 61 6" xfId="3417"/>
    <cellStyle name="표준 61 6 2" xfId="3746"/>
    <cellStyle name="표준 61 7" xfId="3529"/>
    <cellStyle name="표준 62" xfId="3195"/>
    <cellStyle name="표준 63" xfId="3194"/>
    <cellStyle name="표준 63 2" xfId="3258"/>
    <cellStyle name="표준 63 2 2" xfId="3370"/>
    <cellStyle name="표준 63 2 2 2" xfId="3699"/>
    <cellStyle name="표준 63 2 3" xfId="3479"/>
    <cellStyle name="표준 63 2 3 2" xfId="3808"/>
    <cellStyle name="표준 63 2 4" xfId="3591"/>
    <cellStyle name="표준 63 3" xfId="3316"/>
    <cellStyle name="표준 63 3 2" xfId="3645"/>
    <cellStyle name="표준 63 4" xfId="3425"/>
    <cellStyle name="표준 63 4 2" xfId="3754"/>
    <cellStyle name="표준 63 5" xfId="3537"/>
    <cellStyle name="표준 64" xfId="3215"/>
    <cellStyle name="표준 64 2" xfId="3275"/>
    <cellStyle name="표준 64 2 2" xfId="3387"/>
    <cellStyle name="표준 64 2 2 2" xfId="3716"/>
    <cellStyle name="표준 64 2 3" xfId="3496"/>
    <cellStyle name="표준 64 2 3 2" xfId="3825"/>
    <cellStyle name="표준 64 2 4" xfId="3608"/>
    <cellStyle name="표준 64 3" xfId="3333"/>
    <cellStyle name="표준 64 3 2" xfId="3662"/>
    <cellStyle name="표준 64 4" xfId="3442"/>
    <cellStyle name="표준 64 4 2" xfId="3771"/>
    <cellStyle name="표준 64 5" xfId="3554"/>
    <cellStyle name="표준 65" xfId="3220"/>
    <cellStyle name="표준 65 2" xfId="3278"/>
    <cellStyle name="표준 65 2 2" xfId="3390"/>
    <cellStyle name="표준 65 2 2 2" xfId="3719"/>
    <cellStyle name="표준 65 2 3" xfId="3499"/>
    <cellStyle name="표준 65 2 3 2" xfId="3828"/>
    <cellStyle name="표준 65 2 4" xfId="3611"/>
    <cellStyle name="표준 65 3" xfId="3336"/>
    <cellStyle name="표준 65 3 2" xfId="3665"/>
    <cellStyle name="표준 65 4" xfId="3445"/>
    <cellStyle name="표준 65 4 2" xfId="3774"/>
    <cellStyle name="표준 65 5" xfId="3557"/>
    <cellStyle name="표준 66" xfId="3238"/>
    <cellStyle name="표준 67" xfId="3237"/>
    <cellStyle name="표준 67 2" xfId="3353"/>
    <cellStyle name="표준 67 2 2" xfId="3682"/>
    <cellStyle name="표준 67 3" xfId="3462"/>
    <cellStyle name="표준 67 3 2" xfId="3791"/>
    <cellStyle name="표준 67 4" xfId="3574"/>
    <cellStyle name="표준 68" xfId="3296"/>
    <cellStyle name="표준 69" xfId="3295"/>
    <cellStyle name="표준 69 2" xfId="3628"/>
    <cellStyle name="표준 7" xfId="3092"/>
    <cellStyle name="표준 7 2" xfId="3093"/>
    <cellStyle name="표준 7 3" xfId="3094"/>
    <cellStyle name="표준 7 4" xfId="3095"/>
    <cellStyle name="표준 7 5" xfId="3096"/>
    <cellStyle name="표준 7 6" xfId="3097"/>
    <cellStyle name="표준 7 7" xfId="3098"/>
    <cellStyle name="표준 70" xfId="3407"/>
    <cellStyle name="표준 70 2" xfId="3736"/>
    <cellStyle name="표준 71" xfId="3408"/>
    <cellStyle name="표준 71 2" xfId="3737"/>
    <cellStyle name="표준 72" xfId="3517"/>
    <cellStyle name="표준 73" xfId="3516"/>
    <cellStyle name="표준 74" xfId="9"/>
    <cellStyle name="표준 8" xfId="3099"/>
    <cellStyle name="표준 8 2" xfId="3100"/>
    <cellStyle name="표준 8 3" xfId="3101"/>
    <cellStyle name="표준 8 4" xfId="3102"/>
    <cellStyle name="표준 9" xfId="3113"/>
    <cellStyle name="표준 9 2" xfId="3103"/>
    <cellStyle name="표준 9 3" xfId="3104"/>
    <cellStyle name="표준 9 4" xfId="3105"/>
    <cellStyle name="표준 9 5" xfId="3106"/>
    <cellStyle name="표준 9 6" xfId="3107"/>
    <cellStyle name="표준 9 7" xfId="3108"/>
    <cellStyle name="표준 9 8" xfId="3109"/>
    <cellStyle name="標準_Sheet1" xfId="3110"/>
    <cellStyle name="桁区切り 15" xfId="31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1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1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1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_rels/chart1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05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871441689623512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3513216"/>
        <c:axId val="75356800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513216"/>
        <c:axId val="753568000"/>
      </c:lineChart>
      <c:catAx>
        <c:axId val="573513216"/>
        <c:scaling>
          <c:orientation val="minMax"/>
        </c:scaling>
        <c:delete val="0"/>
        <c:axPos val="b"/>
        <c:majorTickMark val="out"/>
        <c:minorTickMark val="none"/>
        <c:tickLblPos val="nextTo"/>
        <c:crossAx val="753568000"/>
        <c:crosses val="autoZero"/>
        <c:auto val="1"/>
        <c:lblAlgn val="ctr"/>
        <c:lblOffset val="100"/>
        <c:noMultiLvlLbl val="0"/>
      </c:catAx>
      <c:valAx>
        <c:axId val="7535680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73513216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05</a:t>
            </a:r>
            <a:r>
              <a:rPr lang="ko-KR" altLang="en-US"/>
              <a:t>월 호기별 가동율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</c:v>
                </c:pt>
                <c:pt idx="1">
                  <c:v>0.1531698631661926</c:v>
                </c:pt>
                <c:pt idx="2">
                  <c:v>0.44406406873980581</c:v>
                </c:pt>
                <c:pt idx="3">
                  <c:v>0.36224410959872877</c:v>
                </c:pt>
                <c:pt idx="4">
                  <c:v>0.17579636167419521</c:v>
                </c:pt>
                <c:pt idx="5">
                  <c:v>0.43469294133783032</c:v>
                </c:pt>
                <c:pt idx="6">
                  <c:v>0.18777213486956196</c:v>
                </c:pt>
                <c:pt idx="7">
                  <c:v>0.3624390775678118</c:v>
                </c:pt>
                <c:pt idx="8">
                  <c:v>1.1890871654083734E-2</c:v>
                </c:pt>
                <c:pt idx="9">
                  <c:v>1.075268817204301E-2</c:v>
                </c:pt>
                <c:pt idx="10">
                  <c:v>0.31548838314123356</c:v>
                </c:pt>
                <c:pt idx="11">
                  <c:v>0.10335116529301358</c:v>
                </c:pt>
                <c:pt idx="12">
                  <c:v>0.51946596984745086</c:v>
                </c:pt>
                <c:pt idx="13">
                  <c:v>0.18582893058117567</c:v>
                </c:pt>
                <c:pt idx="14">
                  <c:v>0.56161037876418196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9110784"/>
        <c:axId val="753571456"/>
      </c:barChart>
      <c:catAx>
        <c:axId val="709110784"/>
        <c:scaling>
          <c:orientation val="minMax"/>
        </c:scaling>
        <c:delete val="0"/>
        <c:axPos val="b"/>
        <c:majorTickMark val="out"/>
        <c:minorTickMark val="none"/>
        <c:tickLblPos val="nextTo"/>
        <c:crossAx val="753571456"/>
        <c:crosses val="autoZero"/>
        <c:auto val="1"/>
        <c:lblAlgn val="ctr"/>
        <c:lblOffset val="100"/>
        <c:noMultiLvlLbl val="0"/>
      </c:catAx>
      <c:valAx>
        <c:axId val="75357145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09110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1">
                  <c:v>10920</c:v>
                </c:pt>
                <c:pt idx="2">
                  <c:v>5891</c:v>
                </c:pt>
                <c:pt idx="3">
                  <c:v>712</c:v>
                </c:pt>
                <c:pt idx="4">
                  <c:v>2683</c:v>
                </c:pt>
                <c:pt idx="5">
                  <c:v>3116</c:v>
                </c:pt>
                <c:pt idx="6">
                  <c:v>4594</c:v>
                </c:pt>
                <c:pt idx="12">
                  <c:v>3363</c:v>
                </c:pt>
                <c:pt idx="13">
                  <c:v>3334</c:v>
                </c:pt>
                <c:pt idx="14">
                  <c:v>45676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10920</c:v>
                </c:pt>
                <c:pt idx="2">
                  <c:v>5900</c:v>
                </c:pt>
                <c:pt idx="3">
                  <c:v>720</c:v>
                </c:pt>
                <c:pt idx="4">
                  <c:v>2690</c:v>
                </c:pt>
                <c:pt idx="5">
                  <c:v>3120</c:v>
                </c:pt>
                <c:pt idx="6">
                  <c:v>4600</c:v>
                </c:pt>
                <c:pt idx="7">
                  <c:v>4310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4740</c:v>
                </c:pt>
                <c:pt idx="12">
                  <c:v>3370</c:v>
                </c:pt>
                <c:pt idx="13">
                  <c:v>3340</c:v>
                </c:pt>
                <c:pt idx="14">
                  <c:v>45780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241088"/>
        <c:axId val="753573184"/>
      </c:lineChart>
      <c:catAx>
        <c:axId val="2332410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53573184"/>
        <c:crosses val="autoZero"/>
        <c:auto val="1"/>
        <c:lblAlgn val="ctr"/>
        <c:lblOffset val="100"/>
        <c:noMultiLvlLbl val="0"/>
      </c:catAx>
      <c:valAx>
        <c:axId val="7535731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33241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"/>
                <c:pt idx="0">
                  <c:v>0% 100% 100% 16% 62% 71% 92% 0% 0% 0% 0% 0% 79% 67%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0.99847457627118641</c:v>
                </c:pt>
                <c:pt idx="3">
                  <c:v>0.1648148148148148</c:v>
                </c:pt>
                <c:pt idx="4">
                  <c:v>0.62337360594795543</c:v>
                </c:pt>
                <c:pt idx="5">
                  <c:v>0.70742521367521372</c:v>
                </c:pt>
                <c:pt idx="6">
                  <c:v>0.91547101449275359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0.79002225519287828</c:v>
                </c:pt>
                <c:pt idx="13">
                  <c:v>0.66546906187624744</c:v>
                </c:pt>
                <c:pt idx="14">
                  <c:v>0.99772826561817385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0.45751858719261485</c:v>
                </c:pt>
                <c:pt idx="1">
                  <c:v>0.45751858719261485</c:v>
                </c:pt>
                <c:pt idx="2">
                  <c:v>0.45751858719261485</c:v>
                </c:pt>
                <c:pt idx="3">
                  <c:v>0.45751858719261485</c:v>
                </c:pt>
                <c:pt idx="4">
                  <c:v>0.45751858719261485</c:v>
                </c:pt>
                <c:pt idx="5">
                  <c:v>0.45751858719261485</c:v>
                </c:pt>
                <c:pt idx="6">
                  <c:v>0.45751858719261485</c:v>
                </c:pt>
                <c:pt idx="7">
                  <c:v>0.45751858719261485</c:v>
                </c:pt>
                <c:pt idx="8">
                  <c:v>0.45751858719261485</c:v>
                </c:pt>
                <c:pt idx="9">
                  <c:v>0.45751858719261485</c:v>
                </c:pt>
                <c:pt idx="10">
                  <c:v>0.45751858719261485</c:v>
                </c:pt>
                <c:pt idx="11">
                  <c:v>0.45751858719261485</c:v>
                </c:pt>
                <c:pt idx="12">
                  <c:v>0.45751858719261485</c:v>
                </c:pt>
                <c:pt idx="13">
                  <c:v>0.45751858719261485</c:v>
                </c:pt>
                <c:pt idx="14">
                  <c:v>0.45751858719261485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242112"/>
        <c:axId val="356623488"/>
      </c:lineChart>
      <c:catAx>
        <c:axId val="23324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56623488"/>
        <c:crosses val="autoZero"/>
        <c:auto val="1"/>
        <c:lblAlgn val="ctr"/>
        <c:lblOffset val="100"/>
        <c:noMultiLvlLbl val="0"/>
      </c:catAx>
      <c:valAx>
        <c:axId val="3566234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33242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1">
                  <c:v>10920</c:v>
                </c:pt>
                <c:pt idx="2">
                  <c:v>5891</c:v>
                </c:pt>
                <c:pt idx="3">
                  <c:v>712</c:v>
                </c:pt>
                <c:pt idx="4">
                  <c:v>2683</c:v>
                </c:pt>
                <c:pt idx="5">
                  <c:v>3116</c:v>
                </c:pt>
                <c:pt idx="6">
                  <c:v>4594</c:v>
                </c:pt>
                <c:pt idx="12">
                  <c:v>3363</c:v>
                </c:pt>
                <c:pt idx="13">
                  <c:v>3334</c:v>
                </c:pt>
                <c:pt idx="14">
                  <c:v>45676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10920</c:v>
                </c:pt>
                <c:pt idx="2">
                  <c:v>5900</c:v>
                </c:pt>
                <c:pt idx="3">
                  <c:v>720</c:v>
                </c:pt>
                <c:pt idx="4">
                  <c:v>2690</c:v>
                </c:pt>
                <c:pt idx="5">
                  <c:v>3120</c:v>
                </c:pt>
                <c:pt idx="6">
                  <c:v>4600</c:v>
                </c:pt>
                <c:pt idx="7">
                  <c:v>4310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4740</c:v>
                </c:pt>
                <c:pt idx="12">
                  <c:v>3370</c:v>
                </c:pt>
                <c:pt idx="13">
                  <c:v>3340</c:v>
                </c:pt>
                <c:pt idx="14">
                  <c:v>45780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353216"/>
        <c:axId val="356625792"/>
      </c:lineChart>
      <c:catAx>
        <c:axId val="2333532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56625792"/>
        <c:crosses val="autoZero"/>
        <c:auto val="1"/>
        <c:lblAlgn val="ctr"/>
        <c:lblOffset val="100"/>
        <c:noMultiLvlLbl val="0"/>
      </c:catAx>
      <c:valAx>
        <c:axId val="35662579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33353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"/>
                <c:pt idx="0">
                  <c:v>0% 100% 100% 16% 62% 71% 92% 0% 0% 0% 0% 0% 79% 67%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0.99847457627118641</c:v>
                </c:pt>
                <c:pt idx="3">
                  <c:v>0.1648148148148148</c:v>
                </c:pt>
                <c:pt idx="4">
                  <c:v>0.62337360594795543</c:v>
                </c:pt>
                <c:pt idx="5">
                  <c:v>0.70742521367521372</c:v>
                </c:pt>
                <c:pt idx="6">
                  <c:v>0.91547101449275359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0.79002225519287828</c:v>
                </c:pt>
                <c:pt idx="13">
                  <c:v>0.66546906187624744</c:v>
                </c:pt>
                <c:pt idx="14">
                  <c:v>0.99772826561817385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0.45751858719261485</c:v>
                </c:pt>
                <c:pt idx="1">
                  <c:v>0.45751858719261485</c:v>
                </c:pt>
                <c:pt idx="2">
                  <c:v>0.45751858719261485</c:v>
                </c:pt>
                <c:pt idx="3">
                  <c:v>0.45751858719261485</c:v>
                </c:pt>
                <c:pt idx="4">
                  <c:v>0.45751858719261485</c:v>
                </c:pt>
                <c:pt idx="5">
                  <c:v>0.45751858719261485</c:v>
                </c:pt>
                <c:pt idx="6">
                  <c:v>0.45751858719261485</c:v>
                </c:pt>
                <c:pt idx="7">
                  <c:v>0.45751858719261485</c:v>
                </c:pt>
                <c:pt idx="8">
                  <c:v>0.45751858719261485</c:v>
                </c:pt>
                <c:pt idx="9">
                  <c:v>0.45751858719261485</c:v>
                </c:pt>
                <c:pt idx="10">
                  <c:v>0.45751858719261485</c:v>
                </c:pt>
                <c:pt idx="11">
                  <c:v>0.45751858719261485</c:v>
                </c:pt>
                <c:pt idx="12">
                  <c:v>0.45751858719261485</c:v>
                </c:pt>
                <c:pt idx="13">
                  <c:v>0.45751858719261485</c:v>
                </c:pt>
                <c:pt idx="14">
                  <c:v>0.45751858719261485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354752"/>
        <c:axId val="356627520"/>
      </c:lineChart>
      <c:catAx>
        <c:axId val="23335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56627520"/>
        <c:crosses val="autoZero"/>
        <c:auto val="1"/>
        <c:lblAlgn val="ctr"/>
        <c:lblOffset val="100"/>
        <c:noMultiLvlLbl val="0"/>
      </c:catAx>
      <c:valAx>
        <c:axId val="3566275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33354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355264"/>
        <c:axId val="356629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355264"/>
        <c:axId val="356629824"/>
      </c:lineChart>
      <c:catAx>
        <c:axId val="233355264"/>
        <c:scaling>
          <c:orientation val="minMax"/>
        </c:scaling>
        <c:delete val="0"/>
        <c:axPos val="b"/>
        <c:majorTickMark val="out"/>
        <c:minorTickMark val="none"/>
        <c:tickLblPos val="nextTo"/>
        <c:crossAx val="356629824"/>
        <c:crosses val="autoZero"/>
        <c:auto val="1"/>
        <c:lblAlgn val="ctr"/>
        <c:lblOffset val="100"/>
        <c:noMultiLvlLbl val="0"/>
      </c:catAx>
      <c:valAx>
        <c:axId val="356629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3335526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'02'!$D$6:$D$22</c:f>
              <c:strCache>
                <c:ptCount val="16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LEAD IN</c:v>
                </c:pt>
                <c:pt idx="13">
                  <c:v>BASE</c:v>
                </c:pt>
                <c:pt idx="14">
                  <c:v>ACTUATOR</c:v>
                </c:pt>
                <c:pt idx="15">
                  <c:v>STOPPER</c:v>
                </c:pt>
              </c:strCache>
            </c:strRef>
          </c:cat>
          <c:val>
            <c:numRef>
              <c:f>'02'!$L$6:$L$22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10616</c:v>
                </c:pt>
                <c:pt idx="2">
                  <c:v>3518</c:v>
                </c:pt>
                <c:pt idx="3">
                  <c:v>2220</c:v>
                </c:pt>
                <c:pt idx="5">
                  <c:v>5421</c:v>
                </c:pt>
                <c:pt idx="6">
                  <c:v>846</c:v>
                </c:pt>
                <c:pt idx="7">
                  <c:v>3611</c:v>
                </c:pt>
                <c:pt idx="8">
                  <c:v>2557</c:v>
                </c:pt>
                <c:pt idx="13">
                  <c:v>3399</c:v>
                </c:pt>
                <c:pt idx="14">
                  <c:v>319</c:v>
                </c:pt>
                <c:pt idx="15">
                  <c:v>2915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'02'!$D$6:$D$22</c:f>
              <c:strCache>
                <c:ptCount val="16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LEAD IN</c:v>
                </c:pt>
                <c:pt idx="13">
                  <c:v>BASE</c:v>
                </c:pt>
                <c:pt idx="14">
                  <c:v>ACTUATOR</c:v>
                </c:pt>
                <c:pt idx="15">
                  <c:v>STOPPER</c:v>
                </c:pt>
              </c:strCache>
            </c:strRef>
          </c:cat>
          <c:val>
            <c:numRef>
              <c:f>'02'!$J$6:$J$22</c:f>
              <c:numCache>
                <c:formatCode>_(* #,##0_);_(* \(#,##0\);_(* "-"_);_(@_)</c:formatCode>
                <c:ptCount val="17"/>
                <c:pt idx="0">
                  <c:v>6140</c:v>
                </c:pt>
                <c:pt idx="1">
                  <c:v>10620</c:v>
                </c:pt>
                <c:pt idx="2">
                  <c:v>3520</c:v>
                </c:pt>
                <c:pt idx="3">
                  <c:v>2220</c:v>
                </c:pt>
                <c:pt idx="4">
                  <c:v>2690</c:v>
                </c:pt>
                <c:pt idx="5">
                  <c:v>5430</c:v>
                </c:pt>
                <c:pt idx="6">
                  <c:v>850</c:v>
                </c:pt>
                <c:pt idx="7">
                  <c:v>3620</c:v>
                </c:pt>
                <c:pt idx="8">
                  <c:v>2560</c:v>
                </c:pt>
                <c:pt idx="9">
                  <c:v>4790</c:v>
                </c:pt>
                <c:pt idx="10">
                  <c:v>3980</c:v>
                </c:pt>
                <c:pt idx="11">
                  <c:v>5610</c:v>
                </c:pt>
                <c:pt idx="12">
                  <c:v>4740</c:v>
                </c:pt>
                <c:pt idx="13">
                  <c:v>3400</c:v>
                </c:pt>
                <c:pt idx="14">
                  <c:v>320</c:v>
                </c:pt>
                <c:pt idx="15">
                  <c:v>2920</c:v>
                </c:pt>
                <c:pt idx="16">
                  <c:v>45780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658368"/>
        <c:axId val="522488064"/>
      </c:lineChart>
      <c:catAx>
        <c:axId val="2336583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22488064"/>
        <c:crosses val="autoZero"/>
        <c:auto val="1"/>
        <c:lblAlgn val="ctr"/>
        <c:lblOffset val="100"/>
        <c:noMultiLvlLbl val="0"/>
      </c:catAx>
      <c:valAx>
        <c:axId val="5224880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33658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'02'!$AD$6:$AD$22</c:f>
              <c:strCache>
                <c:ptCount val="1"/>
                <c:pt idx="0">
                  <c:v>0% 100% 79% 50% 0% 100% 25% 75% 54% 0% 0% 0% 0% 83% 12% 62%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'02'!$D$6:$D$22</c:f>
              <c:strCache>
                <c:ptCount val="16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LEAD IN</c:v>
                </c:pt>
                <c:pt idx="13">
                  <c:v>BASE</c:v>
                </c:pt>
                <c:pt idx="14">
                  <c:v>ACTUATOR</c:v>
                </c:pt>
                <c:pt idx="15">
                  <c:v>STOPPER</c:v>
                </c:pt>
              </c:strCache>
            </c:strRef>
          </c:cat>
          <c:val>
            <c:numRef>
              <c:f>'02'!$AD$6:$AD$22</c:f>
              <c:numCache>
                <c:formatCode>0%</c:formatCode>
                <c:ptCount val="17"/>
                <c:pt idx="0">
                  <c:v>0</c:v>
                </c:pt>
                <c:pt idx="1">
                  <c:v>0.99962335216572507</c:v>
                </c:pt>
                <c:pt idx="2">
                  <c:v>0.79121685606060599</c:v>
                </c:pt>
                <c:pt idx="3">
                  <c:v>0.5</c:v>
                </c:pt>
                <c:pt idx="4">
                  <c:v>0</c:v>
                </c:pt>
                <c:pt idx="5">
                  <c:v>0.99834254143646406</c:v>
                </c:pt>
                <c:pt idx="6">
                  <c:v>0.24882352941176469</c:v>
                </c:pt>
                <c:pt idx="7">
                  <c:v>0.74813535911602214</c:v>
                </c:pt>
                <c:pt idx="8">
                  <c:v>0.54103190104166665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0.83308823529411768</c:v>
                </c:pt>
                <c:pt idx="14">
                  <c:v>0.12460937499999999</c:v>
                </c:pt>
                <c:pt idx="15">
                  <c:v>0.62392979452054798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'02'!$D$6:$D$22</c:f>
              <c:strCache>
                <c:ptCount val="16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LEAD IN</c:v>
                </c:pt>
                <c:pt idx="13">
                  <c:v>BASE</c:v>
                </c:pt>
                <c:pt idx="14">
                  <c:v>ACTUATOR</c:v>
                </c:pt>
                <c:pt idx="15">
                  <c:v>STOPPER</c:v>
                </c:pt>
              </c:strCache>
            </c:strRef>
          </c:cat>
          <c:val>
            <c:numRef>
              <c:f>'02'!$AE$6:$AE$22</c:f>
              <c:numCache>
                <c:formatCode>0%</c:formatCode>
                <c:ptCount val="17"/>
                <c:pt idx="0">
                  <c:v>0.42725339626979431</c:v>
                </c:pt>
                <c:pt idx="1">
                  <c:v>0.42725339626979431</c:v>
                </c:pt>
                <c:pt idx="2">
                  <c:v>0.42725339626979431</c:v>
                </c:pt>
                <c:pt idx="3">
                  <c:v>0.42725339626979431</c:v>
                </c:pt>
                <c:pt idx="4">
                  <c:v>0.42725339626979431</c:v>
                </c:pt>
                <c:pt idx="5">
                  <c:v>0.42725339626979431</c:v>
                </c:pt>
                <c:pt idx="6">
                  <c:v>0.42725339626979431</c:v>
                </c:pt>
                <c:pt idx="7">
                  <c:v>0.42725339626979431</c:v>
                </c:pt>
                <c:pt idx="8">
                  <c:v>0.42725339626979431</c:v>
                </c:pt>
                <c:pt idx="9">
                  <c:v>0.42725339626979431</c:v>
                </c:pt>
                <c:pt idx="10">
                  <c:v>0.42725339626979431</c:v>
                </c:pt>
                <c:pt idx="11">
                  <c:v>0.42725339626979431</c:v>
                </c:pt>
                <c:pt idx="12">
                  <c:v>0.42725339626979431</c:v>
                </c:pt>
                <c:pt idx="13">
                  <c:v>0.42725339626979431</c:v>
                </c:pt>
                <c:pt idx="14">
                  <c:v>0.42725339626979431</c:v>
                </c:pt>
                <c:pt idx="15">
                  <c:v>0.42725339626979431</c:v>
                </c:pt>
                <c:pt idx="16">
                  <c:v>0.42725339626979431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659904"/>
        <c:axId val="522489792"/>
      </c:lineChart>
      <c:catAx>
        <c:axId val="233659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22489792"/>
        <c:crosses val="autoZero"/>
        <c:auto val="1"/>
        <c:lblAlgn val="ctr"/>
        <c:lblOffset val="100"/>
        <c:noMultiLvlLbl val="0"/>
      </c:catAx>
      <c:valAx>
        <c:axId val="5224897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33659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'02'!$D$6:$D$22</c:f>
              <c:strCache>
                <c:ptCount val="16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LEAD IN</c:v>
                </c:pt>
                <c:pt idx="13">
                  <c:v>BASE</c:v>
                </c:pt>
                <c:pt idx="14">
                  <c:v>ACTUATOR</c:v>
                </c:pt>
                <c:pt idx="15">
                  <c:v>STOPPER</c:v>
                </c:pt>
              </c:strCache>
            </c:strRef>
          </c:cat>
          <c:val>
            <c:numRef>
              <c:f>'02'!$L$6:$L$22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10616</c:v>
                </c:pt>
                <c:pt idx="2">
                  <c:v>3518</c:v>
                </c:pt>
                <c:pt idx="3">
                  <c:v>2220</c:v>
                </c:pt>
                <c:pt idx="5">
                  <c:v>5421</c:v>
                </c:pt>
                <c:pt idx="6">
                  <c:v>846</c:v>
                </c:pt>
                <c:pt idx="7">
                  <c:v>3611</c:v>
                </c:pt>
                <c:pt idx="8">
                  <c:v>2557</c:v>
                </c:pt>
                <c:pt idx="13">
                  <c:v>3399</c:v>
                </c:pt>
                <c:pt idx="14">
                  <c:v>319</c:v>
                </c:pt>
                <c:pt idx="15">
                  <c:v>2915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'02'!$D$6:$D$22</c:f>
              <c:strCache>
                <c:ptCount val="16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LEAD IN</c:v>
                </c:pt>
                <c:pt idx="13">
                  <c:v>BASE</c:v>
                </c:pt>
                <c:pt idx="14">
                  <c:v>ACTUATOR</c:v>
                </c:pt>
                <c:pt idx="15">
                  <c:v>STOPPER</c:v>
                </c:pt>
              </c:strCache>
            </c:strRef>
          </c:cat>
          <c:val>
            <c:numRef>
              <c:f>'02'!$J$6:$J$22</c:f>
              <c:numCache>
                <c:formatCode>_(* #,##0_);_(* \(#,##0\);_(* "-"_);_(@_)</c:formatCode>
                <c:ptCount val="17"/>
                <c:pt idx="0">
                  <c:v>6140</c:v>
                </c:pt>
                <c:pt idx="1">
                  <c:v>10620</c:v>
                </c:pt>
                <c:pt idx="2">
                  <c:v>3520</c:v>
                </c:pt>
                <c:pt idx="3">
                  <c:v>2220</c:v>
                </c:pt>
                <c:pt idx="4">
                  <c:v>2690</c:v>
                </c:pt>
                <c:pt idx="5">
                  <c:v>5430</c:v>
                </c:pt>
                <c:pt idx="6">
                  <c:v>850</c:v>
                </c:pt>
                <c:pt idx="7">
                  <c:v>3620</c:v>
                </c:pt>
                <c:pt idx="8">
                  <c:v>2560</c:v>
                </c:pt>
                <c:pt idx="9">
                  <c:v>4790</c:v>
                </c:pt>
                <c:pt idx="10">
                  <c:v>3980</c:v>
                </c:pt>
                <c:pt idx="11">
                  <c:v>5610</c:v>
                </c:pt>
                <c:pt idx="12">
                  <c:v>4740</c:v>
                </c:pt>
                <c:pt idx="13">
                  <c:v>3400</c:v>
                </c:pt>
                <c:pt idx="14">
                  <c:v>320</c:v>
                </c:pt>
                <c:pt idx="15">
                  <c:v>2920</c:v>
                </c:pt>
                <c:pt idx="16">
                  <c:v>45780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883968"/>
        <c:axId val="522492096"/>
      </c:lineChart>
      <c:catAx>
        <c:axId val="2368839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22492096"/>
        <c:crosses val="autoZero"/>
        <c:auto val="1"/>
        <c:lblAlgn val="ctr"/>
        <c:lblOffset val="100"/>
        <c:noMultiLvlLbl val="0"/>
      </c:catAx>
      <c:valAx>
        <c:axId val="52249209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36883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'02'!$AD$6:$AD$22</c:f>
              <c:strCache>
                <c:ptCount val="1"/>
                <c:pt idx="0">
                  <c:v>0% 100% 79% 50% 0% 100% 25% 75% 54% 0% 0% 0% 0% 83% 12% 62%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'02'!$D$6:$D$22</c:f>
              <c:strCache>
                <c:ptCount val="16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LEAD IN</c:v>
                </c:pt>
                <c:pt idx="13">
                  <c:v>BASE</c:v>
                </c:pt>
                <c:pt idx="14">
                  <c:v>ACTUATOR</c:v>
                </c:pt>
                <c:pt idx="15">
                  <c:v>STOPPER</c:v>
                </c:pt>
              </c:strCache>
            </c:strRef>
          </c:cat>
          <c:val>
            <c:numRef>
              <c:f>'02'!$AD$6:$AD$22</c:f>
              <c:numCache>
                <c:formatCode>0%</c:formatCode>
                <c:ptCount val="17"/>
                <c:pt idx="0">
                  <c:v>0</c:v>
                </c:pt>
                <c:pt idx="1">
                  <c:v>0.99962335216572507</c:v>
                </c:pt>
                <c:pt idx="2">
                  <c:v>0.79121685606060599</c:v>
                </c:pt>
                <c:pt idx="3">
                  <c:v>0.5</c:v>
                </c:pt>
                <c:pt idx="4">
                  <c:v>0</c:v>
                </c:pt>
                <c:pt idx="5">
                  <c:v>0.99834254143646406</c:v>
                </c:pt>
                <c:pt idx="6">
                  <c:v>0.24882352941176469</c:v>
                </c:pt>
                <c:pt idx="7">
                  <c:v>0.74813535911602214</c:v>
                </c:pt>
                <c:pt idx="8">
                  <c:v>0.54103190104166665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0.83308823529411768</c:v>
                </c:pt>
                <c:pt idx="14">
                  <c:v>0.12460937499999999</c:v>
                </c:pt>
                <c:pt idx="15">
                  <c:v>0.62392979452054798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'02'!$D$6:$D$22</c:f>
              <c:strCache>
                <c:ptCount val="16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SAM</c:v>
                </c:pt>
                <c:pt idx="11">
                  <c:v>LEAD GUIDE</c:v>
                </c:pt>
                <c:pt idx="12">
                  <c:v>LEAD IN</c:v>
                </c:pt>
                <c:pt idx="13">
                  <c:v>BASE</c:v>
                </c:pt>
                <c:pt idx="14">
                  <c:v>ACTUATOR</c:v>
                </c:pt>
                <c:pt idx="15">
                  <c:v>STOPPER</c:v>
                </c:pt>
              </c:strCache>
            </c:strRef>
          </c:cat>
          <c:val>
            <c:numRef>
              <c:f>'02'!$AE$6:$AE$22</c:f>
              <c:numCache>
                <c:formatCode>0%</c:formatCode>
                <c:ptCount val="17"/>
                <c:pt idx="0">
                  <c:v>0.42725339626979431</c:v>
                </c:pt>
                <c:pt idx="1">
                  <c:v>0.42725339626979431</c:v>
                </c:pt>
                <c:pt idx="2">
                  <c:v>0.42725339626979431</c:v>
                </c:pt>
                <c:pt idx="3">
                  <c:v>0.42725339626979431</c:v>
                </c:pt>
                <c:pt idx="4">
                  <c:v>0.42725339626979431</c:v>
                </c:pt>
                <c:pt idx="5">
                  <c:v>0.42725339626979431</c:v>
                </c:pt>
                <c:pt idx="6">
                  <c:v>0.42725339626979431</c:v>
                </c:pt>
                <c:pt idx="7">
                  <c:v>0.42725339626979431</c:v>
                </c:pt>
                <c:pt idx="8">
                  <c:v>0.42725339626979431</c:v>
                </c:pt>
                <c:pt idx="9">
                  <c:v>0.42725339626979431</c:v>
                </c:pt>
                <c:pt idx="10">
                  <c:v>0.42725339626979431</c:v>
                </c:pt>
                <c:pt idx="11">
                  <c:v>0.42725339626979431</c:v>
                </c:pt>
                <c:pt idx="12">
                  <c:v>0.42725339626979431</c:v>
                </c:pt>
                <c:pt idx="13">
                  <c:v>0.42725339626979431</c:v>
                </c:pt>
                <c:pt idx="14">
                  <c:v>0.42725339626979431</c:v>
                </c:pt>
                <c:pt idx="15">
                  <c:v>0.42725339626979431</c:v>
                </c:pt>
                <c:pt idx="16">
                  <c:v>0.42725339626979431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884992"/>
        <c:axId val="510115840"/>
      </c:lineChart>
      <c:catAx>
        <c:axId val="236884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10115840"/>
        <c:crosses val="autoZero"/>
        <c:auto val="1"/>
        <c:lblAlgn val="ctr"/>
        <c:lblOffset val="100"/>
        <c:noMultiLvlLbl val="0"/>
      </c:catAx>
      <c:valAx>
        <c:axId val="5101158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36884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355776"/>
        <c:axId val="51011814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355776"/>
        <c:axId val="510118144"/>
      </c:lineChart>
      <c:catAx>
        <c:axId val="233355776"/>
        <c:scaling>
          <c:orientation val="minMax"/>
        </c:scaling>
        <c:delete val="0"/>
        <c:axPos val="b"/>
        <c:majorTickMark val="out"/>
        <c:minorTickMark val="none"/>
        <c:tickLblPos val="nextTo"/>
        <c:crossAx val="510118144"/>
        <c:crosses val="autoZero"/>
        <c:auto val="1"/>
        <c:lblAlgn val="ctr"/>
        <c:lblOffset val="100"/>
        <c:noMultiLvlLbl val="0"/>
      </c:catAx>
      <c:valAx>
        <c:axId val="5101181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3335577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1">
                  <c:v>10866</c:v>
                </c:pt>
                <c:pt idx="2">
                  <c:v>5719</c:v>
                </c:pt>
                <c:pt idx="3">
                  <c:v>3674</c:v>
                </c:pt>
                <c:pt idx="5">
                  <c:v>3271</c:v>
                </c:pt>
                <c:pt idx="7">
                  <c:v>221</c:v>
                </c:pt>
                <c:pt idx="12">
                  <c:v>3759</c:v>
                </c:pt>
                <c:pt idx="13">
                  <c:v>314</c:v>
                </c:pt>
                <c:pt idx="14">
                  <c:v>7278</c:v>
                </c:pt>
                <c:pt idx="15">
                  <c:v>35332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6140</c:v>
                </c:pt>
                <c:pt idx="1">
                  <c:v>10870</c:v>
                </c:pt>
                <c:pt idx="2">
                  <c:v>5720</c:v>
                </c:pt>
                <c:pt idx="3">
                  <c:v>3680</c:v>
                </c:pt>
                <c:pt idx="4">
                  <c:v>2690</c:v>
                </c:pt>
                <c:pt idx="5">
                  <c:v>3280</c:v>
                </c:pt>
                <c:pt idx="6">
                  <c:v>850</c:v>
                </c:pt>
                <c:pt idx="7">
                  <c:v>221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4740</c:v>
                </c:pt>
                <c:pt idx="12">
                  <c:v>3760</c:v>
                </c:pt>
                <c:pt idx="13">
                  <c:v>315</c:v>
                </c:pt>
                <c:pt idx="14">
                  <c:v>7280</c:v>
                </c:pt>
                <c:pt idx="15">
                  <c:v>35340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687296"/>
        <c:axId val="510121024"/>
      </c:lineChart>
      <c:catAx>
        <c:axId val="2376872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10121024"/>
        <c:crosses val="autoZero"/>
        <c:auto val="1"/>
        <c:lblAlgn val="ctr"/>
        <c:lblOffset val="100"/>
        <c:noMultiLvlLbl val="0"/>
      </c:catAx>
      <c:valAx>
        <c:axId val="5101210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37687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"/>
                <c:pt idx="0">
                  <c:v>0% 100% 100% 79% 0% 62% 0% 17% 0% 0% 0% 0% 87% 17% 79% 87%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'03'!$D$6:$D$21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0.99963201471941121</c:v>
                </c:pt>
                <c:pt idx="2">
                  <c:v>0.99982517482517486</c:v>
                </c:pt>
                <c:pt idx="3">
                  <c:v>0.79037590579710137</c:v>
                </c:pt>
                <c:pt idx="4">
                  <c:v>0</c:v>
                </c:pt>
                <c:pt idx="5">
                  <c:v>0.62328506097560976</c:v>
                </c:pt>
                <c:pt idx="6">
                  <c:v>0</c:v>
                </c:pt>
                <c:pt idx="7">
                  <c:v>0.16666666666666666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0.87476728723404262</c:v>
                </c:pt>
                <c:pt idx="13">
                  <c:v>0.16613756613756614</c:v>
                </c:pt>
                <c:pt idx="14">
                  <c:v>0.79144917582417573</c:v>
                </c:pt>
                <c:pt idx="15">
                  <c:v>0.87480192416525182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'03'!$D$6:$D$21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0.41912938508966663</c:v>
                </c:pt>
                <c:pt idx="1">
                  <c:v>0.41912938508966663</c:v>
                </c:pt>
                <c:pt idx="2">
                  <c:v>0.41912938508966663</c:v>
                </c:pt>
                <c:pt idx="3">
                  <c:v>0.41912938508966663</c:v>
                </c:pt>
                <c:pt idx="4">
                  <c:v>0.41912938508966663</c:v>
                </c:pt>
                <c:pt idx="5">
                  <c:v>0.41912938508966663</c:v>
                </c:pt>
                <c:pt idx="6">
                  <c:v>0.41912938508966663</c:v>
                </c:pt>
                <c:pt idx="7">
                  <c:v>0.41912938508966663</c:v>
                </c:pt>
                <c:pt idx="8">
                  <c:v>0.41912938508966663</c:v>
                </c:pt>
                <c:pt idx="9">
                  <c:v>0.41912938508966663</c:v>
                </c:pt>
                <c:pt idx="10">
                  <c:v>0.41912938508966663</c:v>
                </c:pt>
                <c:pt idx="11">
                  <c:v>0.41912938508966663</c:v>
                </c:pt>
                <c:pt idx="12">
                  <c:v>0.41912938508966663</c:v>
                </c:pt>
                <c:pt idx="13">
                  <c:v>0.41912938508966663</c:v>
                </c:pt>
                <c:pt idx="14">
                  <c:v>0.41912938508966663</c:v>
                </c:pt>
                <c:pt idx="15">
                  <c:v>0.41912938508966663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689344"/>
        <c:axId val="510122752"/>
      </c:lineChart>
      <c:catAx>
        <c:axId val="23768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10122752"/>
        <c:crosses val="autoZero"/>
        <c:auto val="1"/>
        <c:lblAlgn val="ctr"/>
        <c:lblOffset val="100"/>
        <c:noMultiLvlLbl val="0"/>
      </c:catAx>
      <c:valAx>
        <c:axId val="5101227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37689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1">
                  <c:v>10866</c:v>
                </c:pt>
                <c:pt idx="2">
                  <c:v>5719</c:v>
                </c:pt>
                <c:pt idx="3">
                  <c:v>3674</c:v>
                </c:pt>
                <c:pt idx="5">
                  <c:v>3271</c:v>
                </c:pt>
                <c:pt idx="7">
                  <c:v>221</c:v>
                </c:pt>
                <c:pt idx="12">
                  <c:v>3759</c:v>
                </c:pt>
                <c:pt idx="13">
                  <c:v>314</c:v>
                </c:pt>
                <c:pt idx="14">
                  <c:v>7278</c:v>
                </c:pt>
                <c:pt idx="15">
                  <c:v>35332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6140</c:v>
                </c:pt>
                <c:pt idx="1">
                  <c:v>10870</c:v>
                </c:pt>
                <c:pt idx="2">
                  <c:v>5720</c:v>
                </c:pt>
                <c:pt idx="3">
                  <c:v>3680</c:v>
                </c:pt>
                <c:pt idx="4">
                  <c:v>2690</c:v>
                </c:pt>
                <c:pt idx="5">
                  <c:v>3280</c:v>
                </c:pt>
                <c:pt idx="6">
                  <c:v>850</c:v>
                </c:pt>
                <c:pt idx="7">
                  <c:v>221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4740</c:v>
                </c:pt>
                <c:pt idx="12">
                  <c:v>3760</c:v>
                </c:pt>
                <c:pt idx="13">
                  <c:v>315</c:v>
                </c:pt>
                <c:pt idx="14">
                  <c:v>7280</c:v>
                </c:pt>
                <c:pt idx="15">
                  <c:v>35340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48864"/>
        <c:axId val="522740864"/>
      </c:lineChart>
      <c:catAx>
        <c:axId val="23894886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22740864"/>
        <c:crosses val="autoZero"/>
        <c:auto val="1"/>
        <c:lblAlgn val="ctr"/>
        <c:lblOffset val="100"/>
        <c:noMultiLvlLbl val="0"/>
      </c:catAx>
      <c:valAx>
        <c:axId val="5227408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38948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"/>
                <c:pt idx="0">
                  <c:v>0% 100% 100% 79% 0% 62% 0% 17% 0% 0% 0% 0% 87% 17% 79% 87%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'03'!$D$6:$D$21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0.99963201471941121</c:v>
                </c:pt>
                <c:pt idx="2">
                  <c:v>0.99982517482517486</c:v>
                </c:pt>
                <c:pt idx="3">
                  <c:v>0.79037590579710137</c:v>
                </c:pt>
                <c:pt idx="4">
                  <c:v>0</c:v>
                </c:pt>
                <c:pt idx="5">
                  <c:v>0.62328506097560976</c:v>
                </c:pt>
                <c:pt idx="6">
                  <c:v>0</c:v>
                </c:pt>
                <c:pt idx="7">
                  <c:v>0.16666666666666666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0.87476728723404262</c:v>
                </c:pt>
                <c:pt idx="13">
                  <c:v>0.16613756613756614</c:v>
                </c:pt>
                <c:pt idx="14">
                  <c:v>0.79144917582417573</c:v>
                </c:pt>
                <c:pt idx="15">
                  <c:v>0.87480192416525182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'03'!$D$6:$D$21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0.41912938508966663</c:v>
                </c:pt>
                <c:pt idx="1">
                  <c:v>0.41912938508966663</c:v>
                </c:pt>
                <c:pt idx="2">
                  <c:v>0.41912938508966663</c:v>
                </c:pt>
                <c:pt idx="3">
                  <c:v>0.41912938508966663</c:v>
                </c:pt>
                <c:pt idx="4">
                  <c:v>0.41912938508966663</c:v>
                </c:pt>
                <c:pt idx="5">
                  <c:v>0.41912938508966663</c:v>
                </c:pt>
                <c:pt idx="6">
                  <c:v>0.41912938508966663</c:v>
                </c:pt>
                <c:pt idx="7">
                  <c:v>0.41912938508966663</c:v>
                </c:pt>
                <c:pt idx="8">
                  <c:v>0.41912938508966663</c:v>
                </c:pt>
                <c:pt idx="9">
                  <c:v>0.41912938508966663</c:v>
                </c:pt>
                <c:pt idx="10">
                  <c:v>0.41912938508966663</c:v>
                </c:pt>
                <c:pt idx="11">
                  <c:v>0.41912938508966663</c:v>
                </c:pt>
                <c:pt idx="12">
                  <c:v>0.41912938508966663</c:v>
                </c:pt>
                <c:pt idx="13">
                  <c:v>0.41912938508966663</c:v>
                </c:pt>
                <c:pt idx="14">
                  <c:v>0.41912938508966663</c:v>
                </c:pt>
                <c:pt idx="15">
                  <c:v>0.41912938508966663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50400"/>
        <c:axId val="522742592"/>
      </c:lineChart>
      <c:catAx>
        <c:axId val="238950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22742592"/>
        <c:crosses val="autoZero"/>
        <c:auto val="1"/>
        <c:lblAlgn val="ctr"/>
        <c:lblOffset val="100"/>
        <c:noMultiLvlLbl val="0"/>
      </c:catAx>
      <c:valAx>
        <c:axId val="5227425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38950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8950912"/>
        <c:axId val="52274489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50912"/>
        <c:axId val="522744896"/>
      </c:lineChart>
      <c:catAx>
        <c:axId val="238950912"/>
        <c:scaling>
          <c:orientation val="minMax"/>
        </c:scaling>
        <c:delete val="0"/>
        <c:axPos val="b"/>
        <c:majorTickMark val="out"/>
        <c:minorTickMark val="none"/>
        <c:tickLblPos val="nextTo"/>
        <c:crossAx val="522744896"/>
        <c:crosses val="autoZero"/>
        <c:auto val="1"/>
        <c:lblAlgn val="ctr"/>
        <c:lblOffset val="100"/>
        <c:noMultiLvlLbl val="0"/>
      </c:catAx>
      <c:valAx>
        <c:axId val="5227448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3895091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'04'!$L$6:$L$20</c:f>
              <c:numCache>
                <c:formatCode>_(* #,##0_);_(* \(#,##0\);_(* "-"_);_(@_)</c:formatCode>
                <c:ptCount val="15"/>
                <c:pt idx="1">
                  <c:v>3048</c:v>
                </c:pt>
                <c:pt idx="2">
                  <c:v>5664</c:v>
                </c:pt>
                <c:pt idx="3">
                  <c:v>3855</c:v>
                </c:pt>
                <c:pt idx="5">
                  <c:v>10884</c:v>
                </c:pt>
                <c:pt idx="12">
                  <c:v>4632</c:v>
                </c:pt>
                <c:pt idx="13">
                  <c:v>5992</c:v>
                </c:pt>
                <c:pt idx="14">
                  <c:v>48744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'04'!$D$6:$D$20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'04'!$J$6:$J$20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5720</c:v>
                </c:pt>
                <c:pt idx="3">
                  <c:v>3860</c:v>
                </c:pt>
                <c:pt idx="4">
                  <c:v>2690</c:v>
                </c:pt>
                <c:pt idx="5">
                  <c:v>10890</c:v>
                </c:pt>
                <c:pt idx="6">
                  <c:v>850</c:v>
                </c:pt>
                <c:pt idx="7">
                  <c:v>221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4740</c:v>
                </c:pt>
                <c:pt idx="12">
                  <c:v>4640</c:v>
                </c:pt>
                <c:pt idx="13">
                  <c:v>6000</c:v>
                </c:pt>
                <c:pt idx="14">
                  <c:v>48750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009984"/>
        <c:axId val="522797056"/>
      </c:lineChart>
      <c:catAx>
        <c:axId val="5720099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22797056"/>
        <c:crosses val="autoZero"/>
        <c:auto val="1"/>
        <c:lblAlgn val="ctr"/>
        <c:lblOffset val="100"/>
        <c:noMultiLvlLbl val="0"/>
      </c:catAx>
      <c:valAx>
        <c:axId val="5227970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572009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'04'!$AD$6:$AD$20</c:f>
              <c:strCache>
                <c:ptCount val="1"/>
                <c:pt idx="0">
                  <c:v>0% 37% 99% 83% 0% 100% 0% 0% 0% 0% 0% 0% 92% 67%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'04'!$D$6:$D$20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'04'!$AD$6:$AD$20</c:f>
              <c:numCache>
                <c:formatCode>0%</c:formatCode>
                <c:ptCount val="15"/>
                <c:pt idx="0">
                  <c:v>0</c:v>
                </c:pt>
                <c:pt idx="1">
                  <c:v>0.37475409836065576</c:v>
                </c:pt>
                <c:pt idx="2">
                  <c:v>0.99020979020979016</c:v>
                </c:pt>
                <c:pt idx="3">
                  <c:v>0.83225388601036276</c:v>
                </c:pt>
                <c:pt idx="4">
                  <c:v>0</c:v>
                </c:pt>
                <c:pt idx="5">
                  <c:v>0.99944903581267219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0.91508620689655173</c:v>
                </c:pt>
                <c:pt idx="13">
                  <c:v>0.6657777777777778</c:v>
                </c:pt>
                <c:pt idx="14">
                  <c:v>0.99987692307692311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'04'!$D$6:$D$20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'04'!$AE$6:$AE$20</c:f>
              <c:numCache>
                <c:formatCode>0%</c:formatCode>
                <c:ptCount val="15"/>
                <c:pt idx="0">
                  <c:v>0.38516051454298222</c:v>
                </c:pt>
                <c:pt idx="1">
                  <c:v>0.38516051454298222</c:v>
                </c:pt>
                <c:pt idx="2">
                  <c:v>0.38516051454298222</c:v>
                </c:pt>
                <c:pt idx="3">
                  <c:v>0.38516051454298222</c:v>
                </c:pt>
                <c:pt idx="4">
                  <c:v>0.38516051454298222</c:v>
                </c:pt>
                <c:pt idx="5">
                  <c:v>0.38516051454298222</c:v>
                </c:pt>
                <c:pt idx="6">
                  <c:v>0.38516051454298222</c:v>
                </c:pt>
                <c:pt idx="7">
                  <c:v>0.38516051454298222</c:v>
                </c:pt>
                <c:pt idx="8">
                  <c:v>0.38516051454298222</c:v>
                </c:pt>
                <c:pt idx="9">
                  <c:v>0.38516051454298222</c:v>
                </c:pt>
                <c:pt idx="10">
                  <c:v>0.38516051454298222</c:v>
                </c:pt>
                <c:pt idx="11">
                  <c:v>0.38516051454298222</c:v>
                </c:pt>
                <c:pt idx="12">
                  <c:v>0.38516051454298222</c:v>
                </c:pt>
                <c:pt idx="13">
                  <c:v>0.38516051454298222</c:v>
                </c:pt>
                <c:pt idx="14">
                  <c:v>0.38516051454298222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035584"/>
        <c:axId val="522798784"/>
      </c:lineChart>
      <c:catAx>
        <c:axId val="57203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22798784"/>
        <c:crosses val="autoZero"/>
        <c:auto val="1"/>
        <c:lblAlgn val="ctr"/>
        <c:lblOffset val="100"/>
        <c:noMultiLvlLbl val="0"/>
      </c:catAx>
      <c:valAx>
        <c:axId val="5227987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572035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'04'!$L$6:$L$20</c:f>
              <c:numCache>
                <c:formatCode>_(* #,##0_);_(* \(#,##0\);_(* "-"_);_(@_)</c:formatCode>
                <c:ptCount val="15"/>
                <c:pt idx="1">
                  <c:v>3048</c:v>
                </c:pt>
                <c:pt idx="2">
                  <c:v>5664</c:v>
                </c:pt>
                <c:pt idx="3">
                  <c:v>3855</c:v>
                </c:pt>
                <c:pt idx="5">
                  <c:v>10884</c:v>
                </c:pt>
                <c:pt idx="12">
                  <c:v>4632</c:v>
                </c:pt>
                <c:pt idx="13">
                  <c:v>5992</c:v>
                </c:pt>
                <c:pt idx="14">
                  <c:v>48744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'04'!$D$6:$D$20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'04'!$J$6:$J$20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5720</c:v>
                </c:pt>
                <c:pt idx="3">
                  <c:v>3860</c:v>
                </c:pt>
                <c:pt idx="4">
                  <c:v>2690</c:v>
                </c:pt>
                <c:pt idx="5">
                  <c:v>10890</c:v>
                </c:pt>
                <c:pt idx="6">
                  <c:v>850</c:v>
                </c:pt>
                <c:pt idx="7">
                  <c:v>221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4740</c:v>
                </c:pt>
                <c:pt idx="12">
                  <c:v>4640</c:v>
                </c:pt>
                <c:pt idx="13">
                  <c:v>6000</c:v>
                </c:pt>
                <c:pt idx="14">
                  <c:v>48750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036608"/>
        <c:axId val="522801088"/>
      </c:lineChart>
      <c:catAx>
        <c:axId val="5720366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22801088"/>
        <c:crosses val="autoZero"/>
        <c:auto val="1"/>
        <c:lblAlgn val="ctr"/>
        <c:lblOffset val="100"/>
        <c:noMultiLvlLbl val="0"/>
      </c:catAx>
      <c:valAx>
        <c:axId val="5228010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572036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'04'!$AD$6:$AD$20</c:f>
              <c:strCache>
                <c:ptCount val="1"/>
                <c:pt idx="0">
                  <c:v>0% 37% 99% 83% 0% 100% 0% 0% 0% 0% 0% 0% 92% 67%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'04'!$D$6:$D$20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'04'!$AD$6:$AD$20</c:f>
              <c:numCache>
                <c:formatCode>0%</c:formatCode>
                <c:ptCount val="15"/>
                <c:pt idx="0">
                  <c:v>0</c:v>
                </c:pt>
                <c:pt idx="1">
                  <c:v>0.37475409836065576</c:v>
                </c:pt>
                <c:pt idx="2">
                  <c:v>0.99020979020979016</c:v>
                </c:pt>
                <c:pt idx="3">
                  <c:v>0.83225388601036276</c:v>
                </c:pt>
                <c:pt idx="4">
                  <c:v>0</c:v>
                </c:pt>
                <c:pt idx="5">
                  <c:v>0.99944903581267219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0.91508620689655173</c:v>
                </c:pt>
                <c:pt idx="13">
                  <c:v>0.6657777777777778</c:v>
                </c:pt>
                <c:pt idx="14">
                  <c:v>0.99987692307692311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'04'!$D$6:$D$20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'04'!$AE$6:$AE$20</c:f>
              <c:numCache>
                <c:formatCode>0%</c:formatCode>
                <c:ptCount val="15"/>
                <c:pt idx="0">
                  <c:v>0.38516051454298222</c:v>
                </c:pt>
                <c:pt idx="1">
                  <c:v>0.38516051454298222</c:v>
                </c:pt>
                <c:pt idx="2">
                  <c:v>0.38516051454298222</c:v>
                </c:pt>
                <c:pt idx="3">
                  <c:v>0.38516051454298222</c:v>
                </c:pt>
                <c:pt idx="4">
                  <c:v>0.38516051454298222</c:v>
                </c:pt>
                <c:pt idx="5">
                  <c:v>0.38516051454298222</c:v>
                </c:pt>
                <c:pt idx="6">
                  <c:v>0.38516051454298222</c:v>
                </c:pt>
                <c:pt idx="7">
                  <c:v>0.38516051454298222</c:v>
                </c:pt>
                <c:pt idx="8">
                  <c:v>0.38516051454298222</c:v>
                </c:pt>
                <c:pt idx="9">
                  <c:v>0.38516051454298222</c:v>
                </c:pt>
                <c:pt idx="10">
                  <c:v>0.38516051454298222</c:v>
                </c:pt>
                <c:pt idx="11">
                  <c:v>0.38516051454298222</c:v>
                </c:pt>
                <c:pt idx="12">
                  <c:v>0.38516051454298222</c:v>
                </c:pt>
                <c:pt idx="13">
                  <c:v>0.38516051454298222</c:v>
                </c:pt>
                <c:pt idx="14">
                  <c:v>0.38516051454298222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037120"/>
        <c:axId val="522802816"/>
      </c:lineChart>
      <c:catAx>
        <c:axId val="57203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22802816"/>
        <c:crosses val="autoZero"/>
        <c:auto val="1"/>
        <c:lblAlgn val="ctr"/>
        <c:lblOffset val="100"/>
        <c:noMultiLvlLbl val="0"/>
      </c:catAx>
      <c:valAx>
        <c:axId val="5228028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572037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2037632"/>
        <c:axId val="52356710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037632"/>
        <c:axId val="523567104"/>
      </c:lineChart>
      <c:catAx>
        <c:axId val="572037632"/>
        <c:scaling>
          <c:orientation val="minMax"/>
        </c:scaling>
        <c:delete val="0"/>
        <c:axPos val="b"/>
        <c:majorTickMark val="out"/>
        <c:minorTickMark val="none"/>
        <c:tickLblPos val="nextTo"/>
        <c:crossAx val="523567104"/>
        <c:crosses val="autoZero"/>
        <c:auto val="1"/>
        <c:lblAlgn val="ctr"/>
        <c:lblOffset val="100"/>
        <c:noMultiLvlLbl val="0"/>
      </c:catAx>
      <c:valAx>
        <c:axId val="52356710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7203763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2">
                  <c:v>5626</c:v>
                </c:pt>
                <c:pt idx="3">
                  <c:v>4866</c:v>
                </c:pt>
                <c:pt idx="5">
                  <c:v>3366</c:v>
                </c:pt>
                <c:pt idx="12">
                  <c:v>4258</c:v>
                </c:pt>
                <c:pt idx="13">
                  <c:v>8110</c:v>
                </c:pt>
                <c:pt idx="14">
                  <c:v>47248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5630</c:v>
                </c:pt>
                <c:pt idx="3">
                  <c:v>4870</c:v>
                </c:pt>
                <c:pt idx="4">
                  <c:v>2690</c:v>
                </c:pt>
                <c:pt idx="5">
                  <c:v>3370</c:v>
                </c:pt>
                <c:pt idx="6">
                  <c:v>850</c:v>
                </c:pt>
                <c:pt idx="7">
                  <c:v>221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4740</c:v>
                </c:pt>
                <c:pt idx="12">
                  <c:v>4260</c:v>
                </c:pt>
                <c:pt idx="13">
                  <c:v>6000</c:v>
                </c:pt>
                <c:pt idx="14">
                  <c:v>47250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405632"/>
        <c:axId val="523569984"/>
      </c:lineChart>
      <c:catAx>
        <c:axId val="61440563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23569984"/>
        <c:crosses val="autoZero"/>
        <c:auto val="1"/>
        <c:lblAlgn val="ctr"/>
        <c:lblOffset val="100"/>
        <c:noMultiLvlLbl val="0"/>
      </c:catAx>
      <c:valAx>
        <c:axId val="5235699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4405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"/>
                <c:pt idx="0">
                  <c:v>0% 0% 100% 92% 0% 25% 0% 0% 0% 0% 0% 0% 92% 118%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0.99928952042628771</c:v>
                </c:pt>
                <c:pt idx="3">
                  <c:v>0.91591375770020533</c:v>
                </c:pt>
                <c:pt idx="4">
                  <c:v>0</c:v>
                </c:pt>
                <c:pt idx="5">
                  <c:v>0.2497032640949555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0.91623630672926448</c:v>
                </c:pt>
                <c:pt idx="13">
                  <c:v>1.1827083333333333</c:v>
                </c:pt>
                <c:pt idx="14">
                  <c:v>0.99995767195767193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0.35092059028278122</c:v>
                </c:pt>
                <c:pt idx="1">
                  <c:v>0.35092059028278122</c:v>
                </c:pt>
                <c:pt idx="2">
                  <c:v>0.35092059028278122</c:v>
                </c:pt>
                <c:pt idx="3">
                  <c:v>0.35092059028278122</c:v>
                </c:pt>
                <c:pt idx="4">
                  <c:v>0.35092059028278122</c:v>
                </c:pt>
                <c:pt idx="5">
                  <c:v>0.35092059028278122</c:v>
                </c:pt>
                <c:pt idx="6">
                  <c:v>0.35092059028278122</c:v>
                </c:pt>
                <c:pt idx="7">
                  <c:v>0.35092059028278122</c:v>
                </c:pt>
                <c:pt idx="8">
                  <c:v>0.35092059028278122</c:v>
                </c:pt>
                <c:pt idx="9">
                  <c:v>0.35092059028278122</c:v>
                </c:pt>
                <c:pt idx="10">
                  <c:v>0.35092059028278122</c:v>
                </c:pt>
                <c:pt idx="11">
                  <c:v>0.35092059028278122</c:v>
                </c:pt>
                <c:pt idx="12">
                  <c:v>0.35092059028278122</c:v>
                </c:pt>
                <c:pt idx="13">
                  <c:v>0.35092059028278122</c:v>
                </c:pt>
                <c:pt idx="14">
                  <c:v>0.35092059028278122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407680"/>
        <c:axId val="523571712"/>
      </c:lineChart>
      <c:catAx>
        <c:axId val="61440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23571712"/>
        <c:crosses val="autoZero"/>
        <c:auto val="1"/>
        <c:lblAlgn val="ctr"/>
        <c:lblOffset val="100"/>
        <c:noMultiLvlLbl val="0"/>
      </c:catAx>
      <c:valAx>
        <c:axId val="5235717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4407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2">
                  <c:v>5626</c:v>
                </c:pt>
                <c:pt idx="3">
                  <c:v>4866</c:v>
                </c:pt>
                <c:pt idx="5">
                  <c:v>3366</c:v>
                </c:pt>
                <c:pt idx="12">
                  <c:v>4258</c:v>
                </c:pt>
                <c:pt idx="13">
                  <c:v>8110</c:v>
                </c:pt>
                <c:pt idx="14">
                  <c:v>47248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5630</c:v>
                </c:pt>
                <c:pt idx="3">
                  <c:v>4870</c:v>
                </c:pt>
                <c:pt idx="4">
                  <c:v>2690</c:v>
                </c:pt>
                <c:pt idx="5">
                  <c:v>3370</c:v>
                </c:pt>
                <c:pt idx="6">
                  <c:v>850</c:v>
                </c:pt>
                <c:pt idx="7">
                  <c:v>221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4740</c:v>
                </c:pt>
                <c:pt idx="12">
                  <c:v>4260</c:v>
                </c:pt>
                <c:pt idx="13">
                  <c:v>6000</c:v>
                </c:pt>
                <c:pt idx="14">
                  <c:v>47250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494208"/>
        <c:axId val="523574016"/>
      </c:lineChart>
      <c:catAx>
        <c:axId val="6144942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23574016"/>
        <c:crosses val="autoZero"/>
        <c:auto val="1"/>
        <c:lblAlgn val="ctr"/>
        <c:lblOffset val="100"/>
        <c:noMultiLvlLbl val="0"/>
      </c:catAx>
      <c:valAx>
        <c:axId val="5235740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44942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"/>
                <c:pt idx="0">
                  <c:v>0% 0% 100% 92% 0% 25% 0% 0% 0% 0% 0% 0% 92% 118%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0.99928952042628771</c:v>
                </c:pt>
                <c:pt idx="3">
                  <c:v>0.91591375770020533</c:v>
                </c:pt>
                <c:pt idx="4">
                  <c:v>0</c:v>
                </c:pt>
                <c:pt idx="5">
                  <c:v>0.2497032640949555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0.91623630672926448</c:v>
                </c:pt>
                <c:pt idx="13">
                  <c:v>1.1827083333333333</c:v>
                </c:pt>
                <c:pt idx="14">
                  <c:v>0.99995767195767193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0.35092059028278122</c:v>
                </c:pt>
                <c:pt idx="1">
                  <c:v>0.35092059028278122</c:v>
                </c:pt>
                <c:pt idx="2">
                  <c:v>0.35092059028278122</c:v>
                </c:pt>
                <c:pt idx="3">
                  <c:v>0.35092059028278122</c:v>
                </c:pt>
                <c:pt idx="4">
                  <c:v>0.35092059028278122</c:v>
                </c:pt>
                <c:pt idx="5">
                  <c:v>0.35092059028278122</c:v>
                </c:pt>
                <c:pt idx="6">
                  <c:v>0.35092059028278122</c:v>
                </c:pt>
                <c:pt idx="7">
                  <c:v>0.35092059028278122</c:v>
                </c:pt>
                <c:pt idx="8">
                  <c:v>0.35092059028278122</c:v>
                </c:pt>
                <c:pt idx="9">
                  <c:v>0.35092059028278122</c:v>
                </c:pt>
                <c:pt idx="10">
                  <c:v>0.35092059028278122</c:v>
                </c:pt>
                <c:pt idx="11">
                  <c:v>0.35092059028278122</c:v>
                </c:pt>
                <c:pt idx="12">
                  <c:v>0.35092059028278122</c:v>
                </c:pt>
                <c:pt idx="13">
                  <c:v>0.35092059028278122</c:v>
                </c:pt>
                <c:pt idx="14">
                  <c:v>0.35092059028278122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495744"/>
        <c:axId val="522789440"/>
      </c:lineChart>
      <c:catAx>
        <c:axId val="61449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22789440"/>
        <c:crosses val="autoZero"/>
        <c:auto val="1"/>
        <c:lblAlgn val="ctr"/>
        <c:lblOffset val="100"/>
        <c:noMultiLvlLbl val="0"/>
      </c:catAx>
      <c:valAx>
        <c:axId val="5227894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4495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4496256"/>
        <c:axId val="52279174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496256"/>
        <c:axId val="522791744"/>
      </c:lineChart>
      <c:catAx>
        <c:axId val="614496256"/>
        <c:scaling>
          <c:orientation val="minMax"/>
        </c:scaling>
        <c:delete val="0"/>
        <c:axPos val="b"/>
        <c:majorTickMark val="out"/>
        <c:minorTickMark val="none"/>
        <c:tickLblPos val="nextTo"/>
        <c:crossAx val="522791744"/>
        <c:crosses val="autoZero"/>
        <c:auto val="1"/>
        <c:lblAlgn val="ctr"/>
        <c:lblOffset val="100"/>
        <c:noMultiLvlLbl val="0"/>
      </c:catAx>
      <c:valAx>
        <c:axId val="5227917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1449625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3">
                  <c:v>5858</c:v>
                </c:pt>
                <c:pt idx="13">
                  <c:v>4344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5630</c:v>
                </c:pt>
                <c:pt idx="3">
                  <c:v>5860</c:v>
                </c:pt>
                <c:pt idx="4">
                  <c:v>2690</c:v>
                </c:pt>
                <c:pt idx="5">
                  <c:v>3370</c:v>
                </c:pt>
                <c:pt idx="6">
                  <c:v>850</c:v>
                </c:pt>
                <c:pt idx="7">
                  <c:v>221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4740</c:v>
                </c:pt>
                <c:pt idx="12">
                  <c:v>4260</c:v>
                </c:pt>
                <c:pt idx="13">
                  <c:v>4350</c:v>
                </c:pt>
                <c:pt idx="14">
                  <c:v>47250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163392"/>
        <c:axId val="522794624"/>
      </c:lineChart>
      <c:catAx>
        <c:axId val="6151633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22794624"/>
        <c:crosses val="autoZero"/>
        <c:auto val="1"/>
        <c:lblAlgn val="ctr"/>
        <c:lblOffset val="100"/>
        <c:noMultiLvlLbl val="0"/>
      </c:catAx>
      <c:valAx>
        <c:axId val="5227946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5163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"/>
                <c:pt idx="0">
                  <c:v>0% 0% 0% 100% 0% 0% 0% 0% 0% 0% 0% 0% 0% 42%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'06'!$D$6:$D$20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0.99965870307167237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0.41609195402298849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'06'!$D$6:$D$20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9.4383377139644065E-2</c:v>
                </c:pt>
                <c:pt idx="1">
                  <c:v>9.4383377139644065E-2</c:v>
                </c:pt>
                <c:pt idx="2">
                  <c:v>9.4383377139644065E-2</c:v>
                </c:pt>
                <c:pt idx="3">
                  <c:v>9.4383377139644065E-2</c:v>
                </c:pt>
                <c:pt idx="4">
                  <c:v>9.4383377139644065E-2</c:v>
                </c:pt>
                <c:pt idx="5">
                  <c:v>9.4383377139644065E-2</c:v>
                </c:pt>
                <c:pt idx="6">
                  <c:v>9.4383377139644065E-2</c:v>
                </c:pt>
                <c:pt idx="7">
                  <c:v>9.4383377139644065E-2</c:v>
                </c:pt>
                <c:pt idx="8">
                  <c:v>9.4383377139644065E-2</c:v>
                </c:pt>
                <c:pt idx="9">
                  <c:v>9.4383377139644065E-2</c:v>
                </c:pt>
                <c:pt idx="10">
                  <c:v>9.4383377139644065E-2</c:v>
                </c:pt>
                <c:pt idx="11">
                  <c:v>9.4383377139644065E-2</c:v>
                </c:pt>
                <c:pt idx="12">
                  <c:v>9.4383377139644065E-2</c:v>
                </c:pt>
                <c:pt idx="13">
                  <c:v>9.4383377139644065E-2</c:v>
                </c:pt>
                <c:pt idx="14">
                  <c:v>9.4383377139644065E-2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165440"/>
        <c:axId val="522796352"/>
      </c:lineChart>
      <c:catAx>
        <c:axId val="615165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22796352"/>
        <c:crosses val="autoZero"/>
        <c:auto val="1"/>
        <c:lblAlgn val="ctr"/>
        <c:lblOffset val="100"/>
        <c:noMultiLvlLbl val="0"/>
      </c:catAx>
      <c:valAx>
        <c:axId val="5227963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5165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3">
                  <c:v>5858</c:v>
                </c:pt>
                <c:pt idx="13">
                  <c:v>4344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5630</c:v>
                </c:pt>
                <c:pt idx="3">
                  <c:v>5860</c:v>
                </c:pt>
                <c:pt idx="4">
                  <c:v>2690</c:v>
                </c:pt>
                <c:pt idx="5">
                  <c:v>3370</c:v>
                </c:pt>
                <c:pt idx="6">
                  <c:v>850</c:v>
                </c:pt>
                <c:pt idx="7">
                  <c:v>221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4740</c:v>
                </c:pt>
                <c:pt idx="12">
                  <c:v>4260</c:v>
                </c:pt>
                <c:pt idx="13">
                  <c:v>4350</c:v>
                </c:pt>
                <c:pt idx="14">
                  <c:v>47250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235584"/>
        <c:axId val="739845824"/>
      </c:lineChart>
      <c:catAx>
        <c:axId val="6152355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39845824"/>
        <c:crosses val="autoZero"/>
        <c:auto val="1"/>
        <c:lblAlgn val="ctr"/>
        <c:lblOffset val="100"/>
        <c:noMultiLvlLbl val="0"/>
      </c:catAx>
      <c:valAx>
        <c:axId val="7398458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15235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"/>
                <c:pt idx="0">
                  <c:v>0% 0% 0% 100% 0% 0% 0% 0% 0% 0% 0% 0% 0% 42%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'06'!$D$6:$D$20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0.99965870307167237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0.41609195402298849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'06'!$D$6:$D$20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9.4383377139644065E-2</c:v>
                </c:pt>
                <c:pt idx="1">
                  <c:v>9.4383377139644065E-2</c:v>
                </c:pt>
                <c:pt idx="2">
                  <c:v>9.4383377139644065E-2</c:v>
                </c:pt>
                <c:pt idx="3">
                  <c:v>9.4383377139644065E-2</c:v>
                </c:pt>
                <c:pt idx="4">
                  <c:v>9.4383377139644065E-2</c:v>
                </c:pt>
                <c:pt idx="5">
                  <c:v>9.4383377139644065E-2</c:v>
                </c:pt>
                <c:pt idx="6">
                  <c:v>9.4383377139644065E-2</c:v>
                </c:pt>
                <c:pt idx="7">
                  <c:v>9.4383377139644065E-2</c:v>
                </c:pt>
                <c:pt idx="8">
                  <c:v>9.4383377139644065E-2</c:v>
                </c:pt>
                <c:pt idx="9">
                  <c:v>9.4383377139644065E-2</c:v>
                </c:pt>
                <c:pt idx="10">
                  <c:v>9.4383377139644065E-2</c:v>
                </c:pt>
                <c:pt idx="11">
                  <c:v>9.4383377139644065E-2</c:v>
                </c:pt>
                <c:pt idx="12">
                  <c:v>9.4383377139644065E-2</c:v>
                </c:pt>
                <c:pt idx="13">
                  <c:v>9.4383377139644065E-2</c:v>
                </c:pt>
                <c:pt idx="14">
                  <c:v>9.4383377139644065E-2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237120"/>
        <c:axId val="739847552"/>
      </c:lineChart>
      <c:catAx>
        <c:axId val="61523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39847552"/>
        <c:crosses val="autoZero"/>
        <c:auto val="1"/>
        <c:lblAlgn val="ctr"/>
        <c:lblOffset val="100"/>
        <c:noMultiLvlLbl val="0"/>
      </c:catAx>
      <c:valAx>
        <c:axId val="7398475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5237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5237632"/>
        <c:axId val="73984985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237632"/>
        <c:axId val="739849856"/>
      </c:lineChart>
      <c:catAx>
        <c:axId val="615237632"/>
        <c:scaling>
          <c:orientation val="minMax"/>
        </c:scaling>
        <c:delete val="0"/>
        <c:axPos val="b"/>
        <c:majorTickMark val="out"/>
        <c:minorTickMark val="none"/>
        <c:tickLblPos val="nextTo"/>
        <c:crossAx val="739849856"/>
        <c:crosses val="autoZero"/>
        <c:auto val="1"/>
        <c:lblAlgn val="ctr"/>
        <c:lblOffset val="100"/>
        <c:noMultiLvlLbl val="0"/>
      </c:catAx>
      <c:valAx>
        <c:axId val="7398498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1523763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3">
                  <c:v>1278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5630</c:v>
                </c:pt>
                <c:pt idx="3">
                  <c:v>1280</c:v>
                </c:pt>
                <c:pt idx="4">
                  <c:v>2690</c:v>
                </c:pt>
                <c:pt idx="5">
                  <c:v>3370</c:v>
                </c:pt>
                <c:pt idx="6">
                  <c:v>850</c:v>
                </c:pt>
                <c:pt idx="7">
                  <c:v>221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4740</c:v>
                </c:pt>
                <c:pt idx="12">
                  <c:v>4260</c:v>
                </c:pt>
                <c:pt idx="13">
                  <c:v>4350</c:v>
                </c:pt>
                <c:pt idx="14">
                  <c:v>47250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355072"/>
        <c:axId val="740902592"/>
      </c:lineChart>
      <c:catAx>
        <c:axId val="7163550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40902592"/>
        <c:crosses val="autoZero"/>
        <c:auto val="1"/>
        <c:lblAlgn val="ctr"/>
        <c:lblOffset val="100"/>
        <c:noMultiLvlLbl val="0"/>
      </c:catAx>
      <c:valAx>
        <c:axId val="74090259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16355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"/>
                <c:pt idx="0">
                  <c:v>0% 0% 0% 29% 0% 0% 0% 0% 0% 0% 0% 0% 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'07'!$D$6:$D$20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0.29121093749999999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'07'!$D$6:$D$20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1.9414062499999999E-2</c:v>
                </c:pt>
                <c:pt idx="1">
                  <c:v>1.9414062499999999E-2</c:v>
                </c:pt>
                <c:pt idx="2">
                  <c:v>1.9414062499999999E-2</c:v>
                </c:pt>
                <c:pt idx="3">
                  <c:v>1.9414062499999999E-2</c:v>
                </c:pt>
                <c:pt idx="4">
                  <c:v>1.9414062499999999E-2</c:v>
                </c:pt>
                <c:pt idx="5">
                  <c:v>1.9414062499999999E-2</c:v>
                </c:pt>
                <c:pt idx="6">
                  <c:v>1.9414062499999999E-2</c:v>
                </c:pt>
                <c:pt idx="7">
                  <c:v>1.9414062499999999E-2</c:v>
                </c:pt>
                <c:pt idx="8">
                  <c:v>1.9414062499999999E-2</c:v>
                </c:pt>
                <c:pt idx="9">
                  <c:v>1.9414062499999999E-2</c:v>
                </c:pt>
                <c:pt idx="10">
                  <c:v>1.9414062499999999E-2</c:v>
                </c:pt>
                <c:pt idx="11">
                  <c:v>1.9414062499999999E-2</c:v>
                </c:pt>
                <c:pt idx="12">
                  <c:v>1.9414062499999999E-2</c:v>
                </c:pt>
                <c:pt idx="13">
                  <c:v>1.9414062499999999E-2</c:v>
                </c:pt>
                <c:pt idx="14">
                  <c:v>1.9414062499999999E-2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356096"/>
        <c:axId val="740904320"/>
      </c:lineChart>
      <c:catAx>
        <c:axId val="71635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40904320"/>
        <c:crosses val="autoZero"/>
        <c:auto val="1"/>
        <c:lblAlgn val="ctr"/>
        <c:lblOffset val="100"/>
        <c:noMultiLvlLbl val="0"/>
      </c:catAx>
      <c:valAx>
        <c:axId val="7409043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16356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3">
                  <c:v>1278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5630</c:v>
                </c:pt>
                <c:pt idx="3">
                  <c:v>1280</c:v>
                </c:pt>
                <c:pt idx="4">
                  <c:v>2690</c:v>
                </c:pt>
                <c:pt idx="5">
                  <c:v>3370</c:v>
                </c:pt>
                <c:pt idx="6">
                  <c:v>850</c:v>
                </c:pt>
                <c:pt idx="7">
                  <c:v>221</c:v>
                </c:pt>
                <c:pt idx="8">
                  <c:v>4790</c:v>
                </c:pt>
                <c:pt idx="9">
                  <c:v>3980</c:v>
                </c:pt>
                <c:pt idx="10">
                  <c:v>5610</c:v>
                </c:pt>
                <c:pt idx="11">
                  <c:v>4740</c:v>
                </c:pt>
                <c:pt idx="12">
                  <c:v>4260</c:v>
                </c:pt>
                <c:pt idx="13">
                  <c:v>4350</c:v>
                </c:pt>
                <c:pt idx="14">
                  <c:v>47250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357120"/>
        <c:axId val="740906624"/>
      </c:lineChart>
      <c:catAx>
        <c:axId val="7163571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40906624"/>
        <c:crosses val="autoZero"/>
        <c:auto val="1"/>
        <c:lblAlgn val="ctr"/>
        <c:lblOffset val="100"/>
        <c:noMultiLvlLbl val="0"/>
      </c:catAx>
      <c:valAx>
        <c:axId val="7409066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16357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"/>
                <c:pt idx="0">
                  <c:v>0% 0% 0% 29% 0% 0% 0% 0% 0% 0% 0% 0% 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'07'!$D$6:$D$20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0.29121093749999999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'07'!$D$6:$D$20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LEAD 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1.9414062499999999E-2</c:v>
                </c:pt>
                <c:pt idx="1">
                  <c:v>1.9414062499999999E-2</c:v>
                </c:pt>
                <c:pt idx="2">
                  <c:v>1.9414062499999999E-2</c:v>
                </c:pt>
                <c:pt idx="3">
                  <c:v>1.9414062499999999E-2</c:v>
                </c:pt>
                <c:pt idx="4">
                  <c:v>1.9414062499999999E-2</c:v>
                </c:pt>
                <c:pt idx="5">
                  <c:v>1.9414062499999999E-2</c:v>
                </c:pt>
                <c:pt idx="6">
                  <c:v>1.9414062499999999E-2</c:v>
                </c:pt>
                <c:pt idx="7">
                  <c:v>1.9414062499999999E-2</c:v>
                </c:pt>
                <c:pt idx="8">
                  <c:v>1.9414062499999999E-2</c:v>
                </c:pt>
                <c:pt idx="9">
                  <c:v>1.9414062499999999E-2</c:v>
                </c:pt>
                <c:pt idx="10">
                  <c:v>1.9414062499999999E-2</c:v>
                </c:pt>
                <c:pt idx="11">
                  <c:v>1.9414062499999999E-2</c:v>
                </c:pt>
                <c:pt idx="12">
                  <c:v>1.9414062499999999E-2</c:v>
                </c:pt>
                <c:pt idx="13">
                  <c:v>1.9414062499999999E-2</c:v>
                </c:pt>
                <c:pt idx="14">
                  <c:v>1.9414062499999999E-2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971648"/>
        <c:axId val="740908352"/>
      </c:lineChart>
      <c:catAx>
        <c:axId val="738971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40908352"/>
        <c:crosses val="autoZero"/>
        <c:auto val="1"/>
        <c:lblAlgn val="ctr"/>
        <c:lblOffset val="100"/>
        <c:noMultiLvlLbl val="0"/>
      </c:catAx>
      <c:valAx>
        <c:axId val="7409083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38971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8972160"/>
        <c:axId val="74099270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972160"/>
        <c:axId val="740992704"/>
      </c:lineChart>
      <c:catAx>
        <c:axId val="738972160"/>
        <c:scaling>
          <c:orientation val="minMax"/>
        </c:scaling>
        <c:delete val="0"/>
        <c:axPos val="b"/>
        <c:majorTickMark val="out"/>
        <c:minorTickMark val="none"/>
        <c:tickLblPos val="nextTo"/>
        <c:crossAx val="740992704"/>
        <c:crosses val="autoZero"/>
        <c:auto val="1"/>
        <c:lblAlgn val="ctr"/>
        <c:lblOffset val="100"/>
        <c:noMultiLvlLbl val="0"/>
      </c:catAx>
      <c:valAx>
        <c:axId val="74099270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3897216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2">
                  <c:v>4836</c:v>
                </c:pt>
                <c:pt idx="3">
                  <c:v>2743</c:v>
                </c:pt>
                <c:pt idx="5">
                  <c:v>3973</c:v>
                </c:pt>
                <c:pt idx="10">
                  <c:v>4312</c:v>
                </c:pt>
                <c:pt idx="12">
                  <c:v>3104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4840</c:v>
                </c:pt>
                <c:pt idx="3">
                  <c:v>2750</c:v>
                </c:pt>
                <c:pt idx="4">
                  <c:v>2690</c:v>
                </c:pt>
                <c:pt idx="5">
                  <c:v>3980</c:v>
                </c:pt>
                <c:pt idx="6">
                  <c:v>850</c:v>
                </c:pt>
                <c:pt idx="7">
                  <c:v>221</c:v>
                </c:pt>
                <c:pt idx="8">
                  <c:v>4790</c:v>
                </c:pt>
                <c:pt idx="9">
                  <c:v>3980</c:v>
                </c:pt>
                <c:pt idx="10">
                  <c:v>4320</c:v>
                </c:pt>
                <c:pt idx="11">
                  <c:v>4740</c:v>
                </c:pt>
                <c:pt idx="12">
                  <c:v>3110</c:v>
                </c:pt>
                <c:pt idx="13">
                  <c:v>4350</c:v>
                </c:pt>
                <c:pt idx="14">
                  <c:v>47250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358208"/>
        <c:axId val="740995584"/>
      </c:lineChart>
      <c:catAx>
        <c:axId val="7393582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40995584"/>
        <c:crosses val="autoZero"/>
        <c:auto val="1"/>
        <c:lblAlgn val="ctr"/>
        <c:lblOffset val="100"/>
        <c:noMultiLvlLbl val="0"/>
      </c:catAx>
      <c:valAx>
        <c:axId val="7409955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393582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"/>
                <c:pt idx="0">
                  <c:v>0% 0% 96% 62% 0% 83% 0% 0% 0% 0% 50% 0% 71%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0.95754132231404965</c:v>
                </c:pt>
                <c:pt idx="3">
                  <c:v>0.62340909090909091</c:v>
                </c:pt>
                <c:pt idx="4">
                  <c:v>0</c:v>
                </c:pt>
                <c:pt idx="5">
                  <c:v>0.83186767169179232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0.49907407407407406</c:v>
                </c:pt>
                <c:pt idx="11">
                  <c:v>0</c:v>
                </c:pt>
                <c:pt idx="12">
                  <c:v>0.70696677384780282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0.24125726218912066</c:v>
                </c:pt>
                <c:pt idx="1">
                  <c:v>0.24125726218912066</c:v>
                </c:pt>
                <c:pt idx="2">
                  <c:v>0.24125726218912066</c:v>
                </c:pt>
                <c:pt idx="3">
                  <c:v>0.24125726218912066</c:v>
                </c:pt>
                <c:pt idx="4">
                  <c:v>0.24125726218912066</c:v>
                </c:pt>
                <c:pt idx="5">
                  <c:v>0.24125726218912066</c:v>
                </c:pt>
                <c:pt idx="6">
                  <c:v>0.24125726218912066</c:v>
                </c:pt>
                <c:pt idx="7">
                  <c:v>0.24125726218912066</c:v>
                </c:pt>
                <c:pt idx="8">
                  <c:v>0.24125726218912066</c:v>
                </c:pt>
                <c:pt idx="9">
                  <c:v>0.24125726218912066</c:v>
                </c:pt>
                <c:pt idx="10">
                  <c:v>0.24125726218912066</c:v>
                </c:pt>
                <c:pt idx="11">
                  <c:v>0.24125726218912066</c:v>
                </c:pt>
                <c:pt idx="12">
                  <c:v>0.24125726218912066</c:v>
                </c:pt>
                <c:pt idx="13">
                  <c:v>0.24125726218912066</c:v>
                </c:pt>
                <c:pt idx="14">
                  <c:v>0.24125726218912066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359232"/>
        <c:axId val="740997312"/>
      </c:lineChart>
      <c:catAx>
        <c:axId val="739359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40997312"/>
        <c:crosses val="autoZero"/>
        <c:auto val="1"/>
        <c:lblAlgn val="ctr"/>
        <c:lblOffset val="100"/>
        <c:noMultiLvlLbl val="0"/>
      </c:catAx>
      <c:valAx>
        <c:axId val="7409973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39359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2">
                  <c:v>4836</c:v>
                </c:pt>
                <c:pt idx="3">
                  <c:v>2743</c:v>
                </c:pt>
                <c:pt idx="5">
                  <c:v>3973</c:v>
                </c:pt>
                <c:pt idx="10">
                  <c:v>4312</c:v>
                </c:pt>
                <c:pt idx="12">
                  <c:v>3104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4840</c:v>
                </c:pt>
                <c:pt idx="3">
                  <c:v>2750</c:v>
                </c:pt>
                <c:pt idx="4">
                  <c:v>2690</c:v>
                </c:pt>
                <c:pt idx="5">
                  <c:v>3980</c:v>
                </c:pt>
                <c:pt idx="6">
                  <c:v>850</c:v>
                </c:pt>
                <c:pt idx="7">
                  <c:v>221</c:v>
                </c:pt>
                <c:pt idx="8">
                  <c:v>4790</c:v>
                </c:pt>
                <c:pt idx="9">
                  <c:v>3980</c:v>
                </c:pt>
                <c:pt idx="10">
                  <c:v>4320</c:v>
                </c:pt>
                <c:pt idx="11">
                  <c:v>4740</c:v>
                </c:pt>
                <c:pt idx="12">
                  <c:v>3110</c:v>
                </c:pt>
                <c:pt idx="13">
                  <c:v>4350</c:v>
                </c:pt>
                <c:pt idx="14">
                  <c:v>47250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360256"/>
        <c:axId val="523641408"/>
      </c:lineChart>
      <c:catAx>
        <c:axId val="7393602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23641408"/>
        <c:crosses val="autoZero"/>
        <c:auto val="1"/>
        <c:lblAlgn val="ctr"/>
        <c:lblOffset val="100"/>
        <c:noMultiLvlLbl val="0"/>
      </c:catAx>
      <c:valAx>
        <c:axId val="5236414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39360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"/>
                <c:pt idx="0">
                  <c:v>0% 0% 96% 62% 0% 83% 0% 0% 0% 0% 50% 0% 71%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0.95754132231404965</c:v>
                </c:pt>
                <c:pt idx="3">
                  <c:v>0.62340909090909091</c:v>
                </c:pt>
                <c:pt idx="4">
                  <c:v>0</c:v>
                </c:pt>
                <c:pt idx="5">
                  <c:v>0.83186767169179232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0.49907407407407406</c:v>
                </c:pt>
                <c:pt idx="11">
                  <c:v>0</c:v>
                </c:pt>
                <c:pt idx="12">
                  <c:v>0.70696677384780282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COVER</c:v>
                </c:pt>
                <c:pt idx="9">
                  <c:v>SAM</c:v>
                </c:pt>
                <c:pt idx="10">
                  <c:v>GUIDE</c:v>
                </c:pt>
                <c:pt idx="11">
                  <c:v>LEAD IN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0.24125726218912066</c:v>
                </c:pt>
                <c:pt idx="1">
                  <c:v>0.24125726218912066</c:v>
                </c:pt>
                <c:pt idx="2">
                  <c:v>0.24125726218912066</c:v>
                </c:pt>
                <c:pt idx="3">
                  <c:v>0.24125726218912066</c:v>
                </c:pt>
                <c:pt idx="4">
                  <c:v>0.24125726218912066</c:v>
                </c:pt>
                <c:pt idx="5">
                  <c:v>0.24125726218912066</c:v>
                </c:pt>
                <c:pt idx="6">
                  <c:v>0.24125726218912066</c:v>
                </c:pt>
                <c:pt idx="7">
                  <c:v>0.24125726218912066</c:v>
                </c:pt>
                <c:pt idx="8">
                  <c:v>0.24125726218912066</c:v>
                </c:pt>
                <c:pt idx="9">
                  <c:v>0.24125726218912066</c:v>
                </c:pt>
                <c:pt idx="10">
                  <c:v>0.24125726218912066</c:v>
                </c:pt>
                <c:pt idx="11">
                  <c:v>0.24125726218912066</c:v>
                </c:pt>
                <c:pt idx="12">
                  <c:v>0.24125726218912066</c:v>
                </c:pt>
                <c:pt idx="13">
                  <c:v>0.24125726218912066</c:v>
                </c:pt>
                <c:pt idx="14">
                  <c:v>0.24125726218912066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549184"/>
        <c:axId val="523643136"/>
      </c:lineChart>
      <c:catAx>
        <c:axId val="739549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23643136"/>
        <c:crosses val="autoZero"/>
        <c:auto val="1"/>
        <c:lblAlgn val="ctr"/>
        <c:lblOffset val="100"/>
        <c:noMultiLvlLbl val="0"/>
      </c:catAx>
      <c:valAx>
        <c:axId val="5236431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39549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9549696"/>
        <c:axId val="52364544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549696"/>
        <c:axId val="523645440"/>
      </c:lineChart>
      <c:catAx>
        <c:axId val="739549696"/>
        <c:scaling>
          <c:orientation val="minMax"/>
        </c:scaling>
        <c:delete val="0"/>
        <c:axPos val="b"/>
        <c:majorTickMark val="out"/>
        <c:minorTickMark val="none"/>
        <c:tickLblPos val="nextTo"/>
        <c:crossAx val="523645440"/>
        <c:crosses val="autoZero"/>
        <c:auto val="1"/>
        <c:lblAlgn val="ctr"/>
        <c:lblOffset val="100"/>
        <c:noMultiLvlLbl val="0"/>
      </c:catAx>
      <c:valAx>
        <c:axId val="5236454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3954969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STOPPER</c:v>
                </c:pt>
                <c:pt idx="8">
                  <c:v>COVER</c:v>
                </c:pt>
                <c:pt idx="9">
                  <c:v>ADAPTER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2">
                  <c:v>5571</c:v>
                </c:pt>
                <c:pt idx="5">
                  <c:v>5965</c:v>
                </c:pt>
                <c:pt idx="6">
                  <c:v>2316</c:v>
                </c:pt>
                <c:pt idx="9">
                  <c:v>300</c:v>
                </c:pt>
                <c:pt idx="10">
                  <c:v>340</c:v>
                </c:pt>
                <c:pt idx="11">
                  <c:v>3793</c:v>
                </c:pt>
                <c:pt idx="12">
                  <c:v>3739</c:v>
                </c:pt>
                <c:pt idx="13">
                  <c:v>2109</c:v>
                </c:pt>
                <c:pt idx="15">
                  <c:v>42812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STOPPER</c:v>
                </c:pt>
                <c:pt idx="8">
                  <c:v>COVER</c:v>
                </c:pt>
                <c:pt idx="9">
                  <c:v>ADAPTER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6140</c:v>
                </c:pt>
                <c:pt idx="1">
                  <c:v>3050</c:v>
                </c:pt>
                <c:pt idx="2">
                  <c:v>5571</c:v>
                </c:pt>
                <c:pt idx="3">
                  <c:v>2750</c:v>
                </c:pt>
                <c:pt idx="4">
                  <c:v>2690</c:v>
                </c:pt>
                <c:pt idx="5">
                  <c:v>5970</c:v>
                </c:pt>
                <c:pt idx="6">
                  <c:v>2320</c:v>
                </c:pt>
                <c:pt idx="7">
                  <c:v>221</c:v>
                </c:pt>
                <c:pt idx="8">
                  <c:v>4790</c:v>
                </c:pt>
                <c:pt idx="9">
                  <c:v>300</c:v>
                </c:pt>
                <c:pt idx="10">
                  <c:v>340</c:v>
                </c:pt>
                <c:pt idx="11">
                  <c:v>3800</c:v>
                </c:pt>
                <c:pt idx="12">
                  <c:v>3740</c:v>
                </c:pt>
                <c:pt idx="13">
                  <c:v>2110</c:v>
                </c:pt>
                <c:pt idx="14">
                  <c:v>4350</c:v>
                </c:pt>
                <c:pt idx="15">
                  <c:v>47250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683840"/>
        <c:axId val="523648320"/>
      </c:lineChart>
      <c:catAx>
        <c:axId val="7396838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23648320"/>
        <c:crosses val="autoZero"/>
        <c:auto val="1"/>
        <c:lblAlgn val="ctr"/>
        <c:lblOffset val="100"/>
        <c:noMultiLvlLbl val="0"/>
      </c:catAx>
      <c:valAx>
        <c:axId val="5236483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3968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"/>
                <c:pt idx="0">
                  <c:v>0% 0% 100% 0% 0% 100% 67% 0% 0% 17% 17% 79% 75% 50% 0% 83%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STOPPER</c:v>
                </c:pt>
                <c:pt idx="8">
                  <c:v>COVER</c:v>
                </c:pt>
                <c:pt idx="9">
                  <c:v>ADAPTER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0.99916247906197653</c:v>
                </c:pt>
                <c:pt idx="6">
                  <c:v>0.66551724137931034</c:v>
                </c:pt>
                <c:pt idx="7">
                  <c:v>0</c:v>
                </c:pt>
                <c:pt idx="8">
                  <c:v>0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0.79020833333333329</c:v>
                </c:pt>
                <c:pt idx="12">
                  <c:v>0.74979946524064167</c:v>
                </c:pt>
                <c:pt idx="13">
                  <c:v>0.49976303317535548</c:v>
                </c:pt>
                <c:pt idx="14">
                  <c:v>0</c:v>
                </c:pt>
                <c:pt idx="15">
                  <c:v>0.83056790123456781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STOPPER</c:v>
                </c:pt>
                <c:pt idx="8">
                  <c:v>COVER</c:v>
                </c:pt>
                <c:pt idx="9">
                  <c:v>ADAPTER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0.39122345245056789</c:v>
                </c:pt>
                <c:pt idx="1">
                  <c:v>0.39122345245056789</c:v>
                </c:pt>
                <c:pt idx="2">
                  <c:v>0.39122345245056789</c:v>
                </c:pt>
                <c:pt idx="3">
                  <c:v>0.39122345245056789</c:v>
                </c:pt>
                <c:pt idx="4">
                  <c:v>0.39122345245056789</c:v>
                </c:pt>
                <c:pt idx="5">
                  <c:v>0.39122345245056789</c:v>
                </c:pt>
                <c:pt idx="6">
                  <c:v>0.39122345245056789</c:v>
                </c:pt>
                <c:pt idx="7">
                  <c:v>0.39122345245056789</c:v>
                </c:pt>
                <c:pt idx="8">
                  <c:v>0.39122345245056789</c:v>
                </c:pt>
                <c:pt idx="9">
                  <c:v>0.39122345245056789</c:v>
                </c:pt>
                <c:pt idx="10">
                  <c:v>0.39122345245056789</c:v>
                </c:pt>
                <c:pt idx="11">
                  <c:v>0.39122345245056789</c:v>
                </c:pt>
                <c:pt idx="12">
                  <c:v>0.39122345245056789</c:v>
                </c:pt>
                <c:pt idx="13">
                  <c:v>0.39122345245056789</c:v>
                </c:pt>
                <c:pt idx="14">
                  <c:v>0.39122345245056789</c:v>
                </c:pt>
                <c:pt idx="15">
                  <c:v>0.39122345245056789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685888"/>
        <c:axId val="523732096"/>
      </c:lineChart>
      <c:catAx>
        <c:axId val="73968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23732096"/>
        <c:crosses val="autoZero"/>
        <c:auto val="1"/>
        <c:lblAlgn val="ctr"/>
        <c:lblOffset val="100"/>
        <c:noMultiLvlLbl val="0"/>
      </c:catAx>
      <c:valAx>
        <c:axId val="5237320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39685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STOPPER</c:v>
                </c:pt>
                <c:pt idx="8">
                  <c:v>COVER</c:v>
                </c:pt>
                <c:pt idx="9">
                  <c:v>ADAPTER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2">
                  <c:v>5571</c:v>
                </c:pt>
                <c:pt idx="5">
                  <c:v>5965</c:v>
                </c:pt>
                <c:pt idx="6">
                  <c:v>2316</c:v>
                </c:pt>
                <c:pt idx="9">
                  <c:v>300</c:v>
                </c:pt>
                <c:pt idx="10">
                  <c:v>340</c:v>
                </c:pt>
                <c:pt idx="11">
                  <c:v>3793</c:v>
                </c:pt>
                <c:pt idx="12">
                  <c:v>3739</c:v>
                </c:pt>
                <c:pt idx="13">
                  <c:v>2109</c:v>
                </c:pt>
                <c:pt idx="15">
                  <c:v>42812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STOPPER</c:v>
                </c:pt>
                <c:pt idx="8">
                  <c:v>COVER</c:v>
                </c:pt>
                <c:pt idx="9">
                  <c:v>ADAPTER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6140</c:v>
                </c:pt>
                <c:pt idx="1">
                  <c:v>3050</c:v>
                </c:pt>
                <c:pt idx="2">
                  <c:v>5571</c:v>
                </c:pt>
                <c:pt idx="3">
                  <c:v>2750</c:v>
                </c:pt>
                <c:pt idx="4">
                  <c:v>2690</c:v>
                </c:pt>
                <c:pt idx="5">
                  <c:v>5970</c:v>
                </c:pt>
                <c:pt idx="6">
                  <c:v>2320</c:v>
                </c:pt>
                <c:pt idx="7">
                  <c:v>221</c:v>
                </c:pt>
                <c:pt idx="8">
                  <c:v>4790</c:v>
                </c:pt>
                <c:pt idx="9">
                  <c:v>300</c:v>
                </c:pt>
                <c:pt idx="10">
                  <c:v>340</c:v>
                </c:pt>
                <c:pt idx="11">
                  <c:v>3800</c:v>
                </c:pt>
                <c:pt idx="12">
                  <c:v>3740</c:v>
                </c:pt>
                <c:pt idx="13">
                  <c:v>2110</c:v>
                </c:pt>
                <c:pt idx="14">
                  <c:v>4350</c:v>
                </c:pt>
                <c:pt idx="15">
                  <c:v>47250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686400"/>
        <c:axId val="523734400"/>
      </c:lineChart>
      <c:catAx>
        <c:axId val="7396864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23734400"/>
        <c:crosses val="autoZero"/>
        <c:auto val="1"/>
        <c:lblAlgn val="ctr"/>
        <c:lblOffset val="100"/>
        <c:noMultiLvlLbl val="0"/>
      </c:catAx>
      <c:valAx>
        <c:axId val="5237344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39686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"/>
                <c:pt idx="0">
                  <c:v>0% 0% 100% 0% 0% 100% 67% 0% 0% 17% 17% 79% 75% 50% 0% 83%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STOPPER</c:v>
                </c:pt>
                <c:pt idx="8">
                  <c:v>COVER</c:v>
                </c:pt>
                <c:pt idx="9">
                  <c:v>ADAPTER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0.99916247906197653</c:v>
                </c:pt>
                <c:pt idx="6">
                  <c:v>0.66551724137931034</c:v>
                </c:pt>
                <c:pt idx="7">
                  <c:v>0</c:v>
                </c:pt>
                <c:pt idx="8">
                  <c:v>0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0.79020833333333329</c:v>
                </c:pt>
                <c:pt idx="12">
                  <c:v>0.74979946524064167</c:v>
                </c:pt>
                <c:pt idx="13">
                  <c:v>0.49976303317535548</c:v>
                </c:pt>
                <c:pt idx="14">
                  <c:v>0</c:v>
                </c:pt>
                <c:pt idx="15">
                  <c:v>0.83056790123456781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STOPPER</c:v>
                </c:pt>
                <c:pt idx="8">
                  <c:v>COVER</c:v>
                </c:pt>
                <c:pt idx="9">
                  <c:v>ADAPTER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0.39122345245056789</c:v>
                </c:pt>
                <c:pt idx="1">
                  <c:v>0.39122345245056789</c:v>
                </c:pt>
                <c:pt idx="2">
                  <c:v>0.39122345245056789</c:v>
                </c:pt>
                <c:pt idx="3">
                  <c:v>0.39122345245056789</c:v>
                </c:pt>
                <c:pt idx="4">
                  <c:v>0.39122345245056789</c:v>
                </c:pt>
                <c:pt idx="5">
                  <c:v>0.39122345245056789</c:v>
                </c:pt>
                <c:pt idx="6">
                  <c:v>0.39122345245056789</c:v>
                </c:pt>
                <c:pt idx="7">
                  <c:v>0.39122345245056789</c:v>
                </c:pt>
                <c:pt idx="8">
                  <c:v>0.39122345245056789</c:v>
                </c:pt>
                <c:pt idx="9">
                  <c:v>0.39122345245056789</c:v>
                </c:pt>
                <c:pt idx="10">
                  <c:v>0.39122345245056789</c:v>
                </c:pt>
                <c:pt idx="11">
                  <c:v>0.39122345245056789</c:v>
                </c:pt>
                <c:pt idx="12">
                  <c:v>0.39122345245056789</c:v>
                </c:pt>
                <c:pt idx="13">
                  <c:v>0.39122345245056789</c:v>
                </c:pt>
                <c:pt idx="14">
                  <c:v>0.39122345245056789</c:v>
                </c:pt>
                <c:pt idx="15">
                  <c:v>0.39122345245056789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687936"/>
        <c:axId val="523736128"/>
      </c:lineChart>
      <c:catAx>
        <c:axId val="739687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23736128"/>
        <c:crosses val="autoZero"/>
        <c:auto val="1"/>
        <c:lblAlgn val="ctr"/>
        <c:lblOffset val="100"/>
        <c:noMultiLvlLbl val="0"/>
      </c:catAx>
      <c:valAx>
        <c:axId val="5237361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39687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0052992"/>
        <c:axId val="52373843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052992"/>
        <c:axId val="523738432"/>
      </c:lineChart>
      <c:catAx>
        <c:axId val="740052992"/>
        <c:scaling>
          <c:orientation val="minMax"/>
        </c:scaling>
        <c:delete val="0"/>
        <c:axPos val="b"/>
        <c:majorTickMark val="out"/>
        <c:minorTickMark val="none"/>
        <c:tickLblPos val="nextTo"/>
        <c:crossAx val="523738432"/>
        <c:crosses val="autoZero"/>
        <c:auto val="1"/>
        <c:lblAlgn val="ctr"/>
        <c:lblOffset val="100"/>
        <c:noMultiLvlLbl val="0"/>
      </c:catAx>
      <c:valAx>
        <c:axId val="5237384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4005299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SPACER 1,2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BODY</c:v>
                </c:pt>
                <c:pt idx="8">
                  <c:v>BODY</c:v>
                </c:pt>
                <c:pt idx="9">
                  <c:v>COVER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2">
                  <c:v>1344</c:v>
                </c:pt>
                <c:pt idx="3">
                  <c:v>3811</c:v>
                </c:pt>
                <c:pt idx="5">
                  <c:v>4056</c:v>
                </c:pt>
                <c:pt idx="6">
                  <c:v>4763</c:v>
                </c:pt>
                <c:pt idx="8">
                  <c:v>2220</c:v>
                </c:pt>
                <c:pt idx="11">
                  <c:v>3239</c:v>
                </c:pt>
                <c:pt idx="12">
                  <c:v>4348</c:v>
                </c:pt>
                <c:pt idx="13">
                  <c:v>2902</c:v>
                </c:pt>
                <c:pt idx="15">
                  <c:v>51888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SPACER 1,2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BODY</c:v>
                </c:pt>
                <c:pt idx="8">
                  <c:v>BODY</c:v>
                </c:pt>
                <c:pt idx="9">
                  <c:v>COVER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6140</c:v>
                </c:pt>
                <c:pt idx="1">
                  <c:v>3050</c:v>
                </c:pt>
                <c:pt idx="2">
                  <c:v>1350</c:v>
                </c:pt>
                <c:pt idx="3">
                  <c:v>3820</c:v>
                </c:pt>
                <c:pt idx="4">
                  <c:v>2750</c:v>
                </c:pt>
                <c:pt idx="5">
                  <c:v>4060</c:v>
                </c:pt>
                <c:pt idx="6">
                  <c:v>4770</c:v>
                </c:pt>
                <c:pt idx="7">
                  <c:v>2320</c:v>
                </c:pt>
                <c:pt idx="8">
                  <c:v>2220</c:v>
                </c:pt>
                <c:pt idx="9">
                  <c:v>4790</c:v>
                </c:pt>
                <c:pt idx="10">
                  <c:v>300</c:v>
                </c:pt>
                <c:pt idx="11">
                  <c:v>3240</c:v>
                </c:pt>
                <c:pt idx="12">
                  <c:v>4350</c:v>
                </c:pt>
                <c:pt idx="13">
                  <c:v>2910</c:v>
                </c:pt>
                <c:pt idx="14">
                  <c:v>4350</c:v>
                </c:pt>
                <c:pt idx="15">
                  <c:v>51890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237312"/>
        <c:axId val="509741312"/>
      </c:lineChart>
      <c:catAx>
        <c:axId val="74023731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09741312"/>
        <c:crosses val="autoZero"/>
        <c:auto val="1"/>
        <c:lblAlgn val="ctr"/>
        <c:lblOffset val="100"/>
        <c:noMultiLvlLbl val="0"/>
      </c:catAx>
      <c:valAx>
        <c:axId val="5097413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0237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"/>
                <c:pt idx="0">
                  <c:v>0% 0% 25% 75% 0% 25% 87% 0% 58% 0% 0% 75% 83% 71%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SPACER 1,2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BODY</c:v>
                </c:pt>
                <c:pt idx="8">
                  <c:v>BODY</c:v>
                </c:pt>
                <c:pt idx="9">
                  <c:v>COVER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0.24888888888888888</c:v>
                </c:pt>
                <c:pt idx="3">
                  <c:v>0.74823298429319374</c:v>
                </c:pt>
                <c:pt idx="4">
                  <c:v>0</c:v>
                </c:pt>
                <c:pt idx="5">
                  <c:v>0.2497536945812808</c:v>
                </c:pt>
                <c:pt idx="6">
                  <c:v>0.87371593291404603</c:v>
                </c:pt>
                <c:pt idx="7">
                  <c:v>0</c:v>
                </c:pt>
                <c:pt idx="8">
                  <c:v>0.58333333333333337</c:v>
                </c:pt>
                <c:pt idx="9">
                  <c:v>0</c:v>
                </c:pt>
                <c:pt idx="10">
                  <c:v>0</c:v>
                </c:pt>
                <c:pt idx="11">
                  <c:v>0.74976851851851856</c:v>
                </c:pt>
                <c:pt idx="12">
                  <c:v>0.83295019157088124</c:v>
                </c:pt>
                <c:pt idx="13">
                  <c:v>0.70638602520045823</c:v>
                </c:pt>
                <c:pt idx="14">
                  <c:v>0</c:v>
                </c:pt>
                <c:pt idx="15">
                  <c:v>0.99996145692811722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SPACER 1,2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BODY</c:v>
                </c:pt>
                <c:pt idx="8">
                  <c:v>BODY</c:v>
                </c:pt>
                <c:pt idx="9">
                  <c:v>COVER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0.3995327350819145</c:v>
                </c:pt>
                <c:pt idx="1">
                  <c:v>0.3995327350819145</c:v>
                </c:pt>
                <c:pt idx="2">
                  <c:v>0.3995327350819145</c:v>
                </c:pt>
                <c:pt idx="3">
                  <c:v>0.3995327350819145</c:v>
                </c:pt>
                <c:pt idx="4">
                  <c:v>0.3995327350819145</c:v>
                </c:pt>
                <c:pt idx="5">
                  <c:v>0.3995327350819145</c:v>
                </c:pt>
                <c:pt idx="6">
                  <c:v>0.3995327350819145</c:v>
                </c:pt>
                <c:pt idx="7">
                  <c:v>0.3995327350819145</c:v>
                </c:pt>
                <c:pt idx="8">
                  <c:v>0.3995327350819145</c:v>
                </c:pt>
                <c:pt idx="9">
                  <c:v>0.3995327350819145</c:v>
                </c:pt>
                <c:pt idx="10">
                  <c:v>0.3995327350819145</c:v>
                </c:pt>
                <c:pt idx="11">
                  <c:v>0.3995327350819145</c:v>
                </c:pt>
                <c:pt idx="12">
                  <c:v>0.3995327350819145</c:v>
                </c:pt>
                <c:pt idx="13">
                  <c:v>0.3995327350819145</c:v>
                </c:pt>
                <c:pt idx="14">
                  <c:v>0.3995327350819145</c:v>
                </c:pt>
                <c:pt idx="15">
                  <c:v>0.3995327350819145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238848"/>
        <c:axId val="509743040"/>
      </c:lineChart>
      <c:catAx>
        <c:axId val="74023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09743040"/>
        <c:crosses val="autoZero"/>
        <c:auto val="1"/>
        <c:lblAlgn val="ctr"/>
        <c:lblOffset val="100"/>
        <c:noMultiLvlLbl val="0"/>
      </c:catAx>
      <c:valAx>
        <c:axId val="5097430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0238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SPACER 1,2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BODY</c:v>
                </c:pt>
                <c:pt idx="8">
                  <c:v>BODY</c:v>
                </c:pt>
                <c:pt idx="9">
                  <c:v>COVER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2">
                  <c:v>1344</c:v>
                </c:pt>
                <c:pt idx="3">
                  <c:v>3811</c:v>
                </c:pt>
                <c:pt idx="5">
                  <c:v>4056</c:v>
                </c:pt>
                <c:pt idx="6">
                  <c:v>4763</c:v>
                </c:pt>
                <c:pt idx="8">
                  <c:v>2220</c:v>
                </c:pt>
                <c:pt idx="11">
                  <c:v>3239</c:v>
                </c:pt>
                <c:pt idx="12">
                  <c:v>4348</c:v>
                </c:pt>
                <c:pt idx="13">
                  <c:v>2902</c:v>
                </c:pt>
                <c:pt idx="15">
                  <c:v>51888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SPACER 1,2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BODY</c:v>
                </c:pt>
                <c:pt idx="8">
                  <c:v>BODY</c:v>
                </c:pt>
                <c:pt idx="9">
                  <c:v>COVER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6140</c:v>
                </c:pt>
                <c:pt idx="1">
                  <c:v>3050</c:v>
                </c:pt>
                <c:pt idx="2">
                  <c:v>1350</c:v>
                </c:pt>
                <c:pt idx="3">
                  <c:v>3820</c:v>
                </c:pt>
                <c:pt idx="4">
                  <c:v>2750</c:v>
                </c:pt>
                <c:pt idx="5">
                  <c:v>4060</c:v>
                </c:pt>
                <c:pt idx="6">
                  <c:v>4770</c:v>
                </c:pt>
                <c:pt idx="7">
                  <c:v>2320</c:v>
                </c:pt>
                <c:pt idx="8">
                  <c:v>2220</c:v>
                </c:pt>
                <c:pt idx="9">
                  <c:v>4790</c:v>
                </c:pt>
                <c:pt idx="10">
                  <c:v>300</c:v>
                </c:pt>
                <c:pt idx="11">
                  <c:v>3240</c:v>
                </c:pt>
                <c:pt idx="12">
                  <c:v>4350</c:v>
                </c:pt>
                <c:pt idx="13">
                  <c:v>2910</c:v>
                </c:pt>
                <c:pt idx="14">
                  <c:v>4350</c:v>
                </c:pt>
                <c:pt idx="15">
                  <c:v>51890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239360"/>
        <c:axId val="509745344"/>
      </c:lineChart>
      <c:catAx>
        <c:axId val="74023936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09745344"/>
        <c:crosses val="autoZero"/>
        <c:auto val="1"/>
        <c:lblAlgn val="ctr"/>
        <c:lblOffset val="100"/>
        <c:noMultiLvlLbl val="0"/>
      </c:catAx>
      <c:valAx>
        <c:axId val="5097453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02393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"/>
                <c:pt idx="0">
                  <c:v>0% 0% 25% 75% 0% 25% 87% 0% 58% 0% 0% 75% 83% 71%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SPACER 1,2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BODY</c:v>
                </c:pt>
                <c:pt idx="8">
                  <c:v>BODY</c:v>
                </c:pt>
                <c:pt idx="9">
                  <c:v>COVER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0.24888888888888888</c:v>
                </c:pt>
                <c:pt idx="3">
                  <c:v>0.74823298429319374</c:v>
                </c:pt>
                <c:pt idx="4">
                  <c:v>0</c:v>
                </c:pt>
                <c:pt idx="5">
                  <c:v>0.2497536945812808</c:v>
                </c:pt>
                <c:pt idx="6">
                  <c:v>0.87371593291404603</c:v>
                </c:pt>
                <c:pt idx="7">
                  <c:v>0</c:v>
                </c:pt>
                <c:pt idx="8">
                  <c:v>0.58333333333333337</c:v>
                </c:pt>
                <c:pt idx="9">
                  <c:v>0</c:v>
                </c:pt>
                <c:pt idx="10">
                  <c:v>0</c:v>
                </c:pt>
                <c:pt idx="11">
                  <c:v>0.74976851851851856</c:v>
                </c:pt>
                <c:pt idx="12">
                  <c:v>0.83295019157088124</c:v>
                </c:pt>
                <c:pt idx="13">
                  <c:v>0.70638602520045823</c:v>
                </c:pt>
                <c:pt idx="14">
                  <c:v>0</c:v>
                </c:pt>
                <c:pt idx="15">
                  <c:v>0.99996145692811722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'10'!$D$6:$D$21</c:f>
              <c:strCache>
                <c:ptCount val="15"/>
                <c:pt idx="0">
                  <c:v>CASE</c:v>
                </c:pt>
                <c:pt idx="1">
                  <c:v>LATCH</c:v>
                </c:pt>
                <c:pt idx="2">
                  <c:v>STOPPER</c:v>
                </c:pt>
                <c:pt idx="3">
                  <c:v>SPACER 1,2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BODY</c:v>
                </c:pt>
                <c:pt idx="8">
                  <c:v>BODY</c:v>
                </c:pt>
                <c:pt idx="9">
                  <c:v>COVER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0.3995327350819145</c:v>
                </c:pt>
                <c:pt idx="1">
                  <c:v>0.3995327350819145</c:v>
                </c:pt>
                <c:pt idx="2">
                  <c:v>0.3995327350819145</c:v>
                </c:pt>
                <c:pt idx="3">
                  <c:v>0.3995327350819145</c:v>
                </c:pt>
                <c:pt idx="4">
                  <c:v>0.3995327350819145</c:v>
                </c:pt>
                <c:pt idx="5">
                  <c:v>0.3995327350819145</c:v>
                </c:pt>
                <c:pt idx="6">
                  <c:v>0.3995327350819145</c:v>
                </c:pt>
                <c:pt idx="7">
                  <c:v>0.3995327350819145</c:v>
                </c:pt>
                <c:pt idx="8">
                  <c:v>0.3995327350819145</c:v>
                </c:pt>
                <c:pt idx="9">
                  <c:v>0.3995327350819145</c:v>
                </c:pt>
                <c:pt idx="10">
                  <c:v>0.3995327350819145</c:v>
                </c:pt>
                <c:pt idx="11">
                  <c:v>0.3995327350819145</c:v>
                </c:pt>
                <c:pt idx="12">
                  <c:v>0.3995327350819145</c:v>
                </c:pt>
                <c:pt idx="13">
                  <c:v>0.3995327350819145</c:v>
                </c:pt>
                <c:pt idx="14">
                  <c:v>0.3995327350819145</c:v>
                </c:pt>
                <c:pt idx="15">
                  <c:v>0.3995327350819145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240896"/>
        <c:axId val="509829120"/>
      </c:lineChart>
      <c:catAx>
        <c:axId val="740240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09829120"/>
        <c:crosses val="autoZero"/>
        <c:auto val="1"/>
        <c:lblAlgn val="ctr"/>
        <c:lblOffset val="100"/>
        <c:noMultiLvlLbl val="0"/>
      </c:catAx>
      <c:valAx>
        <c:axId val="5098291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0240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0422656"/>
        <c:axId val="5098314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422656"/>
        <c:axId val="509831424"/>
      </c:lineChart>
      <c:catAx>
        <c:axId val="740422656"/>
        <c:scaling>
          <c:orientation val="minMax"/>
        </c:scaling>
        <c:delete val="0"/>
        <c:axPos val="b"/>
        <c:majorTickMark val="out"/>
        <c:minorTickMark val="none"/>
        <c:tickLblPos val="nextTo"/>
        <c:crossAx val="509831424"/>
        <c:crosses val="autoZero"/>
        <c:auto val="1"/>
        <c:lblAlgn val="ctr"/>
        <c:lblOffset val="100"/>
        <c:noMultiLvlLbl val="0"/>
      </c:catAx>
      <c:valAx>
        <c:axId val="5098314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4042265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2">
                  <c:v>7483</c:v>
                </c:pt>
                <c:pt idx="5">
                  <c:v>6085</c:v>
                </c:pt>
                <c:pt idx="7">
                  <c:v>5017</c:v>
                </c:pt>
                <c:pt idx="10">
                  <c:v>5431</c:v>
                </c:pt>
                <c:pt idx="11">
                  <c:v>4721</c:v>
                </c:pt>
                <c:pt idx="12">
                  <c:v>3658</c:v>
                </c:pt>
                <c:pt idx="14">
                  <c:v>32020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7490</c:v>
                </c:pt>
                <c:pt idx="3">
                  <c:v>2750</c:v>
                </c:pt>
                <c:pt idx="4">
                  <c:v>4060</c:v>
                </c:pt>
                <c:pt idx="5">
                  <c:v>6090</c:v>
                </c:pt>
                <c:pt idx="6">
                  <c:v>2320</c:v>
                </c:pt>
                <c:pt idx="7">
                  <c:v>5020</c:v>
                </c:pt>
                <c:pt idx="8">
                  <c:v>4790</c:v>
                </c:pt>
                <c:pt idx="9">
                  <c:v>300</c:v>
                </c:pt>
                <c:pt idx="10">
                  <c:v>5440</c:v>
                </c:pt>
                <c:pt idx="11">
                  <c:v>4730</c:v>
                </c:pt>
                <c:pt idx="12">
                  <c:v>3660</c:v>
                </c:pt>
                <c:pt idx="13">
                  <c:v>4350</c:v>
                </c:pt>
                <c:pt idx="14">
                  <c:v>32020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573696"/>
        <c:axId val="509834304"/>
      </c:lineChart>
      <c:catAx>
        <c:axId val="7405736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09834304"/>
        <c:crosses val="autoZero"/>
        <c:auto val="1"/>
        <c:lblAlgn val="ctr"/>
        <c:lblOffset val="100"/>
        <c:noMultiLvlLbl val="0"/>
      </c:catAx>
      <c:valAx>
        <c:axId val="5098343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0573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"/>
                <c:pt idx="0">
                  <c:v>0% 0% 100% 0% 0% 100% 0% 100% 0% 0% 96% 100% 83% 0% 79%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'11'!$D$6:$D$20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0.99906542056074765</c:v>
                </c:pt>
                <c:pt idx="3">
                  <c:v>0</c:v>
                </c:pt>
                <c:pt idx="4">
                  <c:v>0</c:v>
                </c:pt>
                <c:pt idx="5">
                  <c:v>0.99917898193760257</c:v>
                </c:pt>
                <c:pt idx="6">
                  <c:v>0</c:v>
                </c:pt>
                <c:pt idx="7">
                  <c:v>0.99940239043824697</c:v>
                </c:pt>
                <c:pt idx="8">
                  <c:v>0</c:v>
                </c:pt>
                <c:pt idx="9">
                  <c:v>0</c:v>
                </c:pt>
                <c:pt idx="10">
                  <c:v>0.9567478553921569</c:v>
                </c:pt>
                <c:pt idx="11">
                  <c:v>0.99809725158562368</c:v>
                </c:pt>
                <c:pt idx="12">
                  <c:v>0.83287795992714031</c:v>
                </c:pt>
                <c:pt idx="13">
                  <c:v>0</c:v>
                </c:pt>
                <c:pt idx="14">
                  <c:v>0.79166666666666663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'11'!$D$6:$D$20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0.43846910176721232</c:v>
                </c:pt>
                <c:pt idx="1">
                  <c:v>0.43846910176721232</c:v>
                </c:pt>
                <c:pt idx="2">
                  <c:v>0.43846910176721232</c:v>
                </c:pt>
                <c:pt idx="3">
                  <c:v>0.43846910176721232</c:v>
                </c:pt>
                <c:pt idx="4">
                  <c:v>0.43846910176721232</c:v>
                </c:pt>
                <c:pt idx="5">
                  <c:v>0.43846910176721232</c:v>
                </c:pt>
                <c:pt idx="6">
                  <c:v>0.43846910176721232</c:v>
                </c:pt>
                <c:pt idx="7">
                  <c:v>0.43846910176721232</c:v>
                </c:pt>
                <c:pt idx="8">
                  <c:v>0.43846910176721232</c:v>
                </c:pt>
                <c:pt idx="9">
                  <c:v>0.43846910176721232</c:v>
                </c:pt>
                <c:pt idx="10">
                  <c:v>0.43846910176721232</c:v>
                </c:pt>
                <c:pt idx="11">
                  <c:v>0.43846910176721232</c:v>
                </c:pt>
                <c:pt idx="12">
                  <c:v>0.43846910176721232</c:v>
                </c:pt>
                <c:pt idx="13">
                  <c:v>0.43846910176721232</c:v>
                </c:pt>
                <c:pt idx="14">
                  <c:v>0.43846910176721232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575744"/>
        <c:axId val="509836032"/>
      </c:lineChart>
      <c:catAx>
        <c:axId val="74057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09836032"/>
        <c:crosses val="autoZero"/>
        <c:auto val="1"/>
        <c:lblAlgn val="ctr"/>
        <c:lblOffset val="100"/>
        <c:noMultiLvlLbl val="0"/>
      </c:catAx>
      <c:valAx>
        <c:axId val="5098360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0575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2">
                  <c:v>7483</c:v>
                </c:pt>
                <c:pt idx="5">
                  <c:v>6085</c:v>
                </c:pt>
                <c:pt idx="7">
                  <c:v>5017</c:v>
                </c:pt>
                <c:pt idx="10">
                  <c:v>5431</c:v>
                </c:pt>
                <c:pt idx="11">
                  <c:v>4721</c:v>
                </c:pt>
                <c:pt idx="12">
                  <c:v>3658</c:v>
                </c:pt>
                <c:pt idx="14">
                  <c:v>32020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7490</c:v>
                </c:pt>
                <c:pt idx="3">
                  <c:v>2750</c:v>
                </c:pt>
                <c:pt idx="4">
                  <c:v>4060</c:v>
                </c:pt>
                <c:pt idx="5">
                  <c:v>6090</c:v>
                </c:pt>
                <c:pt idx="6">
                  <c:v>2320</c:v>
                </c:pt>
                <c:pt idx="7">
                  <c:v>5020</c:v>
                </c:pt>
                <c:pt idx="8">
                  <c:v>4790</c:v>
                </c:pt>
                <c:pt idx="9">
                  <c:v>300</c:v>
                </c:pt>
                <c:pt idx="10">
                  <c:v>5440</c:v>
                </c:pt>
                <c:pt idx="11">
                  <c:v>4730</c:v>
                </c:pt>
                <c:pt idx="12">
                  <c:v>3660</c:v>
                </c:pt>
                <c:pt idx="13">
                  <c:v>4350</c:v>
                </c:pt>
                <c:pt idx="14">
                  <c:v>32020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576256"/>
        <c:axId val="523232384"/>
      </c:lineChart>
      <c:catAx>
        <c:axId val="7405762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23232384"/>
        <c:crosses val="autoZero"/>
        <c:auto val="1"/>
        <c:lblAlgn val="ctr"/>
        <c:lblOffset val="100"/>
        <c:noMultiLvlLbl val="0"/>
      </c:catAx>
      <c:valAx>
        <c:axId val="5232323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0576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"/>
                <c:pt idx="0">
                  <c:v>0% 0% 100% 0% 0% 100% 0% 100% 0% 0% 96% 100% 83% 0% 79%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'11'!$D$6:$D$20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0.99906542056074765</c:v>
                </c:pt>
                <c:pt idx="3">
                  <c:v>0</c:v>
                </c:pt>
                <c:pt idx="4">
                  <c:v>0</c:v>
                </c:pt>
                <c:pt idx="5">
                  <c:v>0.99917898193760257</c:v>
                </c:pt>
                <c:pt idx="6">
                  <c:v>0</c:v>
                </c:pt>
                <c:pt idx="7">
                  <c:v>0.99940239043824697</c:v>
                </c:pt>
                <c:pt idx="8">
                  <c:v>0</c:v>
                </c:pt>
                <c:pt idx="9">
                  <c:v>0</c:v>
                </c:pt>
                <c:pt idx="10">
                  <c:v>0.9567478553921569</c:v>
                </c:pt>
                <c:pt idx="11">
                  <c:v>0.99809725158562368</c:v>
                </c:pt>
                <c:pt idx="12">
                  <c:v>0.83287795992714031</c:v>
                </c:pt>
                <c:pt idx="13">
                  <c:v>0</c:v>
                </c:pt>
                <c:pt idx="14">
                  <c:v>0.79166666666666663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'11'!$D$6:$D$20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0.43846910176721232</c:v>
                </c:pt>
                <c:pt idx="1">
                  <c:v>0.43846910176721232</c:v>
                </c:pt>
                <c:pt idx="2">
                  <c:v>0.43846910176721232</c:v>
                </c:pt>
                <c:pt idx="3">
                  <c:v>0.43846910176721232</c:v>
                </c:pt>
                <c:pt idx="4">
                  <c:v>0.43846910176721232</c:v>
                </c:pt>
                <c:pt idx="5">
                  <c:v>0.43846910176721232</c:v>
                </c:pt>
                <c:pt idx="6">
                  <c:v>0.43846910176721232</c:v>
                </c:pt>
                <c:pt idx="7">
                  <c:v>0.43846910176721232</c:v>
                </c:pt>
                <c:pt idx="8">
                  <c:v>0.43846910176721232</c:v>
                </c:pt>
                <c:pt idx="9">
                  <c:v>0.43846910176721232</c:v>
                </c:pt>
                <c:pt idx="10">
                  <c:v>0.43846910176721232</c:v>
                </c:pt>
                <c:pt idx="11">
                  <c:v>0.43846910176721232</c:v>
                </c:pt>
                <c:pt idx="12">
                  <c:v>0.43846910176721232</c:v>
                </c:pt>
                <c:pt idx="13">
                  <c:v>0.43846910176721232</c:v>
                </c:pt>
                <c:pt idx="14">
                  <c:v>0.43846910176721232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712448"/>
        <c:axId val="523234112"/>
      </c:lineChart>
      <c:catAx>
        <c:axId val="74071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23234112"/>
        <c:crosses val="autoZero"/>
        <c:auto val="1"/>
        <c:lblAlgn val="ctr"/>
        <c:lblOffset val="100"/>
        <c:noMultiLvlLbl val="0"/>
      </c:catAx>
      <c:valAx>
        <c:axId val="5232341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0712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0712960"/>
        <c:axId val="52323641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712960"/>
        <c:axId val="523236416"/>
      </c:lineChart>
      <c:catAx>
        <c:axId val="740712960"/>
        <c:scaling>
          <c:orientation val="minMax"/>
        </c:scaling>
        <c:delete val="0"/>
        <c:axPos val="b"/>
        <c:majorTickMark val="out"/>
        <c:minorTickMark val="none"/>
        <c:tickLblPos val="nextTo"/>
        <c:crossAx val="523236416"/>
        <c:crosses val="autoZero"/>
        <c:auto val="1"/>
        <c:lblAlgn val="ctr"/>
        <c:lblOffset val="100"/>
        <c:noMultiLvlLbl val="0"/>
      </c:catAx>
      <c:valAx>
        <c:axId val="5232364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4071296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LEAD GUIDE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2">
                  <c:v>3425</c:v>
                </c:pt>
                <c:pt idx="3">
                  <c:v>507</c:v>
                </c:pt>
                <c:pt idx="5">
                  <c:v>2069</c:v>
                </c:pt>
                <c:pt idx="7">
                  <c:v>1817</c:v>
                </c:pt>
                <c:pt idx="10">
                  <c:v>2535</c:v>
                </c:pt>
                <c:pt idx="12">
                  <c:v>2023</c:v>
                </c:pt>
                <c:pt idx="14">
                  <c:v>21560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LEAD GUIDE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3430</c:v>
                </c:pt>
                <c:pt idx="3">
                  <c:v>510</c:v>
                </c:pt>
                <c:pt idx="4">
                  <c:v>4060</c:v>
                </c:pt>
                <c:pt idx="5">
                  <c:v>2070</c:v>
                </c:pt>
                <c:pt idx="6">
                  <c:v>2320</c:v>
                </c:pt>
                <c:pt idx="7">
                  <c:v>1820</c:v>
                </c:pt>
                <c:pt idx="8">
                  <c:v>4790</c:v>
                </c:pt>
                <c:pt idx="9">
                  <c:v>300</c:v>
                </c:pt>
                <c:pt idx="10">
                  <c:v>2540</c:v>
                </c:pt>
                <c:pt idx="11">
                  <c:v>4730</c:v>
                </c:pt>
                <c:pt idx="12">
                  <c:v>2030</c:v>
                </c:pt>
                <c:pt idx="13">
                  <c:v>4350</c:v>
                </c:pt>
                <c:pt idx="14">
                  <c:v>21560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2031744"/>
        <c:axId val="523911168"/>
      </c:lineChart>
      <c:catAx>
        <c:axId val="7920317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23911168"/>
        <c:crosses val="autoZero"/>
        <c:auto val="1"/>
        <c:lblAlgn val="ctr"/>
        <c:lblOffset val="100"/>
        <c:noMultiLvlLbl val="0"/>
      </c:catAx>
      <c:valAx>
        <c:axId val="523911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920317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"/>
                <c:pt idx="0">
                  <c:v>0% 0% 42% 17% 0% 42% 0% 42% 0% 0% 42% 0% 42% 0% 42%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LEAD GUIDE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0.41605928085519922</c:v>
                </c:pt>
                <c:pt idx="3">
                  <c:v>0.16568627450980392</c:v>
                </c:pt>
                <c:pt idx="4">
                  <c:v>0</c:v>
                </c:pt>
                <c:pt idx="5">
                  <c:v>0.41646537842190018</c:v>
                </c:pt>
                <c:pt idx="6">
                  <c:v>0</c:v>
                </c:pt>
                <c:pt idx="7">
                  <c:v>0.4159798534798535</c:v>
                </c:pt>
                <c:pt idx="8">
                  <c:v>0</c:v>
                </c:pt>
                <c:pt idx="9">
                  <c:v>0</c:v>
                </c:pt>
                <c:pt idx="10">
                  <c:v>0.41584645669291342</c:v>
                </c:pt>
                <c:pt idx="11">
                  <c:v>0</c:v>
                </c:pt>
                <c:pt idx="12">
                  <c:v>0.41522988505747127</c:v>
                </c:pt>
                <c:pt idx="13">
                  <c:v>0</c:v>
                </c:pt>
                <c:pt idx="14">
                  <c:v>0.41666666666666669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'12'!$D$6:$D$20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LEAD GUIDE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0.17746225304558721</c:v>
                </c:pt>
                <c:pt idx="1">
                  <c:v>0.17746225304558721</c:v>
                </c:pt>
                <c:pt idx="2">
                  <c:v>0.17746225304558721</c:v>
                </c:pt>
                <c:pt idx="3">
                  <c:v>0.17746225304558721</c:v>
                </c:pt>
                <c:pt idx="4">
                  <c:v>0.17746225304558721</c:v>
                </c:pt>
                <c:pt idx="5">
                  <c:v>0.17746225304558721</c:v>
                </c:pt>
                <c:pt idx="6">
                  <c:v>0.17746225304558721</c:v>
                </c:pt>
                <c:pt idx="7">
                  <c:v>0.17746225304558721</c:v>
                </c:pt>
                <c:pt idx="8">
                  <c:v>0.17746225304558721</c:v>
                </c:pt>
                <c:pt idx="9">
                  <c:v>0.17746225304558721</c:v>
                </c:pt>
                <c:pt idx="10">
                  <c:v>0.17746225304558721</c:v>
                </c:pt>
                <c:pt idx="11">
                  <c:v>0.17746225304558721</c:v>
                </c:pt>
                <c:pt idx="12">
                  <c:v>0.17746225304558721</c:v>
                </c:pt>
                <c:pt idx="13">
                  <c:v>0.17746225304558721</c:v>
                </c:pt>
                <c:pt idx="14">
                  <c:v>0.17746225304558721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2033792"/>
        <c:axId val="523912896"/>
      </c:lineChart>
      <c:catAx>
        <c:axId val="79203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23912896"/>
        <c:crosses val="autoZero"/>
        <c:auto val="1"/>
        <c:lblAlgn val="ctr"/>
        <c:lblOffset val="100"/>
        <c:noMultiLvlLbl val="0"/>
      </c:catAx>
      <c:valAx>
        <c:axId val="5239128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92033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LEAD GUIDE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2">
                  <c:v>3425</c:v>
                </c:pt>
                <c:pt idx="3">
                  <c:v>507</c:v>
                </c:pt>
                <c:pt idx="5">
                  <c:v>2069</c:v>
                </c:pt>
                <c:pt idx="7">
                  <c:v>1817</c:v>
                </c:pt>
                <c:pt idx="10">
                  <c:v>2535</c:v>
                </c:pt>
                <c:pt idx="12">
                  <c:v>2023</c:v>
                </c:pt>
                <c:pt idx="14">
                  <c:v>21560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LEAD GUIDE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3430</c:v>
                </c:pt>
                <c:pt idx="3">
                  <c:v>510</c:v>
                </c:pt>
                <c:pt idx="4">
                  <c:v>4060</c:v>
                </c:pt>
                <c:pt idx="5">
                  <c:v>2070</c:v>
                </c:pt>
                <c:pt idx="6">
                  <c:v>2320</c:v>
                </c:pt>
                <c:pt idx="7">
                  <c:v>1820</c:v>
                </c:pt>
                <c:pt idx="8">
                  <c:v>4790</c:v>
                </c:pt>
                <c:pt idx="9">
                  <c:v>300</c:v>
                </c:pt>
                <c:pt idx="10">
                  <c:v>2540</c:v>
                </c:pt>
                <c:pt idx="11">
                  <c:v>4730</c:v>
                </c:pt>
                <c:pt idx="12">
                  <c:v>2030</c:v>
                </c:pt>
                <c:pt idx="13">
                  <c:v>4350</c:v>
                </c:pt>
                <c:pt idx="14">
                  <c:v>21560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287040"/>
        <c:axId val="523915200"/>
      </c:lineChart>
      <c:catAx>
        <c:axId val="7392870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23915200"/>
        <c:crosses val="autoZero"/>
        <c:auto val="1"/>
        <c:lblAlgn val="ctr"/>
        <c:lblOffset val="100"/>
        <c:noMultiLvlLbl val="0"/>
      </c:catAx>
      <c:valAx>
        <c:axId val="5239152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39287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"/>
                <c:pt idx="0">
                  <c:v>0% 0% 42% 17% 0% 42% 0% 42% 0% 0% 42% 0% 42% 0% 42%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LEAD GUIDE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0.41605928085519922</c:v>
                </c:pt>
                <c:pt idx="3">
                  <c:v>0.16568627450980392</c:v>
                </c:pt>
                <c:pt idx="4">
                  <c:v>0</c:v>
                </c:pt>
                <c:pt idx="5">
                  <c:v>0.41646537842190018</c:v>
                </c:pt>
                <c:pt idx="6">
                  <c:v>0</c:v>
                </c:pt>
                <c:pt idx="7">
                  <c:v>0.4159798534798535</c:v>
                </c:pt>
                <c:pt idx="8">
                  <c:v>0</c:v>
                </c:pt>
                <c:pt idx="9">
                  <c:v>0</c:v>
                </c:pt>
                <c:pt idx="10">
                  <c:v>0.41584645669291342</c:v>
                </c:pt>
                <c:pt idx="11">
                  <c:v>0</c:v>
                </c:pt>
                <c:pt idx="12">
                  <c:v>0.41522988505747127</c:v>
                </c:pt>
                <c:pt idx="13">
                  <c:v>0</c:v>
                </c:pt>
                <c:pt idx="14">
                  <c:v>0.41666666666666669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'12'!$D$6:$D$20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LEAD GUIDE</c:v>
                </c:pt>
                <c:pt idx="4">
                  <c:v>COVER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0.17746225304558721</c:v>
                </c:pt>
                <c:pt idx="1">
                  <c:v>0.17746225304558721</c:v>
                </c:pt>
                <c:pt idx="2">
                  <c:v>0.17746225304558721</c:v>
                </c:pt>
                <c:pt idx="3">
                  <c:v>0.17746225304558721</c:v>
                </c:pt>
                <c:pt idx="4">
                  <c:v>0.17746225304558721</c:v>
                </c:pt>
                <c:pt idx="5">
                  <c:v>0.17746225304558721</c:v>
                </c:pt>
                <c:pt idx="6">
                  <c:v>0.17746225304558721</c:v>
                </c:pt>
                <c:pt idx="7">
                  <c:v>0.17746225304558721</c:v>
                </c:pt>
                <c:pt idx="8">
                  <c:v>0.17746225304558721</c:v>
                </c:pt>
                <c:pt idx="9">
                  <c:v>0.17746225304558721</c:v>
                </c:pt>
                <c:pt idx="10">
                  <c:v>0.17746225304558721</c:v>
                </c:pt>
                <c:pt idx="11">
                  <c:v>0.17746225304558721</c:v>
                </c:pt>
                <c:pt idx="12">
                  <c:v>0.17746225304558721</c:v>
                </c:pt>
                <c:pt idx="13">
                  <c:v>0.17746225304558721</c:v>
                </c:pt>
                <c:pt idx="14">
                  <c:v>0.17746225304558721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287552"/>
        <c:axId val="523916928"/>
      </c:lineChart>
      <c:catAx>
        <c:axId val="739287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23916928"/>
        <c:crosses val="autoZero"/>
        <c:auto val="1"/>
        <c:lblAlgn val="ctr"/>
        <c:lblOffset val="100"/>
        <c:noMultiLvlLbl val="0"/>
      </c:catAx>
      <c:valAx>
        <c:axId val="5239169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3928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9288064"/>
        <c:axId val="73977036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288064"/>
        <c:axId val="739770368"/>
      </c:lineChart>
      <c:catAx>
        <c:axId val="739288064"/>
        <c:scaling>
          <c:orientation val="minMax"/>
        </c:scaling>
        <c:delete val="0"/>
        <c:axPos val="b"/>
        <c:majorTickMark val="out"/>
        <c:minorTickMark val="none"/>
        <c:tickLblPos val="nextTo"/>
        <c:crossAx val="739770368"/>
        <c:crosses val="autoZero"/>
        <c:auto val="1"/>
        <c:lblAlgn val="ctr"/>
        <c:lblOffset val="100"/>
        <c:noMultiLvlLbl val="0"/>
      </c:catAx>
      <c:valAx>
        <c:axId val="7397703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3928806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LEAD GUIDE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2">
                  <c:v>6687</c:v>
                </c:pt>
                <c:pt idx="3">
                  <c:v>4611</c:v>
                </c:pt>
                <c:pt idx="4">
                  <c:v>3184</c:v>
                </c:pt>
                <c:pt idx="5">
                  <c:v>5247</c:v>
                </c:pt>
                <c:pt idx="7">
                  <c:v>2803</c:v>
                </c:pt>
                <c:pt idx="8">
                  <c:v>0</c:v>
                </c:pt>
                <c:pt idx="10">
                  <c:v>3278</c:v>
                </c:pt>
                <c:pt idx="11">
                  <c:v>0</c:v>
                </c:pt>
                <c:pt idx="12">
                  <c:v>2861</c:v>
                </c:pt>
                <c:pt idx="14">
                  <c:v>42804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LEAD GUIDE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6690</c:v>
                </c:pt>
                <c:pt idx="3">
                  <c:v>4620</c:v>
                </c:pt>
                <c:pt idx="4">
                  <c:v>3185</c:v>
                </c:pt>
                <c:pt idx="5">
                  <c:v>2070</c:v>
                </c:pt>
                <c:pt idx="6">
                  <c:v>2320</c:v>
                </c:pt>
                <c:pt idx="7">
                  <c:v>2810</c:v>
                </c:pt>
                <c:pt idx="8">
                  <c:v>4790</c:v>
                </c:pt>
                <c:pt idx="9">
                  <c:v>300</c:v>
                </c:pt>
                <c:pt idx="10">
                  <c:v>3280</c:v>
                </c:pt>
                <c:pt idx="11">
                  <c:v>4730</c:v>
                </c:pt>
                <c:pt idx="12">
                  <c:v>2870</c:v>
                </c:pt>
                <c:pt idx="13">
                  <c:v>4350</c:v>
                </c:pt>
                <c:pt idx="14">
                  <c:v>42810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062656"/>
        <c:axId val="739773248"/>
      </c:lineChart>
      <c:catAx>
        <c:axId val="7410626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39773248"/>
        <c:crosses val="autoZero"/>
        <c:auto val="1"/>
        <c:lblAlgn val="ctr"/>
        <c:lblOffset val="100"/>
        <c:noMultiLvlLbl val="0"/>
      </c:catAx>
      <c:valAx>
        <c:axId val="7397732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1062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"/>
                <c:pt idx="0">
                  <c:v>0% 0% 100% 100% 79% 232% 0% 75% 0% 0% 83% 0% 75% 0% 96%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'15'!$D$6:$D$20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LEAD GUIDE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0.99955156950672641</c:v>
                </c:pt>
                <c:pt idx="3">
                  <c:v>0.99805194805194808</c:v>
                </c:pt>
                <c:pt idx="4">
                  <c:v>0.79141810570381987</c:v>
                </c:pt>
                <c:pt idx="5">
                  <c:v>2.323550724637681</c:v>
                </c:pt>
                <c:pt idx="6">
                  <c:v>0</c:v>
                </c:pt>
                <c:pt idx="7">
                  <c:v>0.74813167259786484</c:v>
                </c:pt>
                <c:pt idx="8">
                  <c:v>0</c:v>
                </c:pt>
                <c:pt idx="9">
                  <c:v>0</c:v>
                </c:pt>
                <c:pt idx="10">
                  <c:v>0.83282520325203258</c:v>
                </c:pt>
                <c:pt idx="11">
                  <c:v>0</c:v>
                </c:pt>
                <c:pt idx="12">
                  <c:v>0.74764808362369339</c:v>
                </c:pt>
                <c:pt idx="13">
                  <c:v>0</c:v>
                </c:pt>
                <c:pt idx="14">
                  <c:v>0.95819901892081294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'15'!$D$6:$D$20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LEAD GUIDE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0.55995842175297195</c:v>
                </c:pt>
                <c:pt idx="1">
                  <c:v>0.55995842175297195</c:v>
                </c:pt>
                <c:pt idx="2">
                  <c:v>0.55995842175297195</c:v>
                </c:pt>
                <c:pt idx="3">
                  <c:v>0.55995842175297195</c:v>
                </c:pt>
                <c:pt idx="4">
                  <c:v>0.55995842175297195</c:v>
                </c:pt>
                <c:pt idx="5">
                  <c:v>0.55995842175297195</c:v>
                </c:pt>
                <c:pt idx="6">
                  <c:v>0.55995842175297195</c:v>
                </c:pt>
                <c:pt idx="7">
                  <c:v>0.55995842175297195</c:v>
                </c:pt>
                <c:pt idx="8">
                  <c:v>0.55995842175297195</c:v>
                </c:pt>
                <c:pt idx="9">
                  <c:v>0.55995842175297195</c:v>
                </c:pt>
                <c:pt idx="10">
                  <c:v>0.55995842175297195</c:v>
                </c:pt>
                <c:pt idx="11">
                  <c:v>0.55995842175297195</c:v>
                </c:pt>
                <c:pt idx="12">
                  <c:v>0.55995842175297195</c:v>
                </c:pt>
                <c:pt idx="13">
                  <c:v>0.55995842175297195</c:v>
                </c:pt>
                <c:pt idx="14">
                  <c:v>0.55995842175297195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063680"/>
        <c:axId val="739774976"/>
      </c:lineChart>
      <c:catAx>
        <c:axId val="74106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39774976"/>
        <c:crosses val="autoZero"/>
        <c:auto val="1"/>
        <c:lblAlgn val="ctr"/>
        <c:lblOffset val="100"/>
        <c:noMultiLvlLbl val="0"/>
      </c:catAx>
      <c:valAx>
        <c:axId val="7397749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1063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LEAD GUIDE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2">
                  <c:v>6687</c:v>
                </c:pt>
                <c:pt idx="3">
                  <c:v>4611</c:v>
                </c:pt>
                <c:pt idx="4">
                  <c:v>3184</c:v>
                </c:pt>
                <c:pt idx="5">
                  <c:v>5247</c:v>
                </c:pt>
                <c:pt idx="7">
                  <c:v>2803</c:v>
                </c:pt>
                <c:pt idx="8">
                  <c:v>0</c:v>
                </c:pt>
                <c:pt idx="10">
                  <c:v>3278</c:v>
                </c:pt>
                <c:pt idx="11">
                  <c:v>0</c:v>
                </c:pt>
                <c:pt idx="12">
                  <c:v>2861</c:v>
                </c:pt>
                <c:pt idx="14">
                  <c:v>42804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LEAD GUIDE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6690</c:v>
                </c:pt>
                <c:pt idx="3">
                  <c:v>4620</c:v>
                </c:pt>
                <c:pt idx="4">
                  <c:v>3185</c:v>
                </c:pt>
                <c:pt idx="5">
                  <c:v>2070</c:v>
                </c:pt>
                <c:pt idx="6">
                  <c:v>2320</c:v>
                </c:pt>
                <c:pt idx="7">
                  <c:v>2810</c:v>
                </c:pt>
                <c:pt idx="8">
                  <c:v>4790</c:v>
                </c:pt>
                <c:pt idx="9">
                  <c:v>300</c:v>
                </c:pt>
                <c:pt idx="10">
                  <c:v>3280</c:v>
                </c:pt>
                <c:pt idx="11">
                  <c:v>4730</c:v>
                </c:pt>
                <c:pt idx="12">
                  <c:v>2870</c:v>
                </c:pt>
                <c:pt idx="13">
                  <c:v>4350</c:v>
                </c:pt>
                <c:pt idx="14">
                  <c:v>42810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91520"/>
        <c:axId val="739776128"/>
      </c:lineChart>
      <c:catAx>
        <c:axId val="5252915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39776128"/>
        <c:crosses val="autoZero"/>
        <c:auto val="1"/>
        <c:lblAlgn val="ctr"/>
        <c:lblOffset val="100"/>
        <c:noMultiLvlLbl val="0"/>
      </c:catAx>
      <c:valAx>
        <c:axId val="73977612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525291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"/>
                <c:pt idx="0">
                  <c:v>0% 0% 100% 100% 79% 232% 0% 75% 0% 0% 83% 0% 75% 0% 96%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'15'!$D$6:$D$20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LEAD GUIDE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0.99955156950672641</c:v>
                </c:pt>
                <c:pt idx="3">
                  <c:v>0.99805194805194808</c:v>
                </c:pt>
                <c:pt idx="4">
                  <c:v>0.79141810570381987</c:v>
                </c:pt>
                <c:pt idx="5">
                  <c:v>2.323550724637681</c:v>
                </c:pt>
                <c:pt idx="6">
                  <c:v>0</c:v>
                </c:pt>
                <c:pt idx="7">
                  <c:v>0.74813167259786484</c:v>
                </c:pt>
                <c:pt idx="8">
                  <c:v>0</c:v>
                </c:pt>
                <c:pt idx="9">
                  <c:v>0</c:v>
                </c:pt>
                <c:pt idx="10">
                  <c:v>0.83282520325203258</c:v>
                </c:pt>
                <c:pt idx="11">
                  <c:v>0</c:v>
                </c:pt>
                <c:pt idx="12">
                  <c:v>0.74764808362369339</c:v>
                </c:pt>
                <c:pt idx="13">
                  <c:v>0</c:v>
                </c:pt>
                <c:pt idx="14">
                  <c:v>0.95819901892081294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'15'!$D$6:$D$20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LEAD GUIDE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0.55995842175297195</c:v>
                </c:pt>
                <c:pt idx="1">
                  <c:v>0.55995842175297195</c:v>
                </c:pt>
                <c:pt idx="2">
                  <c:v>0.55995842175297195</c:v>
                </c:pt>
                <c:pt idx="3">
                  <c:v>0.55995842175297195</c:v>
                </c:pt>
                <c:pt idx="4">
                  <c:v>0.55995842175297195</c:v>
                </c:pt>
                <c:pt idx="5">
                  <c:v>0.55995842175297195</c:v>
                </c:pt>
                <c:pt idx="6">
                  <c:v>0.55995842175297195</c:v>
                </c:pt>
                <c:pt idx="7">
                  <c:v>0.55995842175297195</c:v>
                </c:pt>
                <c:pt idx="8">
                  <c:v>0.55995842175297195</c:v>
                </c:pt>
                <c:pt idx="9">
                  <c:v>0.55995842175297195</c:v>
                </c:pt>
                <c:pt idx="10">
                  <c:v>0.55995842175297195</c:v>
                </c:pt>
                <c:pt idx="11">
                  <c:v>0.55995842175297195</c:v>
                </c:pt>
                <c:pt idx="12">
                  <c:v>0.55995842175297195</c:v>
                </c:pt>
                <c:pt idx="13">
                  <c:v>0.55995842175297195</c:v>
                </c:pt>
                <c:pt idx="14">
                  <c:v>0.55995842175297195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92032"/>
        <c:axId val="739777856"/>
      </c:lineChart>
      <c:catAx>
        <c:axId val="52529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39777856"/>
        <c:crosses val="autoZero"/>
        <c:auto val="1"/>
        <c:lblAlgn val="ctr"/>
        <c:lblOffset val="100"/>
        <c:noMultiLvlLbl val="0"/>
      </c:catAx>
      <c:valAx>
        <c:axId val="7397778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525292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5292544"/>
        <c:axId val="5698945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92544"/>
        <c:axId val="569894592"/>
      </c:lineChart>
      <c:catAx>
        <c:axId val="525292544"/>
        <c:scaling>
          <c:orientation val="minMax"/>
        </c:scaling>
        <c:delete val="0"/>
        <c:axPos val="b"/>
        <c:majorTickMark val="out"/>
        <c:minorTickMark val="none"/>
        <c:tickLblPos val="nextTo"/>
        <c:crossAx val="569894592"/>
        <c:crosses val="autoZero"/>
        <c:auto val="1"/>
        <c:lblAlgn val="ctr"/>
        <c:lblOffset val="100"/>
        <c:noMultiLvlLbl val="0"/>
      </c:catAx>
      <c:valAx>
        <c:axId val="5698945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2529254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2">
                  <c:v>3842</c:v>
                </c:pt>
                <c:pt idx="3">
                  <c:v>2021</c:v>
                </c:pt>
                <c:pt idx="4">
                  <c:v>1514</c:v>
                </c:pt>
                <c:pt idx="5">
                  <c:v>5012</c:v>
                </c:pt>
                <c:pt idx="7">
                  <c:v>4770</c:v>
                </c:pt>
                <c:pt idx="10">
                  <c:v>4960</c:v>
                </c:pt>
                <c:pt idx="12">
                  <c:v>3110</c:v>
                </c:pt>
                <c:pt idx="14">
                  <c:v>48600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3850</c:v>
                </c:pt>
                <c:pt idx="3">
                  <c:v>2030</c:v>
                </c:pt>
                <c:pt idx="4">
                  <c:v>1520</c:v>
                </c:pt>
                <c:pt idx="5">
                  <c:v>5020</c:v>
                </c:pt>
                <c:pt idx="6">
                  <c:v>2320</c:v>
                </c:pt>
                <c:pt idx="7">
                  <c:v>4770</c:v>
                </c:pt>
                <c:pt idx="8">
                  <c:v>4790</c:v>
                </c:pt>
                <c:pt idx="9">
                  <c:v>300</c:v>
                </c:pt>
                <c:pt idx="10">
                  <c:v>4960</c:v>
                </c:pt>
                <c:pt idx="11">
                  <c:v>4730</c:v>
                </c:pt>
                <c:pt idx="12">
                  <c:v>3110</c:v>
                </c:pt>
                <c:pt idx="13">
                  <c:v>4350</c:v>
                </c:pt>
                <c:pt idx="14">
                  <c:v>48600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045248"/>
        <c:axId val="569897472"/>
      </c:lineChart>
      <c:catAx>
        <c:axId val="52504524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69897472"/>
        <c:crosses val="autoZero"/>
        <c:auto val="1"/>
        <c:lblAlgn val="ctr"/>
        <c:lblOffset val="100"/>
        <c:noMultiLvlLbl val="0"/>
      </c:catAx>
      <c:valAx>
        <c:axId val="5698974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525045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"/>
                <c:pt idx="0">
                  <c:v>0% 0% 54% 41% 33% 100% 0% 100% 0% 0% 100% 0% 79%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0.54054112554112543</c:v>
                </c:pt>
                <c:pt idx="3">
                  <c:v>0.41481937602627261</c:v>
                </c:pt>
                <c:pt idx="4">
                  <c:v>0.3320175438596491</c:v>
                </c:pt>
                <c:pt idx="5">
                  <c:v>0.99840637450199199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0.79166666666666663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0.40516340577304705</c:v>
                </c:pt>
                <c:pt idx="1">
                  <c:v>0.40516340577304705</c:v>
                </c:pt>
                <c:pt idx="2">
                  <c:v>0.40516340577304705</c:v>
                </c:pt>
                <c:pt idx="3">
                  <c:v>0.40516340577304705</c:v>
                </c:pt>
                <c:pt idx="4">
                  <c:v>0.40516340577304705</c:v>
                </c:pt>
                <c:pt idx="5">
                  <c:v>0.40516340577304705</c:v>
                </c:pt>
                <c:pt idx="6">
                  <c:v>0.40516340577304705</c:v>
                </c:pt>
                <c:pt idx="7">
                  <c:v>0.40516340577304705</c:v>
                </c:pt>
                <c:pt idx="8">
                  <c:v>0.40516340577304705</c:v>
                </c:pt>
                <c:pt idx="9">
                  <c:v>0.40516340577304705</c:v>
                </c:pt>
                <c:pt idx="10">
                  <c:v>0.40516340577304705</c:v>
                </c:pt>
                <c:pt idx="11">
                  <c:v>0.40516340577304705</c:v>
                </c:pt>
                <c:pt idx="12">
                  <c:v>0.40516340577304705</c:v>
                </c:pt>
                <c:pt idx="13">
                  <c:v>0.40516340577304705</c:v>
                </c:pt>
                <c:pt idx="14">
                  <c:v>0.40516340577304705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066752"/>
        <c:axId val="569899200"/>
      </c:lineChart>
      <c:catAx>
        <c:axId val="52506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69899200"/>
        <c:crosses val="autoZero"/>
        <c:auto val="1"/>
        <c:lblAlgn val="ctr"/>
        <c:lblOffset val="100"/>
        <c:noMultiLvlLbl val="0"/>
      </c:catAx>
      <c:valAx>
        <c:axId val="5698992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525066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2">
                  <c:v>3842</c:v>
                </c:pt>
                <c:pt idx="3">
                  <c:v>2021</c:v>
                </c:pt>
                <c:pt idx="4">
                  <c:v>1514</c:v>
                </c:pt>
                <c:pt idx="5">
                  <c:v>5012</c:v>
                </c:pt>
                <c:pt idx="7">
                  <c:v>4770</c:v>
                </c:pt>
                <c:pt idx="10">
                  <c:v>4960</c:v>
                </c:pt>
                <c:pt idx="12">
                  <c:v>3110</c:v>
                </c:pt>
                <c:pt idx="14">
                  <c:v>48600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3050</c:v>
                </c:pt>
                <c:pt idx="2">
                  <c:v>3850</c:v>
                </c:pt>
                <c:pt idx="3">
                  <c:v>2030</c:v>
                </c:pt>
                <c:pt idx="4">
                  <c:v>1520</c:v>
                </c:pt>
                <c:pt idx="5">
                  <c:v>5020</c:v>
                </c:pt>
                <c:pt idx="6">
                  <c:v>2320</c:v>
                </c:pt>
                <c:pt idx="7">
                  <c:v>4770</c:v>
                </c:pt>
                <c:pt idx="8">
                  <c:v>4790</c:v>
                </c:pt>
                <c:pt idx="9">
                  <c:v>300</c:v>
                </c:pt>
                <c:pt idx="10">
                  <c:v>4960</c:v>
                </c:pt>
                <c:pt idx="11">
                  <c:v>4730</c:v>
                </c:pt>
                <c:pt idx="12">
                  <c:v>3110</c:v>
                </c:pt>
                <c:pt idx="13">
                  <c:v>4350</c:v>
                </c:pt>
                <c:pt idx="14">
                  <c:v>48600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067776"/>
        <c:axId val="525001280"/>
      </c:lineChart>
      <c:catAx>
        <c:axId val="5250677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25001280"/>
        <c:crosses val="autoZero"/>
        <c:auto val="1"/>
        <c:lblAlgn val="ctr"/>
        <c:lblOffset val="100"/>
        <c:noMultiLvlLbl val="0"/>
      </c:catAx>
      <c:valAx>
        <c:axId val="5250012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525067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"/>
                <c:pt idx="0">
                  <c:v>0% 0% 54% 41% 33% 100% 0% 100% 0% 0% 100% 0% 79%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0.54054112554112543</c:v>
                </c:pt>
                <c:pt idx="3">
                  <c:v>0.41481937602627261</c:v>
                </c:pt>
                <c:pt idx="4">
                  <c:v>0.3320175438596491</c:v>
                </c:pt>
                <c:pt idx="5">
                  <c:v>0.99840637450199199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0.79166666666666663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'16'!$D$6:$D$20</c:f>
              <c:strCache>
                <c:ptCount val="14"/>
                <c:pt idx="0">
                  <c:v>CASE</c:v>
                </c:pt>
                <c:pt idx="1">
                  <c:v>LATCH</c:v>
                </c:pt>
                <c:pt idx="2">
                  <c:v>SPACER 1,2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0.40516340577304705</c:v>
                </c:pt>
                <c:pt idx="1">
                  <c:v>0.40516340577304705</c:v>
                </c:pt>
                <c:pt idx="2">
                  <c:v>0.40516340577304705</c:v>
                </c:pt>
                <c:pt idx="3">
                  <c:v>0.40516340577304705</c:v>
                </c:pt>
                <c:pt idx="4">
                  <c:v>0.40516340577304705</c:v>
                </c:pt>
                <c:pt idx="5">
                  <c:v>0.40516340577304705</c:v>
                </c:pt>
                <c:pt idx="6">
                  <c:v>0.40516340577304705</c:v>
                </c:pt>
                <c:pt idx="7">
                  <c:v>0.40516340577304705</c:v>
                </c:pt>
                <c:pt idx="8">
                  <c:v>0.40516340577304705</c:v>
                </c:pt>
                <c:pt idx="9">
                  <c:v>0.40516340577304705</c:v>
                </c:pt>
                <c:pt idx="10">
                  <c:v>0.40516340577304705</c:v>
                </c:pt>
                <c:pt idx="11">
                  <c:v>0.40516340577304705</c:v>
                </c:pt>
                <c:pt idx="12">
                  <c:v>0.40516340577304705</c:v>
                </c:pt>
                <c:pt idx="13">
                  <c:v>0.40516340577304705</c:v>
                </c:pt>
                <c:pt idx="14">
                  <c:v>0.40516340577304705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068288"/>
        <c:axId val="525003008"/>
      </c:lineChart>
      <c:catAx>
        <c:axId val="52506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25003008"/>
        <c:crosses val="autoZero"/>
        <c:auto val="1"/>
        <c:lblAlgn val="ctr"/>
        <c:lblOffset val="100"/>
        <c:noMultiLvlLbl val="0"/>
      </c:catAx>
      <c:valAx>
        <c:axId val="5250030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525068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5068800"/>
        <c:axId val="52500531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068800"/>
        <c:axId val="525005312"/>
      </c:lineChart>
      <c:catAx>
        <c:axId val="525068800"/>
        <c:scaling>
          <c:orientation val="minMax"/>
        </c:scaling>
        <c:delete val="0"/>
        <c:axPos val="b"/>
        <c:majorTickMark val="out"/>
        <c:minorTickMark val="none"/>
        <c:tickLblPos val="nextTo"/>
        <c:crossAx val="525005312"/>
        <c:crosses val="autoZero"/>
        <c:auto val="1"/>
        <c:lblAlgn val="ctr"/>
        <c:lblOffset val="100"/>
        <c:noMultiLvlLbl val="0"/>
      </c:catAx>
      <c:valAx>
        <c:axId val="5250053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2506880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SPACER 1,2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1">
                  <c:v>7082</c:v>
                </c:pt>
                <c:pt idx="3">
                  <c:v>685</c:v>
                </c:pt>
                <c:pt idx="4">
                  <c:v>1213</c:v>
                </c:pt>
                <c:pt idx="5">
                  <c:v>1549</c:v>
                </c:pt>
                <c:pt idx="7">
                  <c:v>4779</c:v>
                </c:pt>
                <c:pt idx="8">
                  <c:v>462</c:v>
                </c:pt>
                <c:pt idx="10">
                  <c:v>2257</c:v>
                </c:pt>
                <c:pt idx="12">
                  <c:v>1619</c:v>
                </c:pt>
                <c:pt idx="14">
                  <c:v>51056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SPACER 1,2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7082</c:v>
                </c:pt>
                <c:pt idx="2">
                  <c:v>3850</c:v>
                </c:pt>
                <c:pt idx="3">
                  <c:v>685</c:v>
                </c:pt>
                <c:pt idx="4">
                  <c:v>1220</c:v>
                </c:pt>
                <c:pt idx="5">
                  <c:v>1550</c:v>
                </c:pt>
                <c:pt idx="6">
                  <c:v>2320</c:v>
                </c:pt>
                <c:pt idx="7">
                  <c:v>4780</c:v>
                </c:pt>
                <c:pt idx="8">
                  <c:v>470</c:v>
                </c:pt>
                <c:pt idx="9">
                  <c:v>300</c:v>
                </c:pt>
                <c:pt idx="10">
                  <c:v>2260</c:v>
                </c:pt>
                <c:pt idx="11">
                  <c:v>4730</c:v>
                </c:pt>
                <c:pt idx="12">
                  <c:v>1620</c:v>
                </c:pt>
                <c:pt idx="13">
                  <c:v>4350</c:v>
                </c:pt>
                <c:pt idx="14">
                  <c:v>51060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536384"/>
        <c:axId val="707756032"/>
      </c:lineChart>
      <c:catAx>
        <c:axId val="7075363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07756032"/>
        <c:crosses val="autoZero"/>
        <c:auto val="1"/>
        <c:lblAlgn val="ctr"/>
        <c:lblOffset val="100"/>
        <c:noMultiLvlLbl val="0"/>
      </c:catAx>
      <c:valAx>
        <c:axId val="7077560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07536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"/>
                <c:pt idx="0">
                  <c:v>0% 83% 0% 21% 25% 33% 0% 100% 37% 0% 54% 0% 37%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SPACER 1,2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0.83333333333333337</c:v>
                </c:pt>
                <c:pt idx="2">
                  <c:v>0</c:v>
                </c:pt>
                <c:pt idx="3">
                  <c:v>0.20833333333333334</c:v>
                </c:pt>
                <c:pt idx="4">
                  <c:v>0.24856557377049179</c:v>
                </c:pt>
                <c:pt idx="5">
                  <c:v>0.33311827956989248</c:v>
                </c:pt>
                <c:pt idx="6">
                  <c:v>0</c:v>
                </c:pt>
                <c:pt idx="7">
                  <c:v>0.99979079497907952</c:v>
                </c:pt>
                <c:pt idx="8">
                  <c:v>0.36861702127659574</c:v>
                </c:pt>
                <c:pt idx="9">
                  <c:v>0</c:v>
                </c:pt>
                <c:pt idx="10">
                  <c:v>0.54094764011799412</c:v>
                </c:pt>
                <c:pt idx="11">
                  <c:v>0</c:v>
                </c:pt>
                <c:pt idx="12">
                  <c:v>0.3747685185185185</c:v>
                </c:pt>
                <c:pt idx="13">
                  <c:v>0</c:v>
                </c:pt>
                <c:pt idx="14">
                  <c:v>0.99992166079122602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SPACER 1,2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0.32715974371269763</c:v>
                </c:pt>
                <c:pt idx="1">
                  <c:v>0.32715974371269763</c:v>
                </c:pt>
                <c:pt idx="2">
                  <c:v>0.32715974371269763</c:v>
                </c:pt>
                <c:pt idx="3">
                  <c:v>0.32715974371269763</c:v>
                </c:pt>
                <c:pt idx="4">
                  <c:v>0.32715974371269763</c:v>
                </c:pt>
                <c:pt idx="5">
                  <c:v>0.32715974371269763</c:v>
                </c:pt>
                <c:pt idx="6">
                  <c:v>0.32715974371269763</c:v>
                </c:pt>
                <c:pt idx="7">
                  <c:v>0.32715974371269763</c:v>
                </c:pt>
                <c:pt idx="8">
                  <c:v>0.32715974371269763</c:v>
                </c:pt>
                <c:pt idx="9">
                  <c:v>0.32715974371269763</c:v>
                </c:pt>
                <c:pt idx="10">
                  <c:v>0.32715974371269763</c:v>
                </c:pt>
                <c:pt idx="11">
                  <c:v>0.32715974371269763</c:v>
                </c:pt>
                <c:pt idx="12">
                  <c:v>0.32715974371269763</c:v>
                </c:pt>
                <c:pt idx="13">
                  <c:v>0.32715974371269763</c:v>
                </c:pt>
                <c:pt idx="14">
                  <c:v>0.32715974371269763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538432"/>
        <c:axId val="707757760"/>
      </c:lineChart>
      <c:catAx>
        <c:axId val="70753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07757760"/>
        <c:crosses val="autoZero"/>
        <c:auto val="1"/>
        <c:lblAlgn val="ctr"/>
        <c:lblOffset val="100"/>
        <c:noMultiLvlLbl val="0"/>
      </c:catAx>
      <c:valAx>
        <c:axId val="7077577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07538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SPACER 1,2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1">
                  <c:v>7082</c:v>
                </c:pt>
                <c:pt idx="3">
                  <c:v>685</c:v>
                </c:pt>
                <c:pt idx="4">
                  <c:v>1213</c:v>
                </c:pt>
                <c:pt idx="5">
                  <c:v>1549</c:v>
                </c:pt>
                <c:pt idx="7">
                  <c:v>4779</c:v>
                </c:pt>
                <c:pt idx="8">
                  <c:v>462</c:v>
                </c:pt>
                <c:pt idx="10">
                  <c:v>2257</c:v>
                </c:pt>
                <c:pt idx="12">
                  <c:v>1619</c:v>
                </c:pt>
                <c:pt idx="14">
                  <c:v>51056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SPACER 1,2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7082</c:v>
                </c:pt>
                <c:pt idx="2">
                  <c:v>3850</c:v>
                </c:pt>
                <c:pt idx="3">
                  <c:v>685</c:v>
                </c:pt>
                <c:pt idx="4">
                  <c:v>1220</c:v>
                </c:pt>
                <c:pt idx="5">
                  <c:v>1550</c:v>
                </c:pt>
                <c:pt idx="6">
                  <c:v>2320</c:v>
                </c:pt>
                <c:pt idx="7">
                  <c:v>4780</c:v>
                </c:pt>
                <c:pt idx="8">
                  <c:v>470</c:v>
                </c:pt>
                <c:pt idx="9">
                  <c:v>300</c:v>
                </c:pt>
                <c:pt idx="10">
                  <c:v>2260</c:v>
                </c:pt>
                <c:pt idx="11">
                  <c:v>4730</c:v>
                </c:pt>
                <c:pt idx="12">
                  <c:v>1620</c:v>
                </c:pt>
                <c:pt idx="13">
                  <c:v>4350</c:v>
                </c:pt>
                <c:pt idx="14">
                  <c:v>51060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821568"/>
        <c:axId val="707760064"/>
      </c:lineChart>
      <c:catAx>
        <c:axId val="7078215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07760064"/>
        <c:crosses val="autoZero"/>
        <c:auto val="1"/>
        <c:lblAlgn val="ctr"/>
        <c:lblOffset val="100"/>
        <c:noMultiLvlLbl val="0"/>
      </c:catAx>
      <c:valAx>
        <c:axId val="7077600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07821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"/>
                <c:pt idx="0">
                  <c:v>0% 83% 0% 21% 25% 33% 0% 100% 37% 0% 54% 0% 37%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SPACER 1,2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0.83333333333333337</c:v>
                </c:pt>
                <c:pt idx="2">
                  <c:v>0</c:v>
                </c:pt>
                <c:pt idx="3">
                  <c:v>0.20833333333333334</c:v>
                </c:pt>
                <c:pt idx="4">
                  <c:v>0.24856557377049179</c:v>
                </c:pt>
                <c:pt idx="5">
                  <c:v>0.33311827956989248</c:v>
                </c:pt>
                <c:pt idx="6">
                  <c:v>0</c:v>
                </c:pt>
                <c:pt idx="7">
                  <c:v>0.99979079497907952</c:v>
                </c:pt>
                <c:pt idx="8">
                  <c:v>0.36861702127659574</c:v>
                </c:pt>
                <c:pt idx="9">
                  <c:v>0</c:v>
                </c:pt>
                <c:pt idx="10">
                  <c:v>0.54094764011799412</c:v>
                </c:pt>
                <c:pt idx="11">
                  <c:v>0</c:v>
                </c:pt>
                <c:pt idx="12">
                  <c:v>0.3747685185185185</c:v>
                </c:pt>
                <c:pt idx="13">
                  <c:v>0</c:v>
                </c:pt>
                <c:pt idx="14">
                  <c:v>0.99992166079122602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SPACER 1,2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IC GUIDE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0.32715974371269763</c:v>
                </c:pt>
                <c:pt idx="1">
                  <c:v>0.32715974371269763</c:v>
                </c:pt>
                <c:pt idx="2">
                  <c:v>0.32715974371269763</c:v>
                </c:pt>
                <c:pt idx="3">
                  <c:v>0.32715974371269763</c:v>
                </c:pt>
                <c:pt idx="4">
                  <c:v>0.32715974371269763</c:v>
                </c:pt>
                <c:pt idx="5">
                  <c:v>0.32715974371269763</c:v>
                </c:pt>
                <c:pt idx="6">
                  <c:v>0.32715974371269763</c:v>
                </c:pt>
                <c:pt idx="7">
                  <c:v>0.32715974371269763</c:v>
                </c:pt>
                <c:pt idx="8">
                  <c:v>0.32715974371269763</c:v>
                </c:pt>
                <c:pt idx="9">
                  <c:v>0.32715974371269763</c:v>
                </c:pt>
                <c:pt idx="10">
                  <c:v>0.32715974371269763</c:v>
                </c:pt>
                <c:pt idx="11">
                  <c:v>0.32715974371269763</c:v>
                </c:pt>
                <c:pt idx="12">
                  <c:v>0.32715974371269763</c:v>
                </c:pt>
                <c:pt idx="13">
                  <c:v>0.32715974371269763</c:v>
                </c:pt>
                <c:pt idx="14">
                  <c:v>0.32715974371269763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823104"/>
        <c:axId val="707761792"/>
      </c:lineChart>
      <c:catAx>
        <c:axId val="707823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07761792"/>
        <c:crosses val="autoZero"/>
        <c:auto val="1"/>
        <c:lblAlgn val="ctr"/>
        <c:lblOffset val="100"/>
        <c:noMultiLvlLbl val="0"/>
      </c:catAx>
      <c:valAx>
        <c:axId val="7077617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07823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7823616"/>
        <c:axId val="70751846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823616"/>
        <c:axId val="707518464"/>
      </c:lineChart>
      <c:catAx>
        <c:axId val="707823616"/>
        <c:scaling>
          <c:orientation val="minMax"/>
        </c:scaling>
        <c:delete val="0"/>
        <c:axPos val="b"/>
        <c:majorTickMark val="out"/>
        <c:minorTickMark val="none"/>
        <c:tickLblPos val="nextTo"/>
        <c:crossAx val="707518464"/>
        <c:crosses val="autoZero"/>
        <c:auto val="1"/>
        <c:lblAlgn val="ctr"/>
        <c:lblOffset val="100"/>
        <c:noMultiLvlLbl val="0"/>
      </c:catAx>
      <c:valAx>
        <c:axId val="7075184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078236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SAM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1">
                  <c:v>4364</c:v>
                </c:pt>
                <c:pt idx="2">
                  <c:v>1957</c:v>
                </c:pt>
                <c:pt idx="3">
                  <c:v>1833</c:v>
                </c:pt>
                <c:pt idx="4">
                  <c:v>0</c:v>
                </c:pt>
                <c:pt idx="7">
                  <c:v>4539</c:v>
                </c:pt>
                <c:pt idx="10">
                  <c:v>4566</c:v>
                </c:pt>
                <c:pt idx="11">
                  <c:v>2032</c:v>
                </c:pt>
                <c:pt idx="14">
                  <c:v>35092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SAM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4370</c:v>
                </c:pt>
                <c:pt idx="2">
                  <c:v>1960</c:v>
                </c:pt>
                <c:pt idx="3">
                  <c:v>1840</c:v>
                </c:pt>
                <c:pt idx="4">
                  <c:v>1220</c:v>
                </c:pt>
                <c:pt idx="5">
                  <c:v>1550</c:v>
                </c:pt>
                <c:pt idx="6">
                  <c:v>2320</c:v>
                </c:pt>
                <c:pt idx="7">
                  <c:v>4540</c:v>
                </c:pt>
                <c:pt idx="8">
                  <c:v>470</c:v>
                </c:pt>
                <c:pt idx="9">
                  <c:v>300</c:v>
                </c:pt>
                <c:pt idx="10">
                  <c:v>4570</c:v>
                </c:pt>
                <c:pt idx="11">
                  <c:v>2040</c:v>
                </c:pt>
                <c:pt idx="12">
                  <c:v>1620</c:v>
                </c:pt>
                <c:pt idx="13">
                  <c:v>4350</c:v>
                </c:pt>
                <c:pt idx="14">
                  <c:v>35100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485696"/>
        <c:axId val="707521344"/>
      </c:lineChart>
      <c:catAx>
        <c:axId val="7154856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07521344"/>
        <c:crosses val="autoZero"/>
        <c:auto val="1"/>
        <c:lblAlgn val="ctr"/>
        <c:lblOffset val="100"/>
        <c:noMultiLvlLbl val="0"/>
      </c:catAx>
      <c:valAx>
        <c:axId val="7075213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15485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"/>
                <c:pt idx="0">
                  <c:v>0% 54% 58% 50% 0% 0% 0% 100% 0% 0% 100% 50% 0% 0% 83%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'18'!$D$6:$D$20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SAM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0</c:v>
                </c:pt>
                <c:pt idx="1">
                  <c:v>0.5409229595728452</c:v>
                </c:pt>
                <c:pt idx="2">
                  <c:v>0.58244047619047623</c:v>
                </c:pt>
                <c:pt idx="3">
                  <c:v>0.49809782608695652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0.99977973568281941</c:v>
                </c:pt>
                <c:pt idx="8">
                  <c:v>0</c:v>
                </c:pt>
                <c:pt idx="9">
                  <c:v>0</c:v>
                </c:pt>
                <c:pt idx="10">
                  <c:v>0.99912472647702411</c:v>
                </c:pt>
                <c:pt idx="11">
                  <c:v>0.49803921568627452</c:v>
                </c:pt>
                <c:pt idx="12">
                  <c:v>0</c:v>
                </c:pt>
                <c:pt idx="13">
                  <c:v>0</c:v>
                </c:pt>
                <c:pt idx="14">
                  <c:v>0.83314339981006658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'18'!$D$6:$D$20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SAM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0.33010322263376413</c:v>
                </c:pt>
                <c:pt idx="1">
                  <c:v>0.33010322263376413</c:v>
                </c:pt>
                <c:pt idx="2">
                  <c:v>0.33010322263376413</c:v>
                </c:pt>
                <c:pt idx="3">
                  <c:v>0.33010322263376413</c:v>
                </c:pt>
                <c:pt idx="4">
                  <c:v>0.33010322263376413</c:v>
                </c:pt>
                <c:pt idx="5">
                  <c:v>0.33010322263376413</c:v>
                </c:pt>
                <c:pt idx="6">
                  <c:v>0.33010322263376413</c:v>
                </c:pt>
                <c:pt idx="7">
                  <c:v>0.33010322263376413</c:v>
                </c:pt>
                <c:pt idx="8">
                  <c:v>0.33010322263376413</c:v>
                </c:pt>
                <c:pt idx="9">
                  <c:v>0.33010322263376413</c:v>
                </c:pt>
                <c:pt idx="10">
                  <c:v>0.33010322263376413</c:v>
                </c:pt>
                <c:pt idx="11">
                  <c:v>0.33010322263376413</c:v>
                </c:pt>
                <c:pt idx="12">
                  <c:v>0.33010322263376413</c:v>
                </c:pt>
                <c:pt idx="13">
                  <c:v>0.33010322263376413</c:v>
                </c:pt>
                <c:pt idx="14">
                  <c:v>0.33010322263376413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487744"/>
        <c:axId val="707523072"/>
      </c:lineChart>
      <c:catAx>
        <c:axId val="715487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07523072"/>
        <c:crosses val="autoZero"/>
        <c:auto val="1"/>
        <c:lblAlgn val="ctr"/>
        <c:lblOffset val="100"/>
        <c:noMultiLvlLbl val="0"/>
      </c:catAx>
      <c:valAx>
        <c:axId val="7075230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15487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SAM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1">
                  <c:v>4364</c:v>
                </c:pt>
                <c:pt idx="2">
                  <c:v>1957</c:v>
                </c:pt>
                <c:pt idx="3">
                  <c:v>1833</c:v>
                </c:pt>
                <c:pt idx="4">
                  <c:v>0</c:v>
                </c:pt>
                <c:pt idx="7">
                  <c:v>4539</c:v>
                </c:pt>
                <c:pt idx="10">
                  <c:v>4566</c:v>
                </c:pt>
                <c:pt idx="11">
                  <c:v>2032</c:v>
                </c:pt>
                <c:pt idx="14">
                  <c:v>35092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SAM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4370</c:v>
                </c:pt>
                <c:pt idx="2">
                  <c:v>1960</c:v>
                </c:pt>
                <c:pt idx="3">
                  <c:v>1840</c:v>
                </c:pt>
                <c:pt idx="4">
                  <c:v>1220</c:v>
                </c:pt>
                <c:pt idx="5">
                  <c:v>1550</c:v>
                </c:pt>
                <c:pt idx="6">
                  <c:v>2320</c:v>
                </c:pt>
                <c:pt idx="7">
                  <c:v>4540</c:v>
                </c:pt>
                <c:pt idx="8">
                  <c:v>470</c:v>
                </c:pt>
                <c:pt idx="9">
                  <c:v>300</c:v>
                </c:pt>
                <c:pt idx="10">
                  <c:v>4570</c:v>
                </c:pt>
                <c:pt idx="11">
                  <c:v>2040</c:v>
                </c:pt>
                <c:pt idx="12">
                  <c:v>1620</c:v>
                </c:pt>
                <c:pt idx="13">
                  <c:v>4350</c:v>
                </c:pt>
                <c:pt idx="14">
                  <c:v>35100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488256"/>
        <c:axId val="707525376"/>
      </c:lineChart>
      <c:catAx>
        <c:axId val="7154882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07525376"/>
        <c:crosses val="autoZero"/>
        <c:auto val="1"/>
        <c:lblAlgn val="ctr"/>
        <c:lblOffset val="100"/>
        <c:noMultiLvlLbl val="0"/>
      </c:catAx>
      <c:valAx>
        <c:axId val="7075253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15488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"/>
                <c:pt idx="0">
                  <c:v>0% 54% 58% 50% 0% 0% 0% 100% 0% 0% 100% 50% 0% 0% 83%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'18'!$D$6:$D$20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SAM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0</c:v>
                </c:pt>
                <c:pt idx="1">
                  <c:v>0.5409229595728452</c:v>
                </c:pt>
                <c:pt idx="2">
                  <c:v>0.58244047619047623</c:v>
                </c:pt>
                <c:pt idx="3">
                  <c:v>0.49809782608695652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0.99977973568281941</c:v>
                </c:pt>
                <c:pt idx="8">
                  <c:v>0</c:v>
                </c:pt>
                <c:pt idx="9">
                  <c:v>0</c:v>
                </c:pt>
                <c:pt idx="10">
                  <c:v>0.99912472647702411</c:v>
                </c:pt>
                <c:pt idx="11">
                  <c:v>0.49803921568627452</c:v>
                </c:pt>
                <c:pt idx="12">
                  <c:v>0</c:v>
                </c:pt>
                <c:pt idx="13">
                  <c:v>0</c:v>
                </c:pt>
                <c:pt idx="14">
                  <c:v>0.83314339981006658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'18'!$D$6:$D$20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38P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SAM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0.33010322263376413</c:v>
                </c:pt>
                <c:pt idx="1">
                  <c:v>0.33010322263376413</c:v>
                </c:pt>
                <c:pt idx="2">
                  <c:v>0.33010322263376413</c:v>
                </c:pt>
                <c:pt idx="3">
                  <c:v>0.33010322263376413</c:v>
                </c:pt>
                <c:pt idx="4">
                  <c:v>0.33010322263376413</c:v>
                </c:pt>
                <c:pt idx="5">
                  <c:v>0.33010322263376413</c:v>
                </c:pt>
                <c:pt idx="6">
                  <c:v>0.33010322263376413</c:v>
                </c:pt>
                <c:pt idx="7">
                  <c:v>0.33010322263376413</c:v>
                </c:pt>
                <c:pt idx="8">
                  <c:v>0.33010322263376413</c:v>
                </c:pt>
                <c:pt idx="9">
                  <c:v>0.33010322263376413</c:v>
                </c:pt>
                <c:pt idx="10">
                  <c:v>0.33010322263376413</c:v>
                </c:pt>
                <c:pt idx="11">
                  <c:v>0.33010322263376413</c:v>
                </c:pt>
                <c:pt idx="12">
                  <c:v>0.33010322263376413</c:v>
                </c:pt>
                <c:pt idx="13">
                  <c:v>0.33010322263376413</c:v>
                </c:pt>
                <c:pt idx="14">
                  <c:v>0.33010322263376413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586624"/>
        <c:axId val="738755136"/>
      </c:lineChart>
      <c:catAx>
        <c:axId val="73858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38755136"/>
        <c:crosses val="autoZero"/>
        <c:auto val="1"/>
        <c:lblAlgn val="ctr"/>
        <c:lblOffset val="100"/>
        <c:noMultiLvlLbl val="0"/>
      </c:catAx>
      <c:valAx>
        <c:axId val="7387551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38586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8587136"/>
        <c:axId val="73875744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587136"/>
        <c:axId val="738757440"/>
      </c:lineChart>
      <c:catAx>
        <c:axId val="738587136"/>
        <c:scaling>
          <c:orientation val="minMax"/>
        </c:scaling>
        <c:delete val="0"/>
        <c:axPos val="b"/>
        <c:majorTickMark val="out"/>
        <c:minorTickMark val="none"/>
        <c:tickLblPos val="nextTo"/>
        <c:crossAx val="738757440"/>
        <c:crosses val="autoZero"/>
        <c:auto val="1"/>
        <c:lblAlgn val="ctr"/>
        <c:lblOffset val="100"/>
        <c:noMultiLvlLbl val="0"/>
      </c:catAx>
      <c:valAx>
        <c:axId val="7387574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3858713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SAM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2">
                  <c:v>1293</c:v>
                </c:pt>
                <c:pt idx="4">
                  <c:v>1747</c:v>
                </c:pt>
                <c:pt idx="6">
                  <c:v>579</c:v>
                </c:pt>
                <c:pt idx="7">
                  <c:v>1219</c:v>
                </c:pt>
                <c:pt idx="12">
                  <c:v>1918</c:v>
                </c:pt>
                <c:pt idx="14">
                  <c:v>26284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SAM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4370</c:v>
                </c:pt>
                <c:pt idx="2">
                  <c:v>1300</c:v>
                </c:pt>
                <c:pt idx="3">
                  <c:v>1840</c:v>
                </c:pt>
                <c:pt idx="4">
                  <c:v>1750</c:v>
                </c:pt>
                <c:pt idx="5">
                  <c:v>1550</c:v>
                </c:pt>
                <c:pt idx="6">
                  <c:v>580</c:v>
                </c:pt>
                <c:pt idx="7">
                  <c:v>1220</c:v>
                </c:pt>
                <c:pt idx="8">
                  <c:v>470</c:v>
                </c:pt>
                <c:pt idx="9">
                  <c:v>300</c:v>
                </c:pt>
                <c:pt idx="10">
                  <c:v>4570</c:v>
                </c:pt>
                <c:pt idx="11">
                  <c:v>2040</c:v>
                </c:pt>
                <c:pt idx="12">
                  <c:v>1920</c:v>
                </c:pt>
                <c:pt idx="13">
                  <c:v>4350</c:v>
                </c:pt>
                <c:pt idx="14">
                  <c:v>26300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623296"/>
        <c:axId val="738759744"/>
      </c:lineChart>
      <c:catAx>
        <c:axId val="7416232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38759744"/>
        <c:crosses val="autoZero"/>
        <c:auto val="1"/>
        <c:lblAlgn val="ctr"/>
        <c:lblOffset val="100"/>
        <c:noMultiLvlLbl val="0"/>
      </c:catAx>
      <c:valAx>
        <c:axId val="7387597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1623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"/>
                <c:pt idx="0">
                  <c:v>0% 0% 25% 0% 37% 0% 21% 33% 0% 0% 0% 0% 37% 0% 33%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SAM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0.24865384615384614</c:v>
                </c:pt>
                <c:pt idx="3">
                  <c:v>0</c:v>
                </c:pt>
                <c:pt idx="4">
                  <c:v>0.37435714285714289</c:v>
                </c:pt>
                <c:pt idx="5">
                  <c:v>0</c:v>
                </c:pt>
                <c:pt idx="6">
                  <c:v>0.2079741379310345</c:v>
                </c:pt>
                <c:pt idx="7">
                  <c:v>0.33306010928961749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0.37460937499999997</c:v>
                </c:pt>
                <c:pt idx="13">
                  <c:v>0</c:v>
                </c:pt>
                <c:pt idx="14">
                  <c:v>0.33313054499366285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SAM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0.12478567708168692</c:v>
                </c:pt>
                <c:pt idx="1">
                  <c:v>0.12478567708168692</c:v>
                </c:pt>
                <c:pt idx="2">
                  <c:v>0.12478567708168692</c:v>
                </c:pt>
                <c:pt idx="3">
                  <c:v>0.12478567708168692</c:v>
                </c:pt>
                <c:pt idx="4">
                  <c:v>0.12478567708168692</c:v>
                </c:pt>
                <c:pt idx="5">
                  <c:v>0.12478567708168692</c:v>
                </c:pt>
                <c:pt idx="6">
                  <c:v>0.12478567708168692</c:v>
                </c:pt>
                <c:pt idx="7">
                  <c:v>0.12478567708168692</c:v>
                </c:pt>
                <c:pt idx="8">
                  <c:v>0.12478567708168692</c:v>
                </c:pt>
                <c:pt idx="9">
                  <c:v>0.12478567708168692</c:v>
                </c:pt>
                <c:pt idx="10">
                  <c:v>0.12478567708168692</c:v>
                </c:pt>
                <c:pt idx="11">
                  <c:v>0.12478567708168692</c:v>
                </c:pt>
                <c:pt idx="12">
                  <c:v>0.12478567708168692</c:v>
                </c:pt>
                <c:pt idx="13">
                  <c:v>0.12478567708168692</c:v>
                </c:pt>
                <c:pt idx="14">
                  <c:v>0.12478567708168692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624320"/>
        <c:axId val="738761472"/>
      </c:lineChart>
      <c:catAx>
        <c:axId val="74162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38761472"/>
        <c:crosses val="autoZero"/>
        <c:auto val="1"/>
        <c:lblAlgn val="ctr"/>
        <c:lblOffset val="100"/>
        <c:noMultiLvlLbl val="0"/>
      </c:catAx>
      <c:valAx>
        <c:axId val="738761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1624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SAM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2">
                  <c:v>1293</c:v>
                </c:pt>
                <c:pt idx="4">
                  <c:v>1747</c:v>
                </c:pt>
                <c:pt idx="6">
                  <c:v>579</c:v>
                </c:pt>
                <c:pt idx="7">
                  <c:v>1219</c:v>
                </c:pt>
                <c:pt idx="12">
                  <c:v>1918</c:v>
                </c:pt>
                <c:pt idx="14">
                  <c:v>26284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SAM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4370</c:v>
                </c:pt>
                <c:pt idx="2">
                  <c:v>1300</c:v>
                </c:pt>
                <c:pt idx="3">
                  <c:v>1840</c:v>
                </c:pt>
                <c:pt idx="4">
                  <c:v>1750</c:v>
                </c:pt>
                <c:pt idx="5">
                  <c:v>1550</c:v>
                </c:pt>
                <c:pt idx="6">
                  <c:v>580</c:v>
                </c:pt>
                <c:pt idx="7">
                  <c:v>1220</c:v>
                </c:pt>
                <c:pt idx="8">
                  <c:v>470</c:v>
                </c:pt>
                <c:pt idx="9">
                  <c:v>300</c:v>
                </c:pt>
                <c:pt idx="10">
                  <c:v>4570</c:v>
                </c:pt>
                <c:pt idx="11">
                  <c:v>2040</c:v>
                </c:pt>
                <c:pt idx="12">
                  <c:v>1920</c:v>
                </c:pt>
                <c:pt idx="13">
                  <c:v>4350</c:v>
                </c:pt>
                <c:pt idx="14">
                  <c:v>26300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625344"/>
        <c:axId val="741262464"/>
      </c:lineChart>
      <c:catAx>
        <c:axId val="7416253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41262464"/>
        <c:crosses val="autoZero"/>
        <c:auto val="1"/>
        <c:lblAlgn val="ctr"/>
        <c:lblOffset val="100"/>
        <c:noMultiLvlLbl val="0"/>
      </c:catAx>
      <c:valAx>
        <c:axId val="7412624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1625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"/>
                <c:pt idx="0">
                  <c:v>0% 0% 25% 0% 37% 0% 21% 33% 0% 0% 0% 0% 37% 0% 33%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SAM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0.24865384615384614</c:v>
                </c:pt>
                <c:pt idx="3">
                  <c:v>0</c:v>
                </c:pt>
                <c:pt idx="4">
                  <c:v>0.37435714285714289</c:v>
                </c:pt>
                <c:pt idx="5">
                  <c:v>0</c:v>
                </c:pt>
                <c:pt idx="6">
                  <c:v>0.2079741379310345</c:v>
                </c:pt>
                <c:pt idx="7">
                  <c:v>0.33306010928961749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0.37460937499999997</c:v>
                </c:pt>
                <c:pt idx="13">
                  <c:v>0</c:v>
                </c:pt>
                <c:pt idx="14">
                  <c:v>0.33313054499366285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SAM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0.12478567708168692</c:v>
                </c:pt>
                <c:pt idx="1">
                  <c:v>0.12478567708168692</c:v>
                </c:pt>
                <c:pt idx="2">
                  <c:v>0.12478567708168692</c:v>
                </c:pt>
                <c:pt idx="3">
                  <c:v>0.12478567708168692</c:v>
                </c:pt>
                <c:pt idx="4">
                  <c:v>0.12478567708168692</c:v>
                </c:pt>
                <c:pt idx="5">
                  <c:v>0.12478567708168692</c:v>
                </c:pt>
                <c:pt idx="6">
                  <c:v>0.12478567708168692</c:v>
                </c:pt>
                <c:pt idx="7">
                  <c:v>0.12478567708168692</c:v>
                </c:pt>
                <c:pt idx="8">
                  <c:v>0.12478567708168692</c:v>
                </c:pt>
                <c:pt idx="9">
                  <c:v>0.12478567708168692</c:v>
                </c:pt>
                <c:pt idx="10">
                  <c:v>0.12478567708168692</c:v>
                </c:pt>
                <c:pt idx="11">
                  <c:v>0.12478567708168692</c:v>
                </c:pt>
                <c:pt idx="12">
                  <c:v>0.12478567708168692</c:v>
                </c:pt>
                <c:pt idx="13">
                  <c:v>0.12478567708168692</c:v>
                </c:pt>
                <c:pt idx="14">
                  <c:v>0.12478567708168692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987328"/>
        <c:axId val="741264192"/>
      </c:lineChart>
      <c:catAx>
        <c:axId val="74198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41264192"/>
        <c:crosses val="autoZero"/>
        <c:auto val="1"/>
        <c:lblAlgn val="ctr"/>
        <c:lblOffset val="100"/>
        <c:noMultiLvlLbl val="0"/>
      </c:catAx>
      <c:valAx>
        <c:axId val="7412641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1987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1988352"/>
        <c:axId val="74126649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988352"/>
        <c:axId val="741266496"/>
      </c:lineChart>
      <c:catAx>
        <c:axId val="741988352"/>
        <c:scaling>
          <c:orientation val="minMax"/>
        </c:scaling>
        <c:delete val="0"/>
        <c:axPos val="b"/>
        <c:majorTickMark val="out"/>
        <c:minorTickMark val="none"/>
        <c:tickLblPos val="nextTo"/>
        <c:crossAx val="741266496"/>
        <c:crosses val="autoZero"/>
        <c:auto val="1"/>
        <c:lblAlgn val="ctr"/>
        <c:lblOffset val="100"/>
        <c:noMultiLvlLbl val="0"/>
      </c:catAx>
      <c:valAx>
        <c:axId val="7412664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4198835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6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BODY</c:v>
                </c:pt>
                <c:pt idx="8">
                  <c:v>SPACER L/R</c:v>
                </c:pt>
                <c:pt idx="9">
                  <c:v>BODY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3">
                  <c:v>2069</c:v>
                </c:pt>
                <c:pt idx="4">
                  <c:v>4573</c:v>
                </c:pt>
                <c:pt idx="6">
                  <c:v>124</c:v>
                </c:pt>
                <c:pt idx="7">
                  <c:v>153</c:v>
                </c:pt>
                <c:pt idx="8">
                  <c:v>301</c:v>
                </c:pt>
                <c:pt idx="9">
                  <c:v>2554</c:v>
                </c:pt>
                <c:pt idx="13">
                  <c:v>236</c:v>
                </c:pt>
                <c:pt idx="14">
                  <c:v>4697</c:v>
                </c:pt>
                <c:pt idx="16">
                  <c:v>48172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6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BODY</c:v>
                </c:pt>
                <c:pt idx="8">
                  <c:v>SPACER L/R</c:v>
                </c:pt>
                <c:pt idx="9">
                  <c:v>BODY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6140</c:v>
                </c:pt>
                <c:pt idx="1">
                  <c:v>4370</c:v>
                </c:pt>
                <c:pt idx="2">
                  <c:v>1300</c:v>
                </c:pt>
                <c:pt idx="3">
                  <c:v>2070</c:v>
                </c:pt>
                <c:pt idx="4">
                  <c:v>4580</c:v>
                </c:pt>
                <c:pt idx="5">
                  <c:v>1550</c:v>
                </c:pt>
                <c:pt idx="6">
                  <c:v>125</c:v>
                </c:pt>
                <c:pt idx="7">
                  <c:v>154</c:v>
                </c:pt>
                <c:pt idx="8">
                  <c:v>301</c:v>
                </c:pt>
                <c:pt idx="9">
                  <c:v>2560</c:v>
                </c:pt>
                <c:pt idx="10">
                  <c:v>470</c:v>
                </c:pt>
                <c:pt idx="11">
                  <c:v>300</c:v>
                </c:pt>
                <c:pt idx="12">
                  <c:v>4570</c:v>
                </c:pt>
                <c:pt idx="13">
                  <c:v>236</c:v>
                </c:pt>
                <c:pt idx="14">
                  <c:v>4700</c:v>
                </c:pt>
                <c:pt idx="15">
                  <c:v>4350</c:v>
                </c:pt>
                <c:pt idx="16">
                  <c:v>48180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302784"/>
        <c:axId val="742547456"/>
      </c:lineChart>
      <c:catAx>
        <c:axId val="7573027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42547456"/>
        <c:crosses val="autoZero"/>
        <c:auto val="1"/>
        <c:lblAlgn val="ctr"/>
        <c:lblOffset val="100"/>
        <c:noMultiLvlLbl val="0"/>
      </c:catAx>
      <c:valAx>
        <c:axId val="7425474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57302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"/>
                <c:pt idx="0">
                  <c:v>0% 0% 0% 50% 92% 0% 8% 12% 13% 62% 0% 0% 0% 13% 100% 0% 96%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'22'!$D$6:$D$22</c:f>
              <c:strCache>
                <c:ptCount val="16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BODY</c:v>
                </c:pt>
                <c:pt idx="8">
                  <c:v>SPACER L/R</c:v>
                </c:pt>
                <c:pt idx="9">
                  <c:v>BODY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0.49975845410628017</c:v>
                </c:pt>
                <c:pt idx="4">
                  <c:v>0.91526564774381369</c:v>
                </c:pt>
                <c:pt idx="5">
                  <c:v>0</c:v>
                </c:pt>
                <c:pt idx="6">
                  <c:v>8.2666666666666666E-2</c:v>
                </c:pt>
                <c:pt idx="7">
                  <c:v>0.12418831168831169</c:v>
                </c:pt>
                <c:pt idx="8">
                  <c:v>0.125</c:v>
                </c:pt>
                <c:pt idx="9">
                  <c:v>0.62353515625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0.125</c:v>
                </c:pt>
                <c:pt idx="14">
                  <c:v>0.99936170212765962</c:v>
                </c:pt>
                <c:pt idx="15">
                  <c:v>0</c:v>
                </c:pt>
                <c:pt idx="16">
                  <c:v>0.95817420783174212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'22'!$D$6:$D$22</c:f>
              <c:strCache>
                <c:ptCount val="16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BODY</c:v>
                </c:pt>
                <c:pt idx="8">
                  <c:v>SPACER L/R</c:v>
                </c:pt>
                <c:pt idx="9">
                  <c:v>BODY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0.29686334309429829</c:v>
                </c:pt>
                <c:pt idx="1">
                  <c:v>0.29686334309429829</c:v>
                </c:pt>
                <c:pt idx="2">
                  <c:v>0.29686334309429829</c:v>
                </c:pt>
                <c:pt idx="3">
                  <c:v>0.29686334309429829</c:v>
                </c:pt>
                <c:pt idx="4">
                  <c:v>0.29686334309429829</c:v>
                </c:pt>
                <c:pt idx="5">
                  <c:v>0.29686334309429829</c:v>
                </c:pt>
                <c:pt idx="6">
                  <c:v>0.29686334309429829</c:v>
                </c:pt>
                <c:pt idx="7">
                  <c:v>0.29686334309429829</c:v>
                </c:pt>
                <c:pt idx="8">
                  <c:v>0.29686334309429829</c:v>
                </c:pt>
                <c:pt idx="9">
                  <c:v>0.29686334309429829</c:v>
                </c:pt>
                <c:pt idx="10">
                  <c:v>0.29686334309429829</c:v>
                </c:pt>
                <c:pt idx="11">
                  <c:v>0.29686334309429829</c:v>
                </c:pt>
                <c:pt idx="12">
                  <c:v>0.29686334309429829</c:v>
                </c:pt>
                <c:pt idx="13">
                  <c:v>0.29686334309429829</c:v>
                </c:pt>
                <c:pt idx="14">
                  <c:v>0.29686334309429829</c:v>
                </c:pt>
                <c:pt idx="15">
                  <c:v>0.29686334309429829</c:v>
                </c:pt>
                <c:pt idx="16">
                  <c:v>0.29686334309429829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703680"/>
        <c:axId val="742549184"/>
      </c:lineChart>
      <c:catAx>
        <c:axId val="74170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42549184"/>
        <c:crosses val="autoZero"/>
        <c:auto val="1"/>
        <c:lblAlgn val="ctr"/>
        <c:lblOffset val="100"/>
        <c:noMultiLvlLbl val="0"/>
      </c:catAx>
      <c:valAx>
        <c:axId val="7425491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1703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6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BODY</c:v>
                </c:pt>
                <c:pt idx="8">
                  <c:v>SPACER L/R</c:v>
                </c:pt>
                <c:pt idx="9">
                  <c:v>BODY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3">
                  <c:v>2069</c:v>
                </c:pt>
                <c:pt idx="4">
                  <c:v>4573</c:v>
                </c:pt>
                <c:pt idx="6">
                  <c:v>124</c:v>
                </c:pt>
                <c:pt idx="7">
                  <c:v>153</c:v>
                </c:pt>
                <c:pt idx="8">
                  <c:v>301</c:v>
                </c:pt>
                <c:pt idx="9">
                  <c:v>2554</c:v>
                </c:pt>
                <c:pt idx="13">
                  <c:v>236</c:v>
                </c:pt>
                <c:pt idx="14">
                  <c:v>4697</c:v>
                </c:pt>
                <c:pt idx="16">
                  <c:v>48172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6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BODY</c:v>
                </c:pt>
                <c:pt idx="8">
                  <c:v>SPACER L/R</c:v>
                </c:pt>
                <c:pt idx="9">
                  <c:v>BODY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6140</c:v>
                </c:pt>
                <c:pt idx="1">
                  <c:v>4370</c:v>
                </c:pt>
                <c:pt idx="2">
                  <c:v>1300</c:v>
                </c:pt>
                <c:pt idx="3">
                  <c:v>2070</c:v>
                </c:pt>
                <c:pt idx="4">
                  <c:v>4580</c:v>
                </c:pt>
                <c:pt idx="5">
                  <c:v>1550</c:v>
                </c:pt>
                <c:pt idx="6">
                  <c:v>125</c:v>
                </c:pt>
                <c:pt idx="7">
                  <c:v>154</c:v>
                </c:pt>
                <c:pt idx="8">
                  <c:v>301</c:v>
                </c:pt>
                <c:pt idx="9">
                  <c:v>2560</c:v>
                </c:pt>
                <c:pt idx="10">
                  <c:v>470</c:v>
                </c:pt>
                <c:pt idx="11">
                  <c:v>300</c:v>
                </c:pt>
                <c:pt idx="12">
                  <c:v>4570</c:v>
                </c:pt>
                <c:pt idx="13">
                  <c:v>236</c:v>
                </c:pt>
                <c:pt idx="14">
                  <c:v>4700</c:v>
                </c:pt>
                <c:pt idx="15">
                  <c:v>4350</c:v>
                </c:pt>
                <c:pt idx="16">
                  <c:v>48180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704192"/>
        <c:axId val="742551488"/>
      </c:lineChart>
      <c:catAx>
        <c:axId val="7417041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42551488"/>
        <c:crosses val="autoZero"/>
        <c:auto val="1"/>
        <c:lblAlgn val="ctr"/>
        <c:lblOffset val="100"/>
        <c:noMultiLvlLbl val="0"/>
      </c:catAx>
      <c:valAx>
        <c:axId val="7425514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1704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"/>
                <c:pt idx="0">
                  <c:v>0% 0% 0% 50% 92% 0% 8% 12% 13% 62% 0% 0% 0% 13% 100% 0% 96%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'22'!$D$6:$D$22</c:f>
              <c:strCache>
                <c:ptCount val="16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BODY</c:v>
                </c:pt>
                <c:pt idx="8">
                  <c:v>SPACER L/R</c:v>
                </c:pt>
                <c:pt idx="9">
                  <c:v>BODY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0.49975845410628017</c:v>
                </c:pt>
                <c:pt idx="4">
                  <c:v>0.91526564774381369</c:v>
                </c:pt>
                <c:pt idx="5">
                  <c:v>0</c:v>
                </c:pt>
                <c:pt idx="6">
                  <c:v>8.2666666666666666E-2</c:v>
                </c:pt>
                <c:pt idx="7">
                  <c:v>0.12418831168831169</c:v>
                </c:pt>
                <c:pt idx="8">
                  <c:v>0.125</c:v>
                </c:pt>
                <c:pt idx="9">
                  <c:v>0.62353515625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0.125</c:v>
                </c:pt>
                <c:pt idx="14">
                  <c:v>0.99936170212765962</c:v>
                </c:pt>
                <c:pt idx="15">
                  <c:v>0</c:v>
                </c:pt>
                <c:pt idx="16">
                  <c:v>0.95817420783174212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'22'!$D$6:$D$22</c:f>
              <c:strCache>
                <c:ptCount val="16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BODY</c:v>
                </c:pt>
                <c:pt idx="8">
                  <c:v>SPACER L/R</c:v>
                </c:pt>
                <c:pt idx="9">
                  <c:v>BODY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0.29686334309429829</c:v>
                </c:pt>
                <c:pt idx="1">
                  <c:v>0.29686334309429829</c:v>
                </c:pt>
                <c:pt idx="2">
                  <c:v>0.29686334309429829</c:v>
                </c:pt>
                <c:pt idx="3">
                  <c:v>0.29686334309429829</c:v>
                </c:pt>
                <c:pt idx="4">
                  <c:v>0.29686334309429829</c:v>
                </c:pt>
                <c:pt idx="5">
                  <c:v>0.29686334309429829</c:v>
                </c:pt>
                <c:pt idx="6">
                  <c:v>0.29686334309429829</c:v>
                </c:pt>
                <c:pt idx="7">
                  <c:v>0.29686334309429829</c:v>
                </c:pt>
                <c:pt idx="8">
                  <c:v>0.29686334309429829</c:v>
                </c:pt>
                <c:pt idx="9">
                  <c:v>0.29686334309429829</c:v>
                </c:pt>
                <c:pt idx="10">
                  <c:v>0.29686334309429829</c:v>
                </c:pt>
                <c:pt idx="11">
                  <c:v>0.29686334309429829</c:v>
                </c:pt>
                <c:pt idx="12">
                  <c:v>0.29686334309429829</c:v>
                </c:pt>
                <c:pt idx="13">
                  <c:v>0.29686334309429829</c:v>
                </c:pt>
                <c:pt idx="14">
                  <c:v>0.29686334309429829</c:v>
                </c:pt>
                <c:pt idx="15">
                  <c:v>0.29686334309429829</c:v>
                </c:pt>
                <c:pt idx="16">
                  <c:v>0.29686334309429829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705216"/>
        <c:axId val="742553216"/>
      </c:lineChart>
      <c:catAx>
        <c:axId val="74170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42553216"/>
        <c:crosses val="autoZero"/>
        <c:auto val="1"/>
        <c:lblAlgn val="ctr"/>
        <c:lblOffset val="100"/>
        <c:noMultiLvlLbl val="0"/>
      </c:catAx>
      <c:valAx>
        <c:axId val="7425532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170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1705728"/>
        <c:axId val="74185932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705728"/>
        <c:axId val="741859328"/>
      </c:lineChart>
      <c:catAx>
        <c:axId val="741705728"/>
        <c:scaling>
          <c:orientation val="minMax"/>
        </c:scaling>
        <c:delete val="0"/>
        <c:axPos val="b"/>
        <c:majorTickMark val="out"/>
        <c:minorTickMark val="none"/>
        <c:tickLblPos val="nextTo"/>
        <c:crossAx val="741859328"/>
        <c:crosses val="autoZero"/>
        <c:auto val="1"/>
        <c:lblAlgn val="ctr"/>
        <c:lblOffset val="100"/>
        <c:noMultiLvlLbl val="0"/>
      </c:catAx>
      <c:valAx>
        <c:axId val="7418593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4170572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SPACER L/R</c:v>
                </c:pt>
                <c:pt idx="7">
                  <c:v>SEPARATOR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3">
                  <c:v>188320</c:v>
                </c:pt>
                <c:pt idx="4">
                  <c:v>5840</c:v>
                </c:pt>
                <c:pt idx="7">
                  <c:v>2896</c:v>
                </c:pt>
                <c:pt idx="10">
                  <c:v>1075</c:v>
                </c:pt>
                <c:pt idx="12">
                  <c:v>5268</c:v>
                </c:pt>
                <c:pt idx="14">
                  <c:v>54432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SPACER L/R</c:v>
                </c:pt>
                <c:pt idx="7">
                  <c:v>SEPARATOR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4370</c:v>
                </c:pt>
                <c:pt idx="2">
                  <c:v>1300</c:v>
                </c:pt>
                <c:pt idx="3">
                  <c:v>188320</c:v>
                </c:pt>
                <c:pt idx="4">
                  <c:v>5840</c:v>
                </c:pt>
                <c:pt idx="5">
                  <c:v>1550</c:v>
                </c:pt>
                <c:pt idx="6">
                  <c:v>301</c:v>
                </c:pt>
                <c:pt idx="7">
                  <c:v>2900</c:v>
                </c:pt>
                <c:pt idx="8">
                  <c:v>470</c:v>
                </c:pt>
                <c:pt idx="9">
                  <c:v>300</c:v>
                </c:pt>
                <c:pt idx="10">
                  <c:v>1080</c:v>
                </c:pt>
                <c:pt idx="11">
                  <c:v>236</c:v>
                </c:pt>
                <c:pt idx="12">
                  <c:v>5270</c:v>
                </c:pt>
                <c:pt idx="13">
                  <c:v>4350</c:v>
                </c:pt>
                <c:pt idx="14">
                  <c:v>54440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283776"/>
        <c:axId val="741862208"/>
      </c:lineChart>
      <c:catAx>
        <c:axId val="7422837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41862208"/>
        <c:crosses val="autoZero"/>
        <c:auto val="1"/>
        <c:lblAlgn val="ctr"/>
        <c:lblOffset val="100"/>
        <c:noMultiLvlLbl val="0"/>
      </c:catAx>
      <c:valAx>
        <c:axId val="7418622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2283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"/>
                <c:pt idx="0">
                  <c:v>0% 0% 0% 92% 100% 0% 0% 25% 0% 0% 29% 0% 100%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SPACER L/R</c:v>
                </c:pt>
                <c:pt idx="7">
                  <c:v>SEPARATOR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0.91666666666666663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0.24965517241379309</c:v>
                </c:pt>
                <c:pt idx="8">
                  <c:v>0</c:v>
                </c:pt>
                <c:pt idx="9">
                  <c:v>0</c:v>
                </c:pt>
                <c:pt idx="10">
                  <c:v>0.29031635802469136</c:v>
                </c:pt>
                <c:pt idx="11">
                  <c:v>0</c:v>
                </c:pt>
                <c:pt idx="12">
                  <c:v>0.99962049335863379</c:v>
                </c:pt>
                <c:pt idx="13">
                  <c:v>0</c:v>
                </c:pt>
                <c:pt idx="14">
                  <c:v>0.99985304922850848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SPACER L/R</c:v>
                </c:pt>
                <c:pt idx="7">
                  <c:v>SEPARATOR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0.29707411597948619</c:v>
                </c:pt>
                <c:pt idx="1">
                  <c:v>0.29707411597948619</c:v>
                </c:pt>
                <c:pt idx="2">
                  <c:v>0.29707411597948619</c:v>
                </c:pt>
                <c:pt idx="3">
                  <c:v>0.29707411597948619</c:v>
                </c:pt>
                <c:pt idx="4">
                  <c:v>0.29707411597948619</c:v>
                </c:pt>
                <c:pt idx="5">
                  <c:v>0.29707411597948619</c:v>
                </c:pt>
                <c:pt idx="6">
                  <c:v>0.29707411597948619</c:v>
                </c:pt>
                <c:pt idx="7">
                  <c:v>0.29707411597948619</c:v>
                </c:pt>
                <c:pt idx="8">
                  <c:v>0.29707411597948619</c:v>
                </c:pt>
                <c:pt idx="9">
                  <c:v>0.29707411597948619</c:v>
                </c:pt>
                <c:pt idx="10">
                  <c:v>0.29707411597948619</c:v>
                </c:pt>
                <c:pt idx="11">
                  <c:v>0.29707411597948619</c:v>
                </c:pt>
                <c:pt idx="12">
                  <c:v>0.29707411597948619</c:v>
                </c:pt>
                <c:pt idx="13">
                  <c:v>0.29707411597948619</c:v>
                </c:pt>
                <c:pt idx="14">
                  <c:v>0.29707411597948619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199296"/>
        <c:axId val="741863936"/>
      </c:lineChart>
      <c:catAx>
        <c:axId val="742199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41863936"/>
        <c:crosses val="autoZero"/>
        <c:auto val="1"/>
        <c:lblAlgn val="ctr"/>
        <c:lblOffset val="100"/>
        <c:noMultiLvlLbl val="0"/>
      </c:catAx>
      <c:valAx>
        <c:axId val="7418639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2199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SPACER L/R</c:v>
                </c:pt>
                <c:pt idx="7">
                  <c:v>SEPARATOR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3">
                  <c:v>188320</c:v>
                </c:pt>
                <c:pt idx="4">
                  <c:v>5840</c:v>
                </c:pt>
                <c:pt idx="7">
                  <c:v>2896</c:v>
                </c:pt>
                <c:pt idx="10">
                  <c:v>1075</c:v>
                </c:pt>
                <c:pt idx="12">
                  <c:v>5268</c:v>
                </c:pt>
                <c:pt idx="14">
                  <c:v>54432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SPACER L/R</c:v>
                </c:pt>
                <c:pt idx="7">
                  <c:v>SEPARATOR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4370</c:v>
                </c:pt>
                <c:pt idx="2">
                  <c:v>1300</c:v>
                </c:pt>
                <c:pt idx="3">
                  <c:v>188320</c:v>
                </c:pt>
                <c:pt idx="4">
                  <c:v>5840</c:v>
                </c:pt>
                <c:pt idx="5">
                  <c:v>1550</c:v>
                </c:pt>
                <c:pt idx="6">
                  <c:v>301</c:v>
                </c:pt>
                <c:pt idx="7">
                  <c:v>2900</c:v>
                </c:pt>
                <c:pt idx="8">
                  <c:v>470</c:v>
                </c:pt>
                <c:pt idx="9">
                  <c:v>300</c:v>
                </c:pt>
                <c:pt idx="10">
                  <c:v>1080</c:v>
                </c:pt>
                <c:pt idx="11">
                  <c:v>236</c:v>
                </c:pt>
                <c:pt idx="12">
                  <c:v>5270</c:v>
                </c:pt>
                <c:pt idx="13">
                  <c:v>4350</c:v>
                </c:pt>
                <c:pt idx="14">
                  <c:v>54440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199808"/>
        <c:axId val="741866240"/>
      </c:lineChart>
      <c:catAx>
        <c:axId val="7421998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41866240"/>
        <c:crosses val="autoZero"/>
        <c:auto val="1"/>
        <c:lblAlgn val="ctr"/>
        <c:lblOffset val="100"/>
        <c:noMultiLvlLbl val="0"/>
      </c:catAx>
      <c:valAx>
        <c:axId val="74186624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2199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"/>
                <c:pt idx="0">
                  <c:v>0% 0% 0% 92% 100% 0% 0% 25% 0% 0% 29% 0% 100%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SPACER L/R</c:v>
                </c:pt>
                <c:pt idx="7">
                  <c:v>SEPARATOR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0.91666666666666663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0.24965517241379309</c:v>
                </c:pt>
                <c:pt idx="8">
                  <c:v>0</c:v>
                </c:pt>
                <c:pt idx="9">
                  <c:v>0</c:v>
                </c:pt>
                <c:pt idx="10">
                  <c:v>0.29031635802469136</c:v>
                </c:pt>
                <c:pt idx="11">
                  <c:v>0</c:v>
                </c:pt>
                <c:pt idx="12">
                  <c:v>0.99962049335863379</c:v>
                </c:pt>
                <c:pt idx="13">
                  <c:v>0</c:v>
                </c:pt>
                <c:pt idx="14">
                  <c:v>0.99985304922850848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SPACER L/R</c:v>
                </c:pt>
                <c:pt idx="7">
                  <c:v>SEPARATOR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0.29707411597948619</c:v>
                </c:pt>
                <c:pt idx="1">
                  <c:v>0.29707411597948619</c:v>
                </c:pt>
                <c:pt idx="2">
                  <c:v>0.29707411597948619</c:v>
                </c:pt>
                <c:pt idx="3">
                  <c:v>0.29707411597948619</c:v>
                </c:pt>
                <c:pt idx="4">
                  <c:v>0.29707411597948619</c:v>
                </c:pt>
                <c:pt idx="5">
                  <c:v>0.29707411597948619</c:v>
                </c:pt>
                <c:pt idx="6">
                  <c:v>0.29707411597948619</c:v>
                </c:pt>
                <c:pt idx="7">
                  <c:v>0.29707411597948619</c:v>
                </c:pt>
                <c:pt idx="8">
                  <c:v>0.29707411597948619</c:v>
                </c:pt>
                <c:pt idx="9">
                  <c:v>0.29707411597948619</c:v>
                </c:pt>
                <c:pt idx="10">
                  <c:v>0.29707411597948619</c:v>
                </c:pt>
                <c:pt idx="11">
                  <c:v>0.29707411597948619</c:v>
                </c:pt>
                <c:pt idx="12">
                  <c:v>0.29707411597948619</c:v>
                </c:pt>
                <c:pt idx="13">
                  <c:v>0.29707411597948619</c:v>
                </c:pt>
                <c:pt idx="14">
                  <c:v>0.29707411597948619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200832"/>
        <c:axId val="742359616"/>
      </c:lineChart>
      <c:catAx>
        <c:axId val="74220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42359616"/>
        <c:crosses val="autoZero"/>
        <c:auto val="1"/>
        <c:lblAlgn val="ctr"/>
        <c:lblOffset val="100"/>
        <c:noMultiLvlLbl val="0"/>
      </c:catAx>
      <c:valAx>
        <c:axId val="7423596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2200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2201344"/>
        <c:axId val="7423619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201344"/>
        <c:axId val="742361920"/>
      </c:lineChart>
      <c:catAx>
        <c:axId val="742201344"/>
        <c:scaling>
          <c:orientation val="minMax"/>
        </c:scaling>
        <c:delete val="0"/>
        <c:axPos val="b"/>
        <c:majorTickMark val="out"/>
        <c:minorTickMark val="none"/>
        <c:tickLblPos val="nextTo"/>
        <c:crossAx val="742361920"/>
        <c:crosses val="autoZero"/>
        <c:auto val="1"/>
        <c:lblAlgn val="ctr"/>
        <c:lblOffset val="100"/>
        <c:noMultiLvlLbl val="0"/>
      </c:catAx>
      <c:valAx>
        <c:axId val="7423619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4220134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BASE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F/ADAPTER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3">
                  <c:v>180192</c:v>
                </c:pt>
                <c:pt idx="4">
                  <c:v>421</c:v>
                </c:pt>
                <c:pt idx="5">
                  <c:v>1628</c:v>
                </c:pt>
                <c:pt idx="7">
                  <c:v>1106</c:v>
                </c:pt>
                <c:pt idx="8">
                  <c:v>1993</c:v>
                </c:pt>
                <c:pt idx="13">
                  <c:v>5307</c:v>
                </c:pt>
                <c:pt idx="15">
                  <c:v>54784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BASE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F/ADAPTER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6140</c:v>
                </c:pt>
                <c:pt idx="1">
                  <c:v>4370</c:v>
                </c:pt>
                <c:pt idx="2">
                  <c:v>1300</c:v>
                </c:pt>
                <c:pt idx="3">
                  <c:v>180200</c:v>
                </c:pt>
                <c:pt idx="4">
                  <c:v>421</c:v>
                </c:pt>
                <c:pt idx="5">
                  <c:v>1630</c:v>
                </c:pt>
                <c:pt idx="6">
                  <c:v>301</c:v>
                </c:pt>
                <c:pt idx="7">
                  <c:v>1110</c:v>
                </c:pt>
                <c:pt idx="8">
                  <c:v>2000</c:v>
                </c:pt>
                <c:pt idx="9">
                  <c:v>470</c:v>
                </c:pt>
                <c:pt idx="10">
                  <c:v>300</c:v>
                </c:pt>
                <c:pt idx="11">
                  <c:v>1080</c:v>
                </c:pt>
                <c:pt idx="12">
                  <c:v>236</c:v>
                </c:pt>
                <c:pt idx="13">
                  <c:v>5310</c:v>
                </c:pt>
                <c:pt idx="14">
                  <c:v>4350</c:v>
                </c:pt>
                <c:pt idx="15">
                  <c:v>54790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498624"/>
        <c:axId val="742364800"/>
      </c:lineChart>
      <c:catAx>
        <c:axId val="74549862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42364800"/>
        <c:crosses val="autoZero"/>
        <c:auto val="1"/>
        <c:lblAlgn val="ctr"/>
        <c:lblOffset val="100"/>
        <c:noMultiLvlLbl val="0"/>
      </c:catAx>
      <c:valAx>
        <c:axId val="7423648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5498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"/>
                <c:pt idx="0">
                  <c:v>0% 0% 0% 92% 17% 67% 0% 25% 54% 0% 0% 0% 0% 100%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BASE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F/ADAPTER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0.91662597114317423</c:v>
                </c:pt>
                <c:pt idx="4">
                  <c:v>0.16666666666666666</c:v>
                </c:pt>
                <c:pt idx="5">
                  <c:v>0.66584867075664622</c:v>
                </c:pt>
                <c:pt idx="6">
                  <c:v>0</c:v>
                </c:pt>
                <c:pt idx="7">
                  <c:v>0.24909909909909911</c:v>
                </c:pt>
                <c:pt idx="8">
                  <c:v>0.53977083333333331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0.99943502824858754</c:v>
                </c:pt>
                <c:pt idx="14">
                  <c:v>0</c:v>
                </c:pt>
                <c:pt idx="15">
                  <c:v>0.99989049096550464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BASE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F/ADAPTER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0.30248911734753409</c:v>
                </c:pt>
                <c:pt idx="1">
                  <c:v>0.30248911734753409</c:v>
                </c:pt>
                <c:pt idx="2">
                  <c:v>0.30248911734753409</c:v>
                </c:pt>
                <c:pt idx="3">
                  <c:v>0.30248911734753409</c:v>
                </c:pt>
                <c:pt idx="4">
                  <c:v>0.30248911734753409</c:v>
                </c:pt>
                <c:pt idx="5">
                  <c:v>0.30248911734753409</c:v>
                </c:pt>
                <c:pt idx="6">
                  <c:v>0.30248911734753409</c:v>
                </c:pt>
                <c:pt idx="7">
                  <c:v>0.30248911734753409</c:v>
                </c:pt>
                <c:pt idx="8">
                  <c:v>0.30248911734753409</c:v>
                </c:pt>
                <c:pt idx="9">
                  <c:v>0.30248911734753409</c:v>
                </c:pt>
                <c:pt idx="10">
                  <c:v>0.30248911734753409</c:v>
                </c:pt>
                <c:pt idx="11">
                  <c:v>0.30248911734753409</c:v>
                </c:pt>
                <c:pt idx="12">
                  <c:v>0.30248911734753409</c:v>
                </c:pt>
                <c:pt idx="13">
                  <c:v>0.30248911734753409</c:v>
                </c:pt>
                <c:pt idx="14">
                  <c:v>0.30248911734753409</c:v>
                </c:pt>
                <c:pt idx="15">
                  <c:v>0.30248911734753409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201856"/>
        <c:axId val="742366528"/>
      </c:lineChart>
      <c:catAx>
        <c:axId val="74220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42366528"/>
        <c:crosses val="autoZero"/>
        <c:auto val="1"/>
        <c:lblAlgn val="ctr"/>
        <c:lblOffset val="100"/>
        <c:noMultiLvlLbl val="0"/>
      </c:catAx>
      <c:valAx>
        <c:axId val="7423665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2201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BASE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F/ADAPTER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3">
                  <c:v>180192</c:v>
                </c:pt>
                <c:pt idx="4">
                  <c:v>421</c:v>
                </c:pt>
                <c:pt idx="5">
                  <c:v>1628</c:v>
                </c:pt>
                <c:pt idx="7">
                  <c:v>1106</c:v>
                </c:pt>
                <c:pt idx="8">
                  <c:v>1993</c:v>
                </c:pt>
                <c:pt idx="13">
                  <c:v>5307</c:v>
                </c:pt>
                <c:pt idx="15">
                  <c:v>54784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BASE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F/ADAPTER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6140</c:v>
                </c:pt>
                <c:pt idx="1">
                  <c:v>4370</c:v>
                </c:pt>
                <c:pt idx="2">
                  <c:v>1300</c:v>
                </c:pt>
                <c:pt idx="3">
                  <c:v>180200</c:v>
                </c:pt>
                <c:pt idx="4">
                  <c:v>421</c:v>
                </c:pt>
                <c:pt idx="5">
                  <c:v>1630</c:v>
                </c:pt>
                <c:pt idx="6">
                  <c:v>301</c:v>
                </c:pt>
                <c:pt idx="7">
                  <c:v>1110</c:v>
                </c:pt>
                <c:pt idx="8">
                  <c:v>2000</c:v>
                </c:pt>
                <c:pt idx="9">
                  <c:v>470</c:v>
                </c:pt>
                <c:pt idx="10">
                  <c:v>300</c:v>
                </c:pt>
                <c:pt idx="11">
                  <c:v>1080</c:v>
                </c:pt>
                <c:pt idx="12">
                  <c:v>236</c:v>
                </c:pt>
                <c:pt idx="13">
                  <c:v>5310</c:v>
                </c:pt>
                <c:pt idx="14">
                  <c:v>4350</c:v>
                </c:pt>
                <c:pt idx="15">
                  <c:v>54790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669376"/>
        <c:axId val="707397312"/>
      </c:lineChart>
      <c:catAx>
        <c:axId val="5096693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07397312"/>
        <c:crosses val="autoZero"/>
        <c:auto val="1"/>
        <c:lblAlgn val="ctr"/>
        <c:lblOffset val="100"/>
        <c:noMultiLvlLbl val="0"/>
      </c:catAx>
      <c:valAx>
        <c:axId val="7073973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509669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"/>
                <c:pt idx="0">
                  <c:v>0% 0% 0% 92% 17% 67% 0% 25% 54% 0% 0% 0% 0% 100%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BASE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F/ADAPTER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0.91662597114317423</c:v>
                </c:pt>
                <c:pt idx="4">
                  <c:v>0.16666666666666666</c:v>
                </c:pt>
                <c:pt idx="5">
                  <c:v>0.66584867075664622</c:v>
                </c:pt>
                <c:pt idx="6">
                  <c:v>0</c:v>
                </c:pt>
                <c:pt idx="7">
                  <c:v>0.24909909909909911</c:v>
                </c:pt>
                <c:pt idx="8">
                  <c:v>0.53977083333333331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0.99943502824858754</c:v>
                </c:pt>
                <c:pt idx="14">
                  <c:v>0</c:v>
                </c:pt>
                <c:pt idx="15">
                  <c:v>0.99989049096550464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BASE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F/ADAPTER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0.30248911734753409</c:v>
                </c:pt>
                <c:pt idx="1">
                  <c:v>0.30248911734753409</c:v>
                </c:pt>
                <c:pt idx="2">
                  <c:v>0.30248911734753409</c:v>
                </c:pt>
                <c:pt idx="3">
                  <c:v>0.30248911734753409</c:v>
                </c:pt>
                <c:pt idx="4">
                  <c:v>0.30248911734753409</c:v>
                </c:pt>
                <c:pt idx="5">
                  <c:v>0.30248911734753409</c:v>
                </c:pt>
                <c:pt idx="6">
                  <c:v>0.30248911734753409</c:v>
                </c:pt>
                <c:pt idx="7">
                  <c:v>0.30248911734753409</c:v>
                </c:pt>
                <c:pt idx="8">
                  <c:v>0.30248911734753409</c:v>
                </c:pt>
                <c:pt idx="9">
                  <c:v>0.30248911734753409</c:v>
                </c:pt>
                <c:pt idx="10">
                  <c:v>0.30248911734753409</c:v>
                </c:pt>
                <c:pt idx="11">
                  <c:v>0.30248911734753409</c:v>
                </c:pt>
                <c:pt idx="12">
                  <c:v>0.30248911734753409</c:v>
                </c:pt>
                <c:pt idx="13">
                  <c:v>0.30248911734753409</c:v>
                </c:pt>
                <c:pt idx="14">
                  <c:v>0.30248911734753409</c:v>
                </c:pt>
                <c:pt idx="15">
                  <c:v>0.30248911734753409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669888"/>
        <c:axId val="707399040"/>
      </c:lineChart>
      <c:catAx>
        <c:axId val="50966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07399040"/>
        <c:crosses val="autoZero"/>
        <c:auto val="1"/>
        <c:lblAlgn val="ctr"/>
        <c:lblOffset val="100"/>
        <c:noMultiLvlLbl val="0"/>
      </c:catAx>
      <c:valAx>
        <c:axId val="7073990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509669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9670400"/>
        <c:axId val="70740134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670400"/>
        <c:axId val="707401344"/>
      </c:lineChart>
      <c:catAx>
        <c:axId val="509670400"/>
        <c:scaling>
          <c:orientation val="minMax"/>
        </c:scaling>
        <c:delete val="0"/>
        <c:axPos val="b"/>
        <c:majorTickMark val="out"/>
        <c:minorTickMark val="none"/>
        <c:tickLblPos val="nextTo"/>
        <c:crossAx val="707401344"/>
        <c:crosses val="autoZero"/>
        <c:auto val="1"/>
        <c:lblAlgn val="ctr"/>
        <c:lblOffset val="100"/>
        <c:noMultiLvlLbl val="0"/>
      </c:catAx>
      <c:valAx>
        <c:axId val="7074013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0967040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ACTUATOR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F/ADAPTER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5">
                  <c:v>2927</c:v>
                </c:pt>
                <c:pt idx="7">
                  <c:v>2400</c:v>
                </c:pt>
                <c:pt idx="8">
                  <c:v>615</c:v>
                </c:pt>
                <c:pt idx="13">
                  <c:v>1921</c:v>
                </c:pt>
                <c:pt idx="15">
                  <c:v>54860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ACTUATOR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F/ADAPTER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6140</c:v>
                </c:pt>
                <c:pt idx="1">
                  <c:v>4370</c:v>
                </c:pt>
                <c:pt idx="2">
                  <c:v>1300</c:v>
                </c:pt>
                <c:pt idx="3">
                  <c:v>180200</c:v>
                </c:pt>
                <c:pt idx="4">
                  <c:v>421</c:v>
                </c:pt>
                <c:pt idx="5">
                  <c:v>2930</c:v>
                </c:pt>
                <c:pt idx="6">
                  <c:v>301</c:v>
                </c:pt>
                <c:pt idx="7">
                  <c:v>2400</c:v>
                </c:pt>
                <c:pt idx="8">
                  <c:v>620</c:v>
                </c:pt>
                <c:pt idx="9">
                  <c:v>470</c:v>
                </c:pt>
                <c:pt idx="10">
                  <c:v>300</c:v>
                </c:pt>
                <c:pt idx="11">
                  <c:v>1080</c:v>
                </c:pt>
                <c:pt idx="12">
                  <c:v>236</c:v>
                </c:pt>
                <c:pt idx="13">
                  <c:v>1930</c:v>
                </c:pt>
                <c:pt idx="14">
                  <c:v>4350</c:v>
                </c:pt>
                <c:pt idx="15">
                  <c:v>54860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031168"/>
        <c:axId val="569852480"/>
      </c:lineChart>
      <c:catAx>
        <c:axId val="7450311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69852480"/>
        <c:crosses val="autoZero"/>
        <c:auto val="1"/>
        <c:lblAlgn val="ctr"/>
        <c:lblOffset val="100"/>
        <c:noMultiLvlLbl val="0"/>
      </c:catAx>
      <c:valAx>
        <c:axId val="5698524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5031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"/>
                <c:pt idx="0">
                  <c:v>0% 0% 0% 0% 0% 71% 0% 63% 17% 0% 0% 0% 0% 50%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'25'!$D$6:$D$21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ACTUATOR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F/ADAPTER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0.70760807736063713</c:v>
                </c:pt>
                <c:pt idx="6">
                  <c:v>0</c:v>
                </c:pt>
                <c:pt idx="7">
                  <c:v>0.625</c:v>
                </c:pt>
                <c:pt idx="8">
                  <c:v>0.16532258064516128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0.49766839378238342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'25'!$D$6:$D$21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ACTUATOR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F/ADAPTER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0.19970660345254546</c:v>
                </c:pt>
                <c:pt idx="1">
                  <c:v>0.19970660345254546</c:v>
                </c:pt>
                <c:pt idx="2">
                  <c:v>0.19970660345254546</c:v>
                </c:pt>
                <c:pt idx="3">
                  <c:v>0.19970660345254546</c:v>
                </c:pt>
                <c:pt idx="4">
                  <c:v>0.19970660345254546</c:v>
                </c:pt>
                <c:pt idx="5">
                  <c:v>0.19970660345254546</c:v>
                </c:pt>
                <c:pt idx="6">
                  <c:v>0.19970660345254546</c:v>
                </c:pt>
                <c:pt idx="7">
                  <c:v>0.19970660345254546</c:v>
                </c:pt>
                <c:pt idx="8">
                  <c:v>0.19970660345254546</c:v>
                </c:pt>
                <c:pt idx="9">
                  <c:v>0.19970660345254546</c:v>
                </c:pt>
                <c:pt idx="10">
                  <c:v>0.19970660345254546</c:v>
                </c:pt>
                <c:pt idx="11">
                  <c:v>0.19970660345254546</c:v>
                </c:pt>
                <c:pt idx="12">
                  <c:v>0.19970660345254546</c:v>
                </c:pt>
                <c:pt idx="13">
                  <c:v>0.19970660345254546</c:v>
                </c:pt>
                <c:pt idx="14">
                  <c:v>0.19970660345254546</c:v>
                </c:pt>
                <c:pt idx="15">
                  <c:v>0.19970660345254546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032192"/>
        <c:axId val="569854208"/>
      </c:lineChart>
      <c:catAx>
        <c:axId val="74503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69854208"/>
        <c:crosses val="autoZero"/>
        <c:auto val="1"/>
        <c:lblAlgn val="ctr"/>
        <c:lblOffset val="100"/>
        <c:noMultiLvlLbl val="0"/>
      </c:catAx>
      <c:valAx>
        <c:axId val="5698542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5032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ACTUATOR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F/ADAPTER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5">
                  <c:v>2927</c:v>
                </c:pt>
                <c:pt idx="7">
                  <c:v>2400</c:v>
                </c:pt>
                <c:pt idx="8">
                  <c:v>615</c:v>
                </c:pt>
                <c:pt idx="13">
                  <c:v>1921</c:v>
                </c:pt>
                <c:pt idx="15">
                  <c:v>54860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ACTUATOR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F/ADAPTER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6140</c:v>
                </c:pt>
                <c:pt idx="1">
                  <c:v>4370</c:v>
                </c:pt>
                <c:pt idx="2">
                  <c:v>1300</c:v>
                </c:pt>
                <c:pt idx="3">
                  <c:v>180200</c:v>
                </c:pt>
                <c:pt idx="4">
                  <c:v>421</c:v>
                </c:pt>
                <c:pt idx="5">
                  <c:v>2930</c:v>
                </c:pt>
                <c:pt idx="6">
                  <c:v>301</c:v>
                </c:pt>
                <c:pt idx="7">
                  <c:v>2400</c:v>
                </c:pt>
                <c:pt idx="8">
                  <c:v>620</c:v>
                </c:pt>
                <c:pt idx="9">
                  <c:v>470</c:v>
                </c:pt>
                <c:pt idx="10">
                  <c:v>300</c:v>
                </c:pt>
                <c:pt idx="11">
                  <c:v>1080</c:v>
                </c:pt>
                <c:pt idx="12">
                  <c:v>236</c:v>
                </c:pt>
                <c:pt idx="13">
                  <c:v>1930</c:v>
                </c:pt>
                <c:pt idx="14">
                  <c:v>4350</c:v>
                </c:pt>
                <c:pt idx="15">
                  <c:v>54860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960000"/>
        <c:axId val="569856512"/>
      </c:lineChart>
      <c:catAx>
        <c:axId val="7449600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69856512"/>
        <c:crosses val="autoZero"/>
        <c:auto val="1"/>
        <c:lblAlgn val="ctr"/>
        <c:lblOffset val="100"/>
        <c:noMultiLvlLbl val="0"/>
      </c:catAx>
      <c:valAx>
        <c:axId val="5698565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4960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"/>
                <c:pt idx="0">
                  <c:v>0% 0% 0% 0% 0% 71% 0% 63% 17% 0% 0% 0% 0% 50%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'25'!$D$6:$D$21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ACTUATOR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F/ADAPTER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0.70760807736063713</c:v>
                </c:pt>
                <c:pt idx="6">
                  <c:v>0</c:v>
                </c:pt>
                <c:pt idx="7">
                  <c:v>0.625</c:v>
                </c:pt>
                <c:pt idx="8">
                  <c:v>0.16532258064516128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0.49766839378238342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'25'!$D$6:$D$21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ACTUATOR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F/ADAPTER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0.19970660345254546</c:v>
                </c:pt>
                <c:pt idx="1">
                  <c:v>0.19970660345254546</c:v>
                </c:pt>
                <c:pt idx="2">
                  <c:v>0.19970660345254546</c:v>
                </c:pt>
                <c:pt idx="3">
                  <c:v>0.19970660345254546</c:v>
                </c:pt>
                <c:pt idx="4">
                  <c:v>0.19970660345254546</c:v>
                </c:pt>
                <c:pt idx="5">
                  <c:v>0.19970660345254546</c:v>
                </c:pt>
                <c:pt idx="6">
                  <c:v>0.19970660345254546</c:v>
                </c:pt>
                <c:pt idx="7">
                  <c:v>0.19970660345254546</c:v>
                </c:pt>
                <c:pt idx="8">
                  <c:v>0.19970660345254546</c:v>
                </c:pt>
                <c:pt idx="9">
                  <c:v>0.19970660345254546</c:v>
                </c:pt>
                <c:pt idx="10">
                  <c:v>0.19970660345254546</c:v>
                </c:pt>
                <c:pt idx="11">
                  <c:v>0.19970660345254546</c:v>
                </c:pt>
                <c:pt idx="12">
                  <c:v>0.19970660345254546</c:v>
                </c:pt>
                <c:pt idx="13">
                  <c:v>0.19970660345254546</c:v>
                </c:pt>
                <c:pt idx="14">
                  <c:v>0.19970660345254546</c:v>
                </c:pt>
                <c:pt idx="15">
                  <c:v>0.19970660345254546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960512"/>
        <c:axId val="569858240"/>
      </c:lineChart>
      <c:catAx>
        <c:axId val="74496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69858240"/>
        <c:crosses val="autoZero"/>
        <c:auto val="1"/>
        <c:lblAlgn val="ctr"/>
        <c:lblOffset val="100"/>
        <c:noMultiLvlLbl val="0"/>
      </c:catAx>
      <c:valAx>
        <c:axId val="5698582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4960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4961024"/>
        <c:axId val="74598048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961024"/>
        <c:axId val="745980480"/>
      </c:lineChart>
      <c:catAx>
        <c:axId val="744961024"/>
        <c:scaling>
          <c:orientation val="minMax"/>
        </c:scaling>
        <c:delete val="0"/>
        <c:axPos val="b"/>
        <c:majorTickMark val="out"/>
        <c:minorTickMark val="none"/>
        <c:tickLblPos val="nextTo"/>
        <c:crossAx val="745980480"/>
        <c:crosses val="autoZero"/>
        <c:auto val="1"/>
        <c:lblAlgn val="ctr"/>
        <c:lblOffset val="100"/>
        <c:noMultiLvlLbl val="0"/>
      </c:catAx>
      <c:valAx>
        <c:axId val="7459804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4496102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'26'!$L$6:$L$20</c:f>
              <c:numCache>
                <c:formatCode>_(* #,##0_);_(* \(#,##0\);_(* "-"_);_(@_)</c:formatCode>
                <c:ptCount val="15"/>
                <c:pt idx="5">
                  <c:v>1233</c:v>
                </c:pt>
                <c:pt idx="12">
                  <c:v>611</c:v>
                </c:pt>
                <c:pt idx="14">
                  <c:v>28656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'26'!$D$6:$D$20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'26'!$J$6:$J$20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4370</c:v>
                </c:pt>
                <c:pt idx="2">
                  <c:v>1300</c:v>
                </c:pt>
                <c:pt idx="3">
                  <c:v>180200</c:v>
                </c:pt>
                <c:pt idx="4">
                  <c:v>421</c:v>
                </c:pt>
                <c:pt idx="5">
                  <c:v>1240</c:v>
                </c:pt>
                <c:pt idx="6">
                  <c:v>301</c:v>
                </c:pt>
                <c:pt idx="7">
                  <c:v>620</c:v>
                </c:pt>
                <c:pt idx="8">
                  <c:v>470</c:v>
                </c:pt>
                <c:pt idx="9">
                  <c:v>300</c:v>
                </c:pt>
                <c:pt idx="10">
                  <c:v>1080</c:v>
                </c:pt>
                <c:pt idx="11">
                  <c:v>236</c:v>
                </c:pt>
                <c:pt idx="12">
                  <c:v>620</c:v>
                </c:pt>
                <c:pt idx="13">
                  <c:v>4350</c:v>
                </c:pt>
                <c:pt idx="14">
                  <c:v>28660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184192"/>
        <c:axId val="745983360"/>
      </c:lineChart>
      <c:catAx>
        <c:axId val="7461841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45983360"/>
        <c:crosses val="autoZero"/>
        <c:auto val="1"/>
        <c:lblAlgn val="ctr"/>
        <c:lblOffset val="100"/>
        <c:noMultiLvlLbl val="0"/>
      </c:catAx>
      <c:valAx>
        <c:axId val="7459833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6184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'26'!$AD$6:$AD$20</c:f>
              <c:strCache>
                <c:ptCount val="1"/>
                <c:pt idx="0">
                  <c:v>0% 0% 0% 0% 0% 29% 0% 0% 0% 0% 0% 0% 16% 0% 46%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'26'!$D$6:$D$20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0.2900201612903226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0.16424731182795699</c:v>
                </c:pt>
                <c:pt idx="13">
                  <c:v>0</c:v>
                </c:pt>
                <c:pt idx="14">
                  <c:v>0.45826936496859738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'26'!$D$6:$D$20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'26'!$AE$6:$AE$20</c:f>
              <c:numCache>
                <c:formatCode>0%</c:formatCode>
                <c:ptCount val="15"/>
                <c:pt idx="0">
                  <c:v>6.0835789205791801E-2</c:v>
                </c:pt>
                <c:pt idx="1">
                  <c:v>6.0835789205791801E-2</c:v>
                </c:pt>
                <c:pt idx="2">
                  <c:v>6.0835789205791801E-2</c:v>
                </c:pt>
                <c:pt idx="3">
                  <c:v>6.0835789205791801E-2</c:v>
                </c:pt>
                <c:pt idx="4">
                  <c:v>6.0835789205791801E-2</c:v>
                </c:pt>
                <c:pt idx="5">
                  <c:v>6.0835789205791801E-2</c:v>
                </c:pt>
                <c:pt idx="6">
                  <c:v>6.0835789205791801E-2</c:v>
                </c:pt>
                <c:pt idx="7">
                  <c:v>6.0835789205791801E-2</c:v>
                </c:pt>
                <c:pt idx="8">
                  <c:v>6.0835789205791801E-2</c:v>
                </c:pt>
                <c:pt idx="9">
                  <c:v>6.0835789205791801E-2</c:v>
                </c:pt>
                <c:pt idx="10">
                  <c:v>6.0835789205791801E-2</c:v>
                </c:pt>
                <c:pt idx="11">
                  <c:v>6.0835789205791801E-2</c:v>
                </c:pt>
                <c:pt idx="12">
                  <c:v>6.0835789205791801E-2</c:v>
                </c:pt>
                <c:pt idx="13">
                  <c:v>6.0835789205791801E-2</c:v>
                </c:pt>
                <c:pt idx="14">
                  <c:v>6.0835789205791801E-2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186240"/>
        <c:axId val="745985088"/>
      </c:lineChart>
      <c:catAx>
        <c:axId val="74618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45985088"/>
        <c:crosses val="autoZero"/>
        <c:auto val="1"/>
        <c:lblAlgn val="ctr"/>
        <c:lblOffset val="100"/>
        <c:noMultiLvlLbl val="0"/>
      </c:catAx>
      <c:valAx>
        <c:axId val="7459850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6186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'26'!$L$6:$L$20</c:f>
              <c:numCache>
                <c:formatCode>_(* #,##0_);_(* \(#,##0\);_(* "-"_);_(@_)</c:formatCode>
                <c:ptCount val="15"/>
                <c:pt idx="5">
                  <c:v>1233</c:v>
                </c:pt>
                <c:pt idx="12">
                  <c:v>611</c:v>
                </c:pt>
                <c:pt idx="14">
                  <c:v>28656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'26'!$D$6:$D$20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'26'!$J$6:$J$20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4370</c:v>
                </c:pt>
                <c:pt idx="2">
                  <c:v>1300</c:v>
                </c:pt>
                <c:pt idx="3">
                  <c:v>180200</c:v>
                </c:pt>
                <c:pt idx="4">
                  <c:v>421</c:v>
                </c:pt>
                <c:pt idx="5">
                  <c:v>1240</c:v>
                </c:pt>
                <c:pt idx="6">
                  <c:v>301</c:v>
                </c:pt>
                <c:pt idx="7">
                  <c:v>620</c:v>
                </c:pt>
                <c:pt idx="8">
                  <c:v>470</c:v>
                </c:pt>
                <c:pt idx="9">
                  <c:v>300</c:v>
                </c:pt>
                <c:pt idx="10">
                  <c:v>1080</c:v>
                </c:pt>
                <c:pt idx="11">
                  <c:v>236</c:v>
                </c:pt>
                <c:pt idx="12">
                  <c:v>620</c:v>
                </c:pt>
                <c:pt idx="13">
                  <c:v>4350</c:v>
                </c:pt>
                <c:pt idx="14">
                  <c:v>28660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186752"/>
        <c:axId val="745987392"/>
      </c:lineChart>
      <c:catAx>
        <c:axId val="7461867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45987392"/>
        <c:crosses val="autoZero"/>
        <c:auto val="1"/>
        <c:lblAlgn val="ctr"/>
        <c:lblOffset val="100"/>
        <c:noMultiLvlLbl val="0"/>
      </c:catAx>
      <c:valAx>
        <c:axId val="74598739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6186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'26'!$AD$6:$AD$20</c:f>
              <c:strCache>
                <c:ptCount val="1"/>
                <c:pt idx="0">
                  <c:v>0% 0% 0% 0% 0% 29% 0% 0% 0% 0% 0% 0% 16% 0% 46%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'26'!$D$6:$D$20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0.2900201612903226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0.16424731182795699</c:v>
                </c:pt>
                <c:pt idx="13">
                  <c:v>0</c:v>
                </c:pt>
                <c:pt idx="14">
                  <c:v>0.45826936496859738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'26'!$D$6:$D$20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BASE/UNDER</c:v>
                </c:pt>
                <c:pt idx="3">
                  <c:v>SHAFT</c:v>
                </c:pt>
                <c:pt idx="4">
                  <c:v>M2 CONN</c:v>
                </c:pt>
                <c:pt idx="5">
                  <c:v>SLIDER</c:v>
                </c:pt>
                <c:pt idx="6">
                  <c:v>SPACER L/R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'26'!$AE$6:$AE$20</c:f>
              <c:numCache>
                <c:formatCode>0%</c:formatCode>
                <c:ptCount val="15"/>
                <c:pt idx="0">
                  <c:v>6.0835789205791801E-2</c:v>
                </c:pt>
                <c:pt idx="1">
                  <c:v>6.0835789205791801E-2</c:v>
                </c:pt>
                <c:pt idx="2">
                  <c:v>6.0835789205791801E-2</c:v>
                </c:pt>
                <c:pt idx="3">
                  <c:v>6.0835789205791801E-2</c:v>
                </c:pt>
                <c:pt idx="4">
                  <c:v>6.0835789205791801E-2</c:v>
                </c:pt>
                <c:pt idx="5">
                  <c:v>6.0835789205791801E-2</c:v>
                </c:pt>
                <c:pt idx="6">
                  <c:v>6.0835789205791801E-2</c:v>
                </c:pt>
                <c:pt idx="7">
                  <c:v>6.0835789205791801E-2</c:v>
                </c:pt>
                <c:pt idx="8">
                  <c:v>6.0835789205791801E-2</c:v>
                </c:pt>
                <c:pt idx="9">
                  <c:v>6.0835789205791801E-2</c:v>
                </c:pt>
                <c:pt idx="10">
                  <c:v>6.0835789205791801E-2</c:v>
                </c:pt>
                <c:pt idx="11">
                  <c:v>6.0835789205791801E-2</c:v>
                </c:pt>
                <c:pt idx="12">
                  <c:v>6.0835789205791801E-2</c:v>
                </c:pt>
                <c:pt idx="13">
                  <c:v>6.0835789205791801E-2</c:v>
                </c:pt>
                <c:pt idx="14">
                  <c:v>6.0835789205791801E-2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844736"/>
        <c:axId val="745301120"/>
      </c:lineChart>
      <c:catAx>
        <c:axId val="745844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45301120"/>
        <c:crosses val="autoZero"/>
        <c:auto val="1"/>
        <c:lblAlgn val="ctr"/>
        <c:lblOffset val="100"/>
        <c:noMultiLvlLbl val="0"/>
      </c:catAx>
      <c:valAx>
        <c:axId val="7453011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5844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5845248"/>
        <c:axId val="7453034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845248"/>
        <c:axId val="745303424"/>
      </c:lineChart>
      <c:catAx>
        <c:axId val="745845248"/>
        <c:scaling>
          <c:orientation val="minMax"/>
        </c:scaling>
        <c:delete val="0"/>
        <c:axPos val="b"/>
        <c:majorTickMark val="out"/>
        <c:minorTickMark val="none"/>
        <c:tickLblPos val="nextTo"/>
        <c:crossAx val="745303424"/>
        <c:crosses val="autoZero"/>
        <c:auto val="1"/>
        <c:lblAlgn val="ctr"/>
        <c:lblOffset val="100"/>
        <c:noMultiLvlLbl val="0"/>
      </c:catAx>
      <c:valAx>
        <c:axId val="7453034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4584524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2">
                  <c:v>3112</c:v>
                </c:pt>
                <c:pt idx="3">
                  <c:v>1355</c:v>
                </c:pt>
                <c:pt idx="4">
                  <c:v>2594</c:v>
                </c:pt>
                <c:pt idx="6">
                  <c:v>3793</c:v>
                </c:pt>
                <c:pt idx="7">
                  <c:v>2576</c:v>
                </c:pt>
                <c:pt idx="10">
                  <c:v>4196</c:v>
                </c:pt>
                <c:pt idx="12">
                  <c:v>4930</c:v>
                </c:pt>
                <c:pt idx="14">
                  <c:v>53464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4370</c:v>
                </c:pt>
                <c:pt idx="2">
                  <c:v>3120</c:v>
                </c:pt>
                <c:pt idx="3">
                  <c:v>1360</c:v>
                </c:pt>
                <c:pt idx="4">
                  <c:v>2600</c:v>
                </c:pt>
                <c:pt idx="5">
                  <c:v>1240</c:v>
                </c:pt>
                <c:pt idx="6">
                  <c:v>3800</c:v>
                </c:pt>
                <c:pt idx="7">
                  <c:v>2580</c:v>
                </c:pt>
                <c:pt idx="8">
                  <c:v>470</c:v>
                </c:pt>
                <c:pt idx="9">
                  <c:v>300</c:v>
                </c:pt>
                <c:pt idx="10">
                  <c:v>4200</c:v>
                </c:pt>
                <c:pt idx="11">
                  <c:v>236</c:v>
                </c:pt>
                <c:pt idx="12">
                  <c:v>4930</c:v>
                </c:pt>
                <c:pt idx="13">
                  <c:v>4350</c:v>
                </c:pt>
                <c:pt idx="14">
                  <c:v>53470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725376"/>
        <c:axId val="745306304"/>
      </c:lineChart>
      <c:catAx>
        <c:axId val="7467253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45306304"/>
        <c:crosses val="autoZero"/>
        <c:auto val="1"/>
        <c:lblAlgn val="ctr"/>
        <c:lblOffset val="100"/>
        <c:noMultiLvlLbl val="0"/>
      </c:catAx>
      <c:valAx>
        <c:axId val="7453063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6725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"/>
                <c:pt idx="0">
                  <c:v>0% 0% 66% 33% 75% 0% 87% 58% 0% 0% 92% 0% 100%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0.66495726495726493</c:v>
                </c:pt>
                <c:pt idx="3">
                  <c:v>0.33210784313725489</c:v>
                </c:pt>
                <c:pt idx="4">
                  <c:v>0.74826923076923069</c:v>
                </c:pt>
                <c:pt idx="5">
                  <c:v>0</c:v>
                </c:pt>
                <c:pt idx="6">
                  <c:v>0.87338815789473689</c:v>
                </c:pt>
                <c:pt idx="7">
                  <c:v>0.58242894056847549</c:v>
                </c:pt>
                <c:pt idx="8">
                  <c:v>0</c:v>
                </c:pt>
                <c:pt idx="9">
                  <c:v>0</c:v>
                </c:pt>
                <c:pt idx="10">
                  <c:v>0.91579365079365083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0.99988778754441743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0.40778885837766876</c:v>
                </c:pt>
                <c:pt idx="1">
                  <c:v>0.40778885837766876</c:v>
                </c:pt>
                <c:pt idx="2">
                  <c:v>0.40778885837766876</c:v>
                </c:pt>
                <c:pt idx="3">
                  <c:v>0.40778885837766876</c:v>
                </c:pt>
                <c:pt idx="4">
                  <c:v>0.40778885837766876</c:v>
                </c:pt>
                <c:pt idx="5">
                  <c:v>0.40778885837766876</c:v>
                </c:pt>
                <c:pt idx="6">
                  <c:v>0.40778885837766876</c:v>
                </c:pt>
                <c:pt idx="7">
                  <c:v>0.40778885837766876</c:v>
                </c:pt>
                <c:pt idx="8">
                  <c:v>0.40778885837766876</c:v>
                </c:pt>
                <c:pt idx="9">
                  <c:v>0.40778885837766876</c:v>
                </c:pt>
                <c:pt idx="10">
                  <c:v>0.40778885837766876</c:v>
                </c:pt>
                <c:pt idx="11">
                  <c:v>0.40778885837766876</c:v>
                </c:pt>
                <c:pt idx="12">
                  <c:v>0.40778885837766876</c:v>
                </c:pt>
                <c:pt idx="13">
                  <c:v>0.40778885837766876</c:v>
                </c:pt>
                <c:pt idx="14">
                  <c:v>0.40778885837766876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726912"/>
        <c:axId val="746872832"/>
      </c:lineChart>
      <c:catAx>
        <c:axId val="746726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46872832"/>
        <c:crosses val="autoZero"/>
        <c:auto val="1"/>
        <c:lblAlgn val="ctr"/>
        <c:lblOffset val="100"/>
        <c:noMultiLvlLbl val="0"/>
      </c:catAx>
      <c:valAx>
        <c:axId val="746872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6726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2">
                  <c:v>3112</c:v>
                </c:pt>
                <c:pt idx="3">
                  <c:v>1355</c:v>
                </c:pt>
                <c:pt idx="4">
                  <c:v>2594</c:v>
                </c:pt>
                <c:pt idx="6">
                  <c:v>3793</c:v>
                </c:pt>
                <c:pt idx="7">
                  <c:v>2576</c:v>
                </c:pt>
                <c:pt idx="10">
                  <c:v>4196</c:v>
                </c:pt>
                <c:pt idx="12">
                  <c:v>4930</c:v>
                </c:pt>
                <c:pt idx="14">
                  <c:v>53464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4370</c:v>
                </c:pt>
                <c:pt idx="2">
                  <c:v>3120</c:v>
                </c:pt>
                <c:pt idx="3">
                  <c:v>1360</c:v>
                </c:pt>
                <c:pt idx="4">
                  <c:v>2600</c:v>
                </c:pt>
                <c:pt idx="5">
                  <c:v>1240</c:v>
                </c:pt>
                <c:pt idx="6">
                  <c:v>3800</c:v>
                </c:pt>
                <c:pt idx="7">
                  <c:v>2580</c:v>
                </c:pt>
                <c:pt idx="8">
                  <c:v>470</c:v>
                </c:pt>
                <c:pt idx="9">
                  <c:v>300</c:v>
                </c:pt>
                <c:pt idx="10">
                  <c:v>4200</c:v>
                </c:pt>
                <c:pt idx="11">
                  <c:v>236</c:v>
                </c:pt>
                <c:pt idx="12">
                  <c:v>4930</c:v>
                </c:pt>
                <c:pt idx="13">
                  <c:v>4350</c:v>
                </c:pt>
                <c:pt idx="14">
                  <c:v>53470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727424"/>
        <c:axId val="746875136"/>
      </c:lineChart>
      <c:catAx>
        <c:axId val="74672742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46875136"/>
        <c:crosses val="autoZero"/>
        <c:auto val="1"/>
        <c:lblAlgn val="ctr"/>
        <c:lblOffset val="100"/>
        <c:noMultiLvlLbl val="0"/>
      </c:catAx>
      <c:valAx>
        <c:axId val="7468751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6727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"/>
                <c:pt idx="0">
                  <c:v>0% 0% 66% 33% 75% 0% 87% 58% 0% 0% 92% 0% 100%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0.66495726495726493</c:v>
                </c:pt>
                <c:pt idx="3">
                  <c:v>0.33210784313725489</c:v>
                </c:pt>
                <c:pt idx="4">
                  <c:v>0.74826923076923069</c:v>
                </c:pt>
                <c:pt idx="5">
                  <c:v>0</c:v>
                </c:pt>
                <c:pt idx="6">
                  <c:v>0.87338815789473689</c:v>
                </c:pt>
                <c:pt idx="7">
                  <c:v>0.58242894056847549</c:v>
                </c:pt>
                <c:pt idx="8">
                  <c:v>0</c:v>
                </c:pt>
                <c:pt idx="9">
                  <c:v>0</c:v>
                </c:pt>
                <c:pt idx="10">
                  <c:v>0.91579365079365083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0.99988778754441743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'29'!$D$6:$D$20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0.40778885837766876</c:v>
                </c:pt>
                <c:pt idx="1">
                  <c:v>0.40778885837766876</c:v>
                </c:pt>
                <c:pt idx="2">
                  <c:v>0.40778885837766876</c:v>
                </c:pt>
                <c:pt idx="3">
                  <c:v>0.40778885837766876</c:v>
                </c:pt>
                <c:pt idx="4">
                  <c:v>0.40778885837766876</c:v>
                </c:pt>
                <c:pt idx="5">
                  <c:v>0.40778885837766876</c:v>
                </c:pt>
                <c:pt idx="6">
                  <c:v>0.40778885837766876</c:v>
                </c:pt>
                <c:pt idx="7">
                  <c:v>0.40778885837766876</c:v>
                </c:pt>
                <c:pt idx="8">
                  <c:v>0.40778885837766876</c:v>
                </c:pt>
                <c:pt idx="9">
                  <c:v>0.40778885837766876</c:v>
                </c:pt>
                <c:pt idx="10">
                  <c:v>0.40778885837766876</c:v>
                </c:pt>
                <c:pt idx="11">
                  <c:v>0.40778885837766876</c:v>
                </c:pt>
                <c:pt idx="12">
                  <c:v>0.40778885837766876</c:v>
                </c:pt>
                <c:pt idx="13">
                  <c:v>0.40778885837766876</c:v>
                </c:pt>
                <c:pt idx="14">
                  <c:v>0.40778885837766876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728448"/>
        <c:axId val="746876864"/>
      </c:lineChart>
      <c:catAx>
        <c:axId val="74672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46876864"/>
        <c:crosses val="autoZero"/>
        <c:auto val="1"/>
        <c:lblAlgn val="ctr"/>
        <c:lblOffset val="100"/>
        <c:noMultiLvlLbl val="0"/>
      </c:catAx>
      <c:valAx>
        <c:axId val="7468768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6728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5847296"/>
        <c:axId val="74687916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847296"/>
        <c:axId val="746879168"/>
      </c:lineChart>
      <c:catAx>
        <c:axId val="745847296"/>
        <c:scaling>
          <c:orientation val="minMax"/>
        </c:scaling>
        <c:delete val="0"/>
        <c:axPos val="b"/>
        <c:majorTickMark val="out"/>
        <c:minorTickMark val="none"/>
        <c:tickLblPos val="nextTo"/>
        <c:crossAx val="746879168"/>
        <c:crosses val="autoZero"/>
        <c:auto val="1"/>
        <c:lblAlgn val="ctr"/>
        <c:lblOffset val="100"/>
        <c:noMultiLvlLbl val="0"/>
      </c:catAx>
      <c:valAx>
        <c:axId val="7468791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4584729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STOPPER</c:v>
                </c:pt>
                <c:pt idx="4">
                  <c:v>CONTACTOR</c:v>
                </c:pt>
                <c:pt idx="5">
                  <c:v>SLIDER</c:v>
                </c:pt>
                <c:pt idx="6">
                  <c:v>ACTUATOR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LEAD GUIDE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2">
                  <c:v>4909</c:v>
                </c:pt>
                <c:pt idx="3">
                  <c:v>741</c:v>
                </c:pt>
                <c:pt idx="4">
                  <c:v>2292</c:v>
                </c:pt>
                <c:pt idx="6">
                  <c:v>1800</c:v>
                </c:pt>
                <c:pt idx="7">
                  <c:v>4762</c:v>
                </c:pt>
                <c:pt idx="8">
                  <c:v>4926</c:v>
                </c:pt>
                <c:pt idx="11">
                  <c:v>5926</c:v>
                </c:pt>
                <c:pt idx="13">
                  <c:v>5415</c:v>
                </c:pt>
                <c:pt idx="14">
                  <c:v>698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STOPPER</c:v>
                </c:pt>
                <c:pt idx="4">
                  <c:v>CONTACTOR</c:v>
                </c:pt>
                <c:pt idx="5">
                  <c:v>SLIDER</c:v>
                </c:pt>
                <c:pt idx="6">
                  <c:v>ACTUATOR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LEAD GUIDE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6140</c:v>
                </c:pt>
                <c:pt idx="1">
                  <c:v>4370</c:v>
                </c:pt>
                <c:pt idx="2">
                  <c:v>4910</c:v>
                </c:pt>
                <c:pt idx="3">
                  <c:v>750</c:v>
                </c:pt>
                <c:pt idx="4">
                  <c:v>2300</c:v>
                </c:pt>
                <c:pt idx="5">
                  <c:v>2600</c:v>
                </c:pt>
                <c:pt idx="6">
                  <c:v>1800</c:v>
                </c:pt>
                <c:pt idx="7">
                  <c:v>4770</c:v>
                </c:pt>
                <c:pt idx="8">
                  <c:v>4930</c:v>
                </c:pt>
                <c:pt idx="9">
                  <c:v>470</c:v>
                </c:pt>
                <c:pt idx="10">
                  <c:v>300</c:v>
                </c:pt>
                <c:pt idx="11">
                  <c:v>5930</c:v>
                </c:pt>
                <c:pt idx="12">
                  <c:v>236</c:v>
                </c:pt>
                <c:pt idx="13">
                  <c:v>5420</c:v>
                </c:pt>
                <c:pt idx="14">
                  <c:v>700</c:v>
                </c:pt>
                <c:pt idx="15">
                  <c:v>53470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411968"/>
        <c:axId val="747267200"/>
      </c:lineChart>
      <c:catAx>
        <c:axId val="7474119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47267200"/>
        <c:crosses val="autoZero"/>
        <c:auto val="1"/>
        <c:lblAlgn val="ctr"/>
        <c:lblOffset val="100"/>
        <c:noMultiLvlLbl val="0"/>
      </c:catAx>
      <c:valAx>
        <c:axId val="7472672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7411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"/>
                <c:pt idx="0">
                  <c:v>0% 0% 100% 25% 54% 0% 46% 100% 100% 0% 0% 100% 0% 100% 17%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STOPPER</c:v>
                </c:pt>
                <c:pt idx="4">
                  <c:v>CONTACTOR</c:v>
                </c:pt>
                <c:pt idx="5">
                  <c:v>SLIDER</c:v>
                </c:pt>
                <c:pt idx="6">
                  <c:v>ACTUATOR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LEAD GUIDE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0.99979633401222001</c:v>
                </c:pt>
                <c:pt idx="3">
                  <c:v>0.247</c:v>
                </c:pt>
                <c:pt idx="4">
                  <c:v>0.53978260869565209</c:v>
                </c:pt>
                <c:pt idx="5">
                  <c:v>0</c:v>
                </c:pt>
                <c:pt idx="6">
                  <c:v>0.45833333333333331</c:v>
                </c:pt>
                <c:pt idx="7">
                  <c:v>0.99832285115303987</c:v>
                </c:pt>
                <c:pt idx="8">
                  <c:v>0.9991886409736308</c:v>
                </c:pt>
                <c:pt idx="9">
                  <c:v>0</c:v>
                </c:pt>
                <c:pt idx="10">
                  <c:v>0</c:v>
                </c:pt>
                <c:pt idx="11">
                  <c:v>0.99932546374367626</c:v>
                </c:pt>
                <c:pt idx="12">
                  <c:v>0</c:v>
                </c:pt>
                <c:pt idx="13">
                  <c:v>0.99907749077490771</c:v>
                </c:pt>
                <c:pt idx="14">
                  <c:v>0.16619047619047617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'30'!$D$6:$D$21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STOPPER</c:v>
                </c:pt>
                <c:pt idx="4">
                  <c:v>CONTACTOR</c:v>
                </c:pt>
                <c:pt idx="5">
                  <c:v>SLIDER</c:v>
                </c:pt>
                <c:pt idx="6">
                  <c:v>ACTUATOR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LEAD GUIDE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0.42713447992512904</c:v>
                </c:pt>
                <c:pt idx="1">
                  <c:v>0.42713447992512904</c:v>
                </c:pt>
                <c:pt idx="2">
                  <c:v>0.42713447992512904</c:v>
                </c:pt>
                <c:pt idx="3">
                  <c:v>0.42713447992512904</c:v>
                </c:pt>
                <c:pt idx="4">
                  <c:v>0.42713447992512904</c:v>
                </c:pt>
                <c:pt idx="5">
                  <c:v>0.42713447992512904</c:v>
                </c:pt>
                <c:pt idx="6">
                  <c:v>0.42713447992512904</c:v>
                </c:pt>
                <c:pt idx="7">
                  <c:v>0.42713447992512904</c:v>
                </c:pt>
                <c:pt idx="8">
                  <c:v>0.42713447992512904</c:v>
                </c:pt>
                <c:pt idx="9">
                  <c:v>0.42713447992512904</c:v>
                </c:pt>
                <c:pt idx="10">
                  <c:v>0.42713447992512904</c:v>
                </c:pt>
                <c:pt idx="11">
                  <c:v>0.42713447992512904</c:v>
                </c:pt>
                <c:pt idx="12">
                  <c:v>0.42713447992512904</c:v>
                </c:pt>
                <c:pt idx="13">
                  <c:v>0.42713447992512904</c:v>
                </c:pt>
                <c:pt idx="14">
                  <c:v>0.42713447992512904</c:v>
                </c:pt>
                <c:pt idx="15">
                  <c:v>0.42713447992512904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426304"/>
        <c:axId val="747268928"/>
      </c:lineChart>
      <c:catAx>
        <c:axId val="74742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47268928"/>
        <c:crosses val="autoZero"/>
        <c:auto val="1"/>
        <c:lblAlgn val="ctr"/>
        <c:lblOffset val="100"/>
        <c:noMultiLvlLbl val="0"/>
      </c:catAx>
      <c:valAx>
        <c:axId val="7472689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742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STOPPER</c:v>
                </c:pt>
                <c:pt idx="4">
                  <c:v>CONTACTOR</c:v>
                </c:pt>
                <c:pt idx="5">
                  <c:v>SLIDER</c:v>
                </c:pt>
                <c:pt idx="6">
                  <c:v>ACTUATOR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LEAD GUIDE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2">
                  <c:v>4909</c:v>
                </c:pt>
                <c:pt idx="3">
                  <c:v>741</c:v>
                </c:pt>
                <c:pt idx="4">
                  <c:v>2292</c:v>
                </c:pt>
                <c:pt idx="6">
                  <c:v>1800</c:v>
                </c:pt>
                <c:pt idx="7">
                  <c:v>4762</c:v>
                </c:pt>
                <c:pt idx="8">
                  <c:v>4926</c:v>
                </c:pt>
                <c:pt idx="11">
                  <c:v>5926</c:v>
                </c:pt>
                <c:pt idx="13">
                  <c:v>5415</c:v>
                </c:pt>
                <c:pt idx="14">
                  <c:v>698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STOPPER</c:v>
                </c:pt>
                <c:pt idx="4">
                  <c:v>CONTACTOR</c:v>
                </c:pt>
                <c:pt idx="5">
                  <c:v>SLIDER</c:v>
                </c:pt>
                <c:pt idx="6">
                  <c:v>ACTUATOR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LEAD GUIDE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6140</c:v>
                </c:pt>
                <c:pt idx="1">
                  <c:v>4370</c:v>
                </c:pt>
                <c:pt idx="2">
                  <c:v>4910</c:v>
                </c:pt>
                <c:pt idx="3">
                  <c:v>750</c:v>
                </c:pt>
                <c:pt idx="4">
                  <c:v>2300</c:v>
                </c:pt>
                <c:pt idx="5">
                  <c:v>2600</c:v>
                </c:pt>
                <c:pt idx="6">
                  <c:v>1800</c:v>
                </c:pt>
                <c:pt idx="7">
                  <c:v>4770</c:v>
                </c:pt>
                <c:pt idx="8">
                  <c:v>4930</c:v>
                </c:pt>
                <c:pt idx="9">
                  <c:v>470</c:v>
                </c:pt>
                <c:pt idx="10">
                  <c:v>300</c:v>
                </c:pt>
                <c:pt idx="11">
                  <c:v>5930</c:v>
                </c:pt>
                <c:pt idx="12">
                  <c:v>236</c:v>
                </c:pt>
                <c:pt idx="13">
                  <c:v>5420</c:v>
                </c:pt>
                <c:pt idx="14">
                  <c:v>700</c:v>
                </c:pt>
                <c:pt idx="15">
                  <c:v>53470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426816"/>
        <c:axId val="747271232"/>
      </c:lineChart>
      <c:catAx>
        <c:axId val="7474268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47271232"/>
        <c:crosses val="autoZero"/>
        <c:auto val="1"/>
        <c:lblAlgn val="ctr"/>
        <c:lblOffset val="100"/>
        <c:noMultiLvlLbl val="0"/>
      </c:catAx>
      <c:valAx>
        <c:axId val="7472712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47426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"/>
                <c:pt idx="0">
                  <c:v>0% 0% 100% 25% 54% 0% 46% 100% 100% 0% 0% 100% 0% 100% 17%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STOPPER</c:v>
                </c:pt>
                <c:pt idx="4">
                  <c:v>CONTACTOR</c:v>
                </c:pt>
                <c:pt idx="5">
                  <c:v>SLIDER</c:v>
                </c:pt>
                <c:pt idx="6">
                  <c:v>ACTUATOR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LEAD GUIDE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0.99979633401222001</c:v>
                </c:pt>
                <c:pt idx="3">
                  <c:v>0.247</c:v>
                </c:pt>
                <c:pt idx="4">
                  <c:v>0.53978260869565209</c:v>
                </c:pt>
                <c:pt idx="5">
                  <c:v>0</c:v>
                </c:pt>
                <c:pt idx="6">
                  <c:v>0.45833333333333331</c:v>
                </c:pt>
                <c:pt idx="7">
                  <c:v>0.99832285115303987</c:v>
                </c:pt>
                <c:pt idx="8">
                  <c:v>0.9991886409736308</c:v>
                </c:pt>
                <c:pt idx="9">
                  <c:v>0</c:v>
                </c:pt>
                <c:pt idx="10">
                  <c:v>0</c:v>
                </c:pt>
                <c:pt idx="11">
                  <c:v>0.99932546374367626</c:v>
                </c:pt>
                <c:pt idx="12">
                  <c:v>0</c:v>
                </c:pt>
                <c:pt idx="13">
                  <c:v>0.99907749077490771</c:v>
                </c:pt>
                <c:pt idx="14">
                  <c:v>0.16619047619047617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'30'!$D$6:$D$21</c:f>
              <c:strCache>
                <c:ptCount val="15"/>
                <c:pt idx="0">
                  <c:v>CASE</c:v>
                </c:pt>
                <c:pt idx="1">
                  <c:v>COVER</c:v>
                </c:pt>
                <c:pt idx="2">
                  <c:v>STOPPER</c:v>
                </c:pt>
                <c:pt idx="3">
                  <c:v>STOPPER</c:v>
                </c:pt>
                <c:pt idx="4">
                  <c:v>CONTACTOR</c:v>
                </c:pt>
                <c:pt idx="5">
                  <c:v>SLIDER</c:v>
                </c:pt>
                <c:pt idx="6">
                  <c:v>ACTUATOR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LEAD GUIDE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0.42713447992512904</c:v>
                </c:pt>
                <c:pt idx="1">
                  <c:v>0.42713447992512904</c:v>
                </c:pt>
                <c:pt idx="2">
                  <c:v>0.42713447992512904</c:v>
                </c:pt>
                <c:pt idx="3">
                  <c:v>0.42713447992512904</c:v>
                </c:pt>
                <c:pt idx="4">
                  <c:v>0.42713447992512904</c:v>
                </c:pt>
                <c:pt idx="5">
                  <c:v>0.42713447992512904</c:v>
                </c:pt>
                <c:pt idx="6">
                  <c:v>0.42713447992512904</c:v>
                </c:pt>
                <c:pt idx="7">
                  <c:v>0.42713447992512904</c:v>
                </c:pt>
                <c:pt idx="8">
                  <c:v>0.42713447992512904</c:v>
                </c:pt>
                <c:pt idx="9">
                  <c:v>0.42713447992512904</c:v>
                </c:pt>
                <c:pt idx="10">
                  <c:v>0.42713447992512904</c:v>
                </c:pt>
                <c:pt idx="11">
                  <c:v>0.42713447992512904</c:v>
                </c:pt>
                <c:pt idx="12">
                  <c:v>0.42713447992512904</c:v>
                </c:pt>
                <c:pt idx="13">
                  <c:v>0.42713447992512904</c:v>
                </c:pt>
                <c:pt idx="14">
                  <c:v>0.42713447992512904</c:v>
                </c:pt>
                <c:pt idx="15">
                  <c:v>0.42713447992512904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427840"/>
        <c:axId val="747272960"/>
      </c:lineChart>
      <c:catAx>
        <c:axId val="74742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47272960"/>
        <c:crosses val="autoZero"/>
        <c:auto val="1"/>
        <c:lblAlgn val="ctr"/>
        <c:lblOffset val="100"/>
        <c:noMultiLvlLbl val="0"/>
      </c:catAx>
      <c:valAx>
        <c:axId val="7472729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47427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6566144"/>
        <c:axId val="74648896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566144"/>
        <c:axId val="746488960"/>
      </c:lineChart>
      <c:catAx>
        <c:axId val="746566144"/>
        <c:scaling>
          <c:orientation val="minMax"/>
        </c:scaling>
        <c:delete val="0"/>
        <c:axPos val="b"/>
        <c:majorTickMark val="out"/>
        <c:minorTickMark val="none"/>
        <c:tickLblPos val="nextTo"/>
        <c:crossAx val="746488960"/>
        <c:crosses val="autoZero"/>
        <c:auto val="1"/>
        <c:lblAlgn val="ctr"/>
        <c:lblOffset val="100"/>
        <c:noMultiLvlLbl val="0"/>
      </c:catAx>
      <c:valAx>
        <c:axId val="74648896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4656614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SPACER1,2</c:v>
                </c:pt>
                <c:pt idx="3">
                  <c:v>STOPPER</c:v>
                </c:pt>
                <c:pt idx="4">
                  <c:v>SLIDER</c:v>
                </c:pt>
                <c:pt idx="5">
                  <c:v>ACTUATOR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ACTUATOR</c:v>
                </c:pt>
                <c:pt idx="13">
                  <c:v>ACTUATOR</c:v>
                </c:pt>
              </c:strCache>
            </c:strRef>
          </c:cat>
          <c:val>
            <c:numRef>
              <c:f>'31'!$L$6:$L$20</c:f>
              <c:numCache>
                <c:formatCode>_(* #,##0_);_(* \(#,##0\);_(* "-"_);_(@_)</c:formatCode>
                <c:ptCount val="15"/>
                <c:pt idx="2">
                  <c:v>2501</c:v>
                </c:pt>
                <c:pt idx="3">
                  <c:v>1770</c:v>
                </c:pt>
                <c:pt idx="6">
                  <c:v>3971</c:v>
                </c:pt>
                <c:pt idx="7">
                  <c:v>1671</c:v>
                </c:pt>
                <c:pt idx="10">
                  <c:v>2625</c:v>
                </c:pt>
                <c:pt idx="12">
                  <c:v>3042</c:v>
                </c:pt>
                <c:pt idx="13">
                  <c:v>4511</c:v>
                </c:pt>
                <c:pt idx="14">
                  <c:v>52944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'31'!$D$6:$D$20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SPACER1,2</c:v>
                </c:pt>
                <c:pt idx="3">
                  <c:v>STOPPER</c:v>
                </c:pt>
                <c:pt idx="4">
                  <c:v>SLIDER</c:v>
                </c:pt>
                <c:pt idx="5">
                  <c:v>ACTUATOR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ACTUATOR</c:v>
                </c:pt>
                <c:pt idx="13">
                  <c:v>ACTUATOR</c:v>
                </c:pt>
              </c:strCache>
            </c:strRef>
          </c:cat>
          <c:val>
            <c:numRef>
              <c:f>'31'!$J$6:$J$20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4370</c:v>
                </c:pt>
                <c:pt idx="2">
                  <c:v>2510</c:v>
                </c:pt>
                <c:pt idx="3">
                  <c:v>1770</c:v>
                </c:pt>
                <c:pt idx="4">
                  <c:v>2600</c:v>
                </c:pt>
                <c:pt idx="5">
                  <c:v>1800</c:v>
                </c:pt>
                <c:pt idx="6">
                  <c:v>3980</c:v>
                </c:pt>
                <c:pt idx="7">
                  <c:v>1680</c:v>
                </c:pt>
                <c:pt idx="8">
                  <c:v>470</c:v>
                </c:pt>
                <c:pt idx="9">
                  <c:v>300</c:v>
                </c:pt>
                <c:pt idx="10">
                  <c:v>2630</c:v>
                </c:pt>
                <c:pt idx="11">
                  <c:v>236</c:v>
                </c:pt>
                <c:pt idx="12">
                  <c:v>3050</c:v>
                </c:pt>
                <c:pt idx="13">
                  <c:v>4511</c:v>
                </c:pt>
                <c:pt idx="14">
                  <c:v>52950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975296"/>
        <c:axId val="789653184"/>
      </c:lineChart>
      <c:catAx>
        <c:axId val="1859752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89653184"/>
        <c:crosses val="autoZero"/>
        <c:auto val="1"/>
        <c:lblAlgn val="ctr"/>
        <c:lblOffset val="100"/>
        <c:noMultiLvlLbl val="0"/>
      </c:catAx>
      <c:valAx>
        <c:axId val="7896531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85975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'31'!$AD$6:$AD$20</c:f>
              <c:strCache>
                <c:ptCount val="1"/>
                <c:pt idx="0">
                  <c:v>0% 0% 58% 38% 0% 0% 83% 41% 0% 0% 79% 0% 66% 96% 96%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'31'!$D$6:$D$20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SPACER1,2</c:v>
                </c:pt>
                <c:pt idx="3">
                  <c:v>STOPPER</c:v>
                </c:pt>
                <c:pt idx="4">
                  <c:v>SLIDER</c:v>
                </c:pt>
                <c:pt idx="5">
                  <c:v>ACTUATOR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ACTUATOR</c:v>
                </c:pt>
                <c:pt idx="13">
                  <c:v>ACTUATOR</c:v>
                </c:pt>
              </c:strCache>
            </c:strRef>
          </c:cat>
          <c:val>
            <c:numRef>
              <c:f>'31'!$AD$6:$AD$20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0.58124169986719787</c:v>
                </c:pt>
                <c:pt idx="3">
                  <c:v>0.375</c:v>
                </c:pt>
                <c:pt idx="4">
                  <c:v>0</c:v>
                </c:pt>
                <c:pt idx="5">
                  <c:v>0</c:v>
                </c:pt>
                <c:pt idx="6">
                  <c:v>0.83144891122278064</c:v>
                </c:pt>
                <c:pt idx="7">
                  <c:v>0.41443452380952384</c:v>
                </c:pt>
                <c:pt idx="8">
                  <c:v>0</c:v>
                </c:pt>
                <c:pt idx="9">
                  <c:v>0</c:v>
                </c:pt>
                <c:pt idx="10">
                  <c:v>0.79016159695817489</c:v>
                </c:pt>
                <c:pt idx="11">
                  <c:v>0</c:v>
                </c:pt>
                <c:pt idx="12">
                  <c:v>0.66491803278688522</c:v>
                </c:pt>
                <c:pt idx="13">
                  <c:v>0.95833333333333337</c:v>
                </c:pt>
                <c:pt idx="14">
                  <c:v>0.95822474032105764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'31'!$D$6:$D$20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SPACER1,2</c:v>
                </c:pt>
                <c:pt idx="3">
                  <c:v>STOPPER</c:v>
                </c:pt>
                <c:pt idx="4">
                  <c:v>SLIDER</c:v>
                </c:pt>
                <c:pt idx="5">
                  <c:v>ACTUATOR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ACTUATOR</c:v>
                </c:pt>
                <c:pt idx="13">
                  <c:v>ACTUATOR</c:v>
                </c:pt>
              </c:strCache>
            </c:strRef>
          </c:cat>
          <c:val>
            <c:numRef>
              <c:f>'31'!$AE$6:$AE$20</c:f>
              <c:numCache>
                <c:formatCode>0%</c:formatCode>
                <c:ptCount val="15"/>
                <c:pt idx="0">
                  <c:v>0.37158418921993019</c:v>
                </c:pt>
                <c:pt idx="1">
                  <c:v>0.37158418921993019</c:v>
                </c:pt>
                <c:pt idx="2">
                  <c:v>0.37158418921993019</c:v>
                </c:pt>
                <c:pt idx="3">
                  <c:v>0.37158418921993019</c:v>
                </c:pt>
                <c:pt idx="4">
                  <c:v>0.37158418921993019</c:v>
                </c:pt>
                <c:pt idx="5">
                  <c:v>0.37158418921993019</c:v>
                </c:pt>
                <c:pt idx="6">
                  <c:v>0.37158418921993019</c:v>
                </c:pt>
                <c:pt idx="7">
                  <c:v>0.37158418921993019</c:v>
                </c:pt>
                <c:pt idx="8">
                  <c:v>0.37158418921993019</c:v>
                </c:pt>
                <c:pt idx="9">
                  <c:v>0.37158418921993019</c:v>
                </c:pt>
                <c:pt idx="10">
                  <c:v>0.37158418921993019</c:v>
                </c:pt>
                <c:pt idx="11">
                  <c:v>0.37158418921993019</c:v>
                </c:pt>
                <c:pt idx="12">
                  <c:v>0.37158418921993019</c:v>
                </c:pt>
                <c:pt idx="13">
                  <c:v>0.37158418921993019</c:v>
                </c:pt>
                <c:pt idx="14">
                  <c:v>0.37158418921993019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975808"/>
        <c:axId val="789655488"/>
      </c:lineChart>
      <c:catAx>
        <c:axId val="18597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89655488"/>
        <c:crosses val="autoZero"/>
        <c:auto val="1"/>
        <c:lblAlgn val="ctr"/>
        <c:lblOffset val="100"/>
        <c:noMultiLvlLbl val="0"/>
      </c:catAx>
      <c:valAx>
        <c:axId val="7896554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8597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SPACER1,2</c:v>
                </c:pt>
                <c:pt idx="3">
                  <c:v>STOPPER</c:v>
                </c:pt>
                <c:pt idx="4">
                  <c:v>SLIDER</c:v>
                </c:pt>
                <c:pt idx="5">
                  <c:v>ACTUATOR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ACTUATOR</c:v>
                </c:pt>
                <c:pt idx="13">
                  <c:v>ACTUATOR</c:v>
                </c:pt>
              </c:strCache>
            </c:strRef>
          </c:cat>
          <c:val>
            <c:numRef>
              <c:f>'31'!$L$6:$L$20</c:f>
              <c:numCache>
                <c:formatCode>_(* #,##0_);_(* \(#,##0\);_(* "-"_);_(@_)</c:formatCode>
                <c:ptCount val="15"/>
                <c:pt idx="2">
                  <c:v>2501</c:v>
                </c:pt>
                <c:pt idx="3">
                  <c:v>1770</c:v>
                </c:pt>
                <c:pt idx="6">
                  <c:v>3971</c:v>
                </c:pt>
                <c:pt idx="7">
                  <c:v>1671</c:v>
                </c:pt>
                <c:pt idx="10">
                  <c:v>2625</c:v>
                </c:pt>
                <c:pt idx="12">
                  <c:v>3042</c:v>
                </c:pt>
                <c:pt idx="13">
                  <c:v>4511</c:v>
                </c:pt>
                <c:pt idx="14">
                  <c:v>52944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'31'!$D$6:$D$20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SPACER1,2</c:v>
                </c:pt>
                <c:pt idx="3">
                  <c:v>STOPPER</c:v>
                </c:pt>
                <c:pt idx="4">
                  <c:v>SLIDER</c:v>
                </c:pt>
                <c:pt idx="5">
                  <c:v>ACTUATOR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ACTUATOR</c:v>
                </c:pt>
                <c:pt idx="13">
                  <c:v>ACTUATOR</c:v>
                </c:pt>
              </c:strCache>
            </c:strRef>
          </c:cat>
          <c:val>
            <c:numRef>
              <c:f>'31'!$J$6:$J$20</c:f>
              <c:numCache>
                <c:formatCode>_(* #,##0_);_(* \(#,##0\);_(* "-"_);_(@_)</c:formatCode>
                <c:ptCount val="15"/>
                <c:pt idx="0">
                  <c:v>6140</c:v>
                </c:pt>
                <c:pt idx="1">
                  <c:v>4370</c:v>
                </c:pt>
                <c:pt idx="2">
                  <c:v>2510</c:v>
                </c:pt>
                <c:pt idx="3">
                  <c:v>1770</c:v>
                </c:pt>
                <c:pt idx="4">
                  <c:v>2600</c:v>
                </c:pt>
                <c:pt idx="5">
                  <c:v>1800</c:v>
                </c:pt>
                <c:pt idx="6">
                  <c:v>3980</c:v>
                </c:pt>
                <c:pt idx="7">
                  <c:v>1680</c:v>
                </c:pt>
                <c:pt idx="8">
                  <c:v>470</c:v>
                </c:pt>
                <c:pt idx="9">
                  <c:v>300</c:v>
                </c:pt>
                <c:pt idx="10">
                  <c:v>2630</c:v>
                </c:pt>
                <c:pt idx="11">
                  <c:v>236</c:v>
                </c:pt>
                <c:pt idx="12">
                  <c:v>3050</c:v>
                </c:pt>
                <c:pt idx="13">
                  <c:v>4511</c:v>
                </c:pt>
                <c:pt idx="14">
                  <c:v>52950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976320"/>
        <c:axId val="789658944"/>
      </c:lineChart>
      <c:catAx>
        <c:axId val="1859763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89658944"/>
        <c:crosses val="autoZero"/>
        <c:auto val="1"/>
        <c:lblAlgn val="ctr"/>
        <c:lblOffset val="100"/>
        <c:noMultiLvlLbl val="0"/>
      </c:catAx>
      <c:valAx>
        <c:axId val="7896589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85976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'31'!$AD$6:$AD$20</c:f>
              <c:strCache>
                <c:ptCount val="1"/>
                <c:pt idx="0">
                  <c:v>0% 0% 58% 38% 0% 0% 83% 41% 0% 0% 79% 0% 66% 96% 96%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'31'!$D$6:$D$20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SPACER1,2</c:v>
                </c:pt>
                <c:pt idx="3">
                  <c:v>STOPPER</c:v>
                </c:pt>
                <c:pt idx="4">
                  <c:v>SLIDER</c:v>
                </c:pt>
                <c:pt idx="5">
                  <c:v>ACTUATOR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ACTUATOR</c:v>
                </c:pt>
                <c:pt idx="13">
                  <c:v>ACTUATOR</c:v>
                </c:pt>
              </c:strCache>
            </c:strRef>
          </c:cat>
          <c:val>
            <c:numRef>
              <c:f>'31'!$AD$6:$AD$20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0.58124169986719787</c:v>
                </c:pt>
                <c:pt idx="3">
                  <c:v>0.375</c:v>
                </c:pt>
                <c:pt idx="4">
                  <c:v>0</c:v>
                </c:pt>
                <c:pt idx="5">
                  <c:v>0</c:v>
                </c:pt>
                <c:pt idx="6">
                  <c:v>0.83144891122278064</c:v>
                </c:pt>
                <c:pt idx="7">
                  <c:v>0.41443452380952384</c:v>
                </c:pt>
                <c:pt idx="8">
                  <c:v>0</c:v>
                </c:pt>
                <c:pt idx="9">
                  <c:v>0</c:v>
                </c:pt>
                <c:pt idx="10">
                  <c:v>0.79016159695817489</c:v>
                </c:pt>
                <c:pt idx="11">
                  <c:v>0</c:v>
                </c:pt>
                <c:pt idx="12">
                  <c:v>0.66491803278688522</c:v>
                </c:pt>
                <c:pt idx="13">
                  <c:v>0.95833333333333337</c:v>
                </c:pt>
                <c:pt idx="14">
                  <c:v>0.95822474032105764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'31'!$D$6:$D$20</c:f>
              <c:strCache>
                <c:ptCount val="14"/>
                <c:pt idx="0">
                  <c:v>CASE</c:v>
                </c:pt>
                <c:pt idx="1">
                  <c:v>COVER</c:v>
                </c:pt>
                <c:pt idx="2">
                  <c:v>SPACER1,2</c:v>
                </c:pt>
                <c:pt idx="3">
                  <c:v>STOPPER</c:v>
                </c:pt>
                <c:pt idx="4">
                  <c:v>SLIDER</c:v>
                </c:pt>
                <c:pt idx="5">
                  <c:v>ACTUATOR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ACTUATOR</c:v>
                </c:pt>
                <c:pt idx="13">
                  <c:v>ACTUATOR</c:v>
                </c:pt>
              </c:strCache>
            </c:strRef>
          </c:cat>
          <c:val>
            <c:numRef>
              <c:f>'31'!$AE$6:$AE$20</c:f>
              <c:numCache>
                <c:formatCode>0%</c:formatCode>
                <c:ptCount val="15"/>
                <c:pt idx="0">
                  <c:v>0.37158418921993019</c:v>
                </c:pt>
                <c:pt idx="1">
                  <c:v>0.37158418921993019</c:v>
                </c:pt>
                <c:pt idx="2">
                  <c:v>0.37158418921993019</c:v>
                </c:pt>
                <c:pt idx="3">
                  <c:v>0.37158418921993019</c:v>
                </c:pt>
                <c:pt idx="4">
                  <c:v>0.37158418921993019</c:v>
                </c:pt>
                <c:pt idx="5">
                  <c:v>0.37158418921993019</c:v>
                </c:pt>
                <c:pt idx="6">
                  <c:v>0.37158418921993019</c:v>
                </c:pt>
                <c:pt idx="7">
                  <c:v>0.37158418921993019</c:v>
                </c:pt>
                <c:pt idx="8">
                  <c:v>0.37158418921993019</c:v>
                </c:pt>
                <c:pt idx="9">
                  <c:v>0.37158418921993019</c:v>
                </c:pt>
                <c:pt idx="10">
                  <c:v>0.37158418921993019</c:v>
                </c:pt>
                <c:pt idx="11">
                  <c:v>0.37158418921993019</c:v>
                </c:pt>
                <c:pt idx="12">
                  <c:v>0.37158418921993019</c:v>
                </c:pt>
                <c:pt idx="13">
                  <c:v>0.37158418921993019</c:v>
                </c:pt>
                <c:pt idx="14">
                  <c:v>0.37158418921993019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978368"/>
        <c:axId val="789702336"/>
      </c:lineChart>
      <c:catAx>
        <c:axId val="18597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89702336"/>
        <c:crosses val="autoZero"/>
        <c:auto val="1"/>
        <c:lblAlgn val="ctr"/>
        <c:lblOffset val="100"/>
        <c:noMultiLvlLbl val="0"/>
      </c:catAx>
      <c:valAx>
        <c:axId val="7897023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85978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0.45751858719261485</c:v>
                </c:pt>
                <c:pt idx="1">
                  <c:v>0.42725339626979431</c:v>
                </c:pt>
                <c:pt idx="2">
                  <c:v>0.41912938508966663</c:v>
                </c:pt>
                <c:pt idx="3">
                  <c:v>0.38516051454298222</c:v>
                </c:pt>
                <c:pt idx="4">
                  <c:v>0.35092059028278122</c:v>
                </c:pt>
                <c:pt idx="5">
                  <c:v>9.4383377139644065E-2</c:v>
                </c:pt>
                <c:pt idx="6">
                  <c:v>1.9414062499999999E-2</c:v>
                </c:pt>
                <c:pt idx="7">
                  <c:v>0.24125726218912066</c:v>
                </c:pt>
                <c:pt idx="8">
                  <c:v>0.39122345245056789</c:v>
                </c:pt>
                <c:pt idx="9">
                  <c:v>0.3995327350819145</c:v>
                </c:pt>
                <c:pt idx="10">
                  <c:v>0.43846910176721232</c:v>
                </c:pt>
                <c:pt idx="11">
                  <c:v>0.17746225304558721</c:v>
                </c:pt>
                <c:pt idx="14">
                  <c:v>0.55995842175297195</c:v>
                </c:pt>
                <c:pt idx="15">
                  <c:v>0.40516340577304705</c:v>
                </c:pt>
                <c:pt idx="16">
                  <c:v>0.32715974371269763</c:v>
                </c:pt>
                <c:pt idx="17">
                  <c:v>0.33010322263376413</c:v>
                </c:pt>
                <c:pt idx="18">
                  <c:v>0.12478567708168692</c:v>
                </c:pt>
                <c:pt idx="21">
                  <c:v>0.29686334309429829</c:v>
                </c:pt>
                <c:pt idx="22">
                  <c:v>0.29707411597948619</c:v>
                </c:pt>
                <c:pt idx="23">
                  <c:v>0.30248911734753409</c:v>
                </c:pt>
                <c:pt idx="24">
                  <c:v>0.19970660345254546</c:v>
                </c:pt>
                <c:pt idx="25">
                  <c:v>6.0835789205791801E-2</c:v>
                </c:pt>
                <c:pt idx="28">
                  <c:v>0.40778885837766876</c:v>
                </c:pt>
                <c:pt idx="29">
                  <c:v>0.42713447992512904</c:v>
                </c:pt>
                <c:pt idx="30">
                  <c:v>0.37158418921993019</c:v>
                </c:pt>
                <c:pt idx="31">
                  <c:v>0.25523779629382054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635840"/>
        <c:axId val="7897057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635840"/>
        <c:axId val="789705792"/>
      </c:lineChart>
      <c:catAx>
        <c:axId val="185635840"/>
        <c:scaling>
          <c:orientation val="minMax"/>
        </c:scaling>
        <c:delete val="0"/>
        <c:axPos val="b"/>
        <c:majorTickMark val="out"/>
        <c:minorTickMark val="none"/>
        <c:tickLblPos val="nextTo"/>
        <c:crossAx val="789705792"/>
        <c:crosses val="autoZero"/>
        <c:auto val="1"/>
        <c:lblAlgn val="ctr"/>
        <c:lblOffset val="100"/>
        <c:noMultiLvlLbl val="0"/>
      </c:catAx>
      <c:valAx>
        <c:axId val="7897057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8563584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9.xml"/><Relationship Id="rId1" Type="http://schemas.openxmlformats.org/officeDocument/2006/relationships/chart" Target="../charts/chart108.xml"/><Relationship Id="rId6" Type="http://schemas.openxmlformats.org/officeDocument/2006/relationships/chart" Target="../charts/chart112.xml"/><Relationship Id="rId5" Type="http://schemas.openxmlformats.org/officeDocument/2006/relationships/chart" Target="../charts/chart111.xml"/><Relationship Id="rId4" Type="http://schemas.openxmlformats.org/officeDocument/2006/relationships/chart" Target="../charts/chart110.xml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4.xml"/><Relationship Id="rId1" Type="http://schemas.openxmlformats.org/officeDocument/2006/relationships/chart" Target="../charts/chart113.xml"/><Relationship Id="rId6" Type="http://schemas.openxmlformats.org/officeDocument/2006/relationships/chart" Target="../charts/chart117.xml"/><Relationship Id="rId5" Type="http://schemas.openxmlformats.org/officeDocument/2006/relationships/chart" Target="../charts/chart116.xml"/><Relationship Id="rId4" Type="http://schemas.openxmlformats.org/officeDocument/2006/relationships/chart" Target="../charts/chart115.xml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9.xml"/><Relationship Id="rId1" Type="http://schemas.openxmlformats.org/officeDocument/2006/relationships/chart" Target="../charts/chart118.xml"/><Relationship Id="rId6" Type="http://schemas.openxmlformats.org/officeDocument/2006/relationships/chart" Target="../charts/chart122.xml"/><Relationship Id="rId5" Type="http://schemas.openxmlformats.org/officeDocument/2006/relationships/chart" Target="../charts/chart121.xml"/><Relationship Id="rId4" Type="http://schemas.openxmlformats.org/officeDocument/2006/relationships/chart" Target="../charts/chart120.xml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4.xml"/><Relationship Id="rId1" Type="http://schemas.openxmlformats.org/officeDocument/2006/relationships/chart" Target="../charts/chart123.xml"/><Relationship Id="rId6" Type="http://schemas.openxmlformats.org/officeDocument/2006/relationships/chart" Target="../charts/chart127.xml"/><Relationship Id="rId5" Type="http://schemas.openxmlformats.org/officeDocument/2006/relationships/chart" Target="../charts/chart126.xml"/><Relationship Id="rId4" Type="http://schemas.openxmlformats.org/officeDocument/2006/relationships/chart" Target="../charts/chart1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357188</xdr:colOff>
      <xdr:row>50</xdr:row>
      <xdr:rowOff>119063</xdr:rowOff>
    </xdr:from>
    <xdr:to>
      <xdr:col>24</xdr:col>
      <xdr:colOff>238125</xdr:colOff>
      <xdr:row>54</xdr:row>
      <xdr:rowOff>66146</xdr:rowOff>
    </xdr:to>
    <xdr:sp macro="" textlink="">
      <xdr:nvSpPr>
        <xdr:cNvPr id="9" name="TextBox 8"/>
        <xdr:cNvSpPr txBox="1"/>
      </xdr:nvSpPr>
      <xdr:spPr>
        <a:xfrm>
          <a:off x="13692188" y="15755938"/>
          <a:ext cx="6138333" cy="13229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400"/>
            <a:t>특이사항없음</a:t>
          </a:r>
        </a:p>
      </xdr:txBody>
    </xdr:sp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357188</xdr:colOff>
      <xdr:row>50</xdr:row>
      <xdr:rowOff>119063</xdr:rowOff>
    </xdr:from>
    <xdr:to>
      <xdr:col>24</xdr:col>
      <xdr:colOff>238125</xdr:colOff>
      <xdr:row>54</xdr:row>
      <xdr:rowOff>66146</xdr:rowOff>
    </xdr:to>
    <xdr:sp macro="" textlink="">
      <xdr:nvSpPr>
        <xdr:cNvPr id="9" name="TextBox 8"/>
        <xdr:cNvSpPr txBox="1"/>
      </xdr:nvSpPr>
      <xdr:spPr>
        <a:xfrm>
          <a:off x="13711238" y="15682913"/>
          <a:ext cx="6138862" cy="1318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400"/>
            <a:t>주간만진행예정</a:t>
          </a:r>
        </a:p>
      </xdr:txBody>
    </xdr:sp>
    <xdr:clientData/>
  </xdr:twoCellAnchor>
  <xdr:twoCellAnchor>
    <xdr:from>
      <xdr:col>2</xdr:col>
      <xdr:colOff>317500</xdr:colOff>
      <xdr:row>50</xdr:row>
      <xdr:rowOff>119063</xdr:rowOff>
    </xdr:from>
    <xdr:to>
      <xdr:col>8</xdr:col>
      <xdr:colOff>899583</xdr:colOff>
      <xdr:row>54</xdr:row>
      <xdr:rowOff>66146</xdr:rowOff>
    </xdr:to>
    <xdr:sp macro="" textlink="">
      <xdr:nvSpPr>
        <xdr:cNvPr id="10" name="TextBox 9"/>
        <xdr:cNvSpPr txBox="1"/>
      </xdr:nvSpPr>
      <xdr:spPr>
        <a:xfrm>
          <a:off x="1084792" y="15755938"/>
          <a:ext cx="6138333" cy="13229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400"/>
            <a:t>특이사항없음</a:t>
          </a:r>
        </a:p>
      </xdr:txBody>
    </xdr:sp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317500</xdr:colOff>
      <xdr:row>50</xdr:row>
      <xdr:rowOff>119063</xdr:rowOff>
    </xdr:from>
    <xdr:to>
      <xdr:col>8</xdr:col>
      <xdr:colOff>899583</xdr:colOff>
      <xdr:row>54</xdr:row>
      <xdr:rowOff>66146</xdr:rowOff>
    </xdr:to>
    <xdr:sp macro="" textlink="">
      <xdr:nvSpPr>
        <xdr:cNvPr id="10" name="TextBox 9"/>
        <xdr:cNvSpPr txBox="1"/>
      </xdr:nvSpPr>
      <xdr:spPr>
        <a:xfrm>
          <a:off x="1079500" y="15682913"/>
          <a:ext cx="6144683" cy="1318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400"/>
            <a:t>14:30</a:t>
          </a:r>
          <a:r>
            <a:rPr lang="ko-KR" altLang="en-US" sz="2400"/>
            <a:t>분까지 양산진행</a:t>
          </a:r>
        </a:p>
      </xdr:txBody>
    </xdr:sp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39688</xdr:colOff>
      <xdr:row>50</xdr:row>
      <xdr:rowOff>119063</xdr:rowOff>
    </xdr:from>
    <xdr:to>
      <xdr:col>23</xdr:col>
      <xdr:colOff>463021</xdr:colOff>
      <xdr:row>52</xdr:row>
      <xdr:rowOff>277812</xdr:rowOff>
    </xdr:to>
    <xdr:sp macro="" textlink="">
      <xdr:nvSpPr>
        <xdr:cNvPr id="9" name="TextBox 8"/>
        <xdr:cNvSpPr txBox="1"/>
      </xdr:nvSpPr>
      <xdr:spPr>
        <a:xfrm>
          <a:off x="14036146" y="15755938"/>
          <a:ext cx="5476875" cy="846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000" b="1"/>
            <a:t>특이사항없음</a:t>
          </a:r>
        </a:p>
      </xdr:txBody>
    </xdr:sp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I12" sqref="AI12"/>
    </sheetView>
  </sheetViews>
  <sheetFormatPr defaultRowHeight="13.5"/>
  <cols>
    <col min="1" max="1" width="7.5" style="75" bestFit="1" customWidth="1"/>
    <col min="2" max="17" width="5.5" style="75" bestFit="1" customWidth="1"/>
    <col min="18" max="18" width="7.5" style="75" bestFit="1" customWidth="1"/>
    <col min="19" max="33" width="5.5" style="75" bestFit="1" customWidth="1"/>
    <col min="34" max="16384" width="9" style="75"/>
  </cols>
  <sheetData>
    <row r="1" spans="1:33" ht="33.75" customHeight="1" thickBot="1">
      <c r="A1" s="415" t="s">
        <v>190</v>
      </c>
      <c r="B1" s="415"/>
      <c r="C1" s="415"/>
      <c r="D1" s="415"/>
      <c r="E1" s="415"/>
      <c r="F1" s="415"/>
      <c r="G1" s="415"/>
      <c r="H1" s="415"/>
    </row>
    <row r="2" spans="1:33" ht="21.75" customHeight="1" thickBot="1">
      <c r="A2" s="96" t="s">
        <v>64</v>
      </c>
      <c r="B2" s="98" t="s">
        <v>79</v>
      </c>
      <c r="C2" s="99" t="s">
        <v>80</v>
      </c>
      <c r="D2" s="99" t="s">
        <v>81</v>
      </c>
      <c r="E2" s="99" t="s">
        <v>82</v>
      </c>
      <c r="F2" s="99" t="s">
        <v>83</v>
      </c>
      <c r="G2" s="99" t="s">
        <v>84</v>
      </c>
      <c r="H2" s="99" t="s">
        <v>85</v>
      </c>
      <c r="I2" s="99" t="s">
        <v>86</v>
      </c>
      <c r="J2" s="99" t="s">
        <v>87</v>
      </c>
      <c r="K2" s="99" t="s">
        <v>88</v>
      </c>
      <c r="L2" s="99" t="s">
        <v>89</v>
      </c>
      <c r="M2" s="99" t="s">
        <v>90</v>
      </c>
      <c r="N2" s="99" t="s">
        <v>91</v>
      </c>
      <c r="O2" s="99" t="s">
        <v>92</v>
      </c>
      <c r="P2" s="99" t="s">
        <v>93</v>
      </c>
      <c r="Q2" s="99" t="s">
        <v>94</v>
      </c>
      <c r="R2" s="99" t="s">
        <v>95</v>
      </c>
      <c r="S2" s="99" t="s">
        <v>96</v>
      </c>
      <c r="T2" s="99" t="s">
        <v>97</v>
      </c>
      <c r="U2" s="99" t="s">
        <v>98</v>
      </c>
      <c r="V2" s="99" t="s">
        <v>99</v>
      </c>
      <c r="W2" s="99" t="s">
        <v>100</v>
      </c>
      <c r="X2" s="99" t="s">
        <v>101</v>
      </c>
      <c r="Y2" s="99" t="s">
        <v>102</v>
      </c>
      <c r="Z2" s="99" t="s">
        <v>103</v>
      </c>
      <c r="AA2" s="99" t="s">
        <v>104</v>
      </c>
      <c r="AB2" s="99" t="s">
        <v>105</v>
      </c>
      <c r="AC2" s="99" t="s">
        <v>106</v>
      </c>
      <c r="AD2" s="99" t="s">
        <v>107</v>
      </c>
      <c r="AE2" s="99" t="s">
        <v>108</v>
      </c>
      <c r="AF2" s="100" t="s">
        <v>109</v>
      </c>
      <c r="AG2" s="96" t="s">
        <v>111</v>
      </c>
    </row>
    <row r="3" spans="1:33" ht="21.75" customHeight="1">
      <c r="A3" s="116" t="s">
        <v>65</v>
      </c>
      <c r="B3" s="111">
        <f>'01'!AD6</f>
        <v>0</v>
      </c>
      <c r="C3" s="111">
        <f>'02'!AD6</f>
        <v>0</v>
      </c>
      <c r="D3" s="104">
        <f>'03'!AD6</f>
        <v>0</v>
      </c>
      <c r="E3" s="104">
        <f>'04'!AD6</f>
        <v>0</v>
      </c>
      <c r="F3" s="104">
        <f>'05'!AD6</f>
        <v>0</v>
      </c>
      <c r="G3" s="104">
        <f>'06'!AD6</f>
        <v>0</v>
      </c>
      <c r="H3" s="104">
        <f>'07'!AD6</f>
        <v>0</v>
      </c>
      <c r="I3" s="104">
        <f>'08'!AD6</f>
        <v>0</v>
      </c>
      <c r="J3" s="104">
        <f>'09'!AD6</f>
        <v>0</v>
      </c>
      <c r="K3" s="104">
        <f>'10'!AD6</f>
        <v>0</v>
      </c>
      <c r="L3" s="104">
        <f>'11'!AD6</f>
        <v>0</v>
      </c>
      <c r="M3" s="104">
        <f>'12'!AD6</f>
        <v>0</v>
      </c>
      <c r="N3" s="122"/>
      <c r="O3" s="104"/>
      <c r="P3" s="104">
        <f>'15'!AD6</f>
        <v>0</v>
      </c>
      <c r="Q3" s="104">
        <f>'16'!AD6</f>
        <v>0</v>
      </c>
      <c r="R3" s="104">
        <f>'17'!AD6</f>
        <v>0</v>
      </c>
      <c r="S3" s="104">
        <f>'18'!AD6</f>
        <v>0</v>
      </c>
      <c r="T3" s="104">
        <f>'19'!AD6</f>
        <v>0</v>
      </c>
      <c r="U3" s="104"/>
      <c r="V3" s="104"/>
      <c r="W3" s="122">
        <f>'22'!AD6</f>
        <v>0</v>
      </c>
      <c r="X3" s="104">
        <f>'23'!AD6</f>
        <v>0</v>
      </c>
      <c r="Y3" s="104">
        <f>'24'!AD6</f>
        <v>0</v>
      </c>
      <c r="Z3" s="104">
        <f>'25'!AD6</f>
        <v>0</v>
      </c>
      <c r="AA3" s="104">
        <f>'26'!AD6</f>
        <v>0</v>
      </c>
      <c r="AB3" s="104"/>
      <c r="AC3" s="104"/>
      <c r="AD3" s="104">
        <f>'29'!AD6</f>
        <v>0</v>
      </c>
      <c r="AE3" s="104">
        <f>'30'!AD6</f>
        <v>0</v>
      </c>
      <c r="AF3" s="105">
        <f>'31'!AD6</f>
        <v>0</v>
      </c>
      <c r="AG3" s="107">
        <f>SUM(B3:AF3)/31</f>
        <v>0</v>
      </c>
    </row>
    <row r="4" spans="1:33" ht="21.75" customHeight="1">
      <c r="A4" s="117" t="s">
        <v>66</v>
      </c>
      <c r="B4" s="112">
        <f>'01'!AD7</f>
        <v>1</v>
      </c>
      <c r="C4" s="112">
        <f>'02'!AD7</f>
        <v>0.99962335216572507</v>
      </c>
      <c r="D4" s="81">
        <f>'03'!AD7</f>
        <v>0.99963201471941121</v>
      </c>
      <c r="E4" s="81">
        <f>'04'!AD7</f>
        <v>0.37475409836065576</v>
      </c>
      <c r="F4" s="81">
        <f>'05'!AD7</f>
        <v>0</v>
      </c>
      <c r="G4" s="81">
        <f>'06'!AD7</f>
        <v>0</v>
      </c>
      <c r="H4" s="81">
        <f>'07'!AD7</f>
        <v>0</v>
      </c>
      <c r="I4" s="81">
        <f>'08'!AD7</f>
        <v>0</v>
      </c>
      <c r="J4" s="81">
        <f>'09'!AD7</f>
        <v>0</v>
      </c>
      <c r="K4" s="81">
        <f>'10'!AD7</f>
        <v>0</v>
      </c>
      <c r="L4" s="81">
        <f>'11'!AD7</f>
        <v>0</v>
      </c>
      <c r="M4" s="81">
        <f>'12'!AD7</f>
        <v>0</v>
      </c>
      <c r="N4" s="81"/>
      <c r="O4" s="81"/>
      <c r="P4" s="81">
        <f>'15'!AD7</f>
        <v>0</v>
      </c>
      <c r="Q4" s="81">
        <f>'16'!AD7</f>
        <v>0</v>
      </c>
      <c r="R4" s="81">
        <f>'17'!AD7</f>
        <v>0.83333333333333337</v>
      </c>
      <c r="S4" s="81">
        <f>'18'!AD7</f>
        <v>0.5409229595728452</v>
      </c>
      <c r="T4" s="81">
        <f>'19'!AD7</f>
        <v>0</v>
      </c>
      <c r="U4" s="81"/>
      <c r="V4" s="81"/>
      <c r="W4" s="81">
        <f>'22'!AD7</f>
        <v>0</v>
      </c>
      <c r="X4" s="81">
        <f>'23'!AD7</f>
        <v>0</v>
      </c>
      <c r="Y4" s="81">
        <f>'24'!AD7</f>
        <v>0</v>
      </c>
      <c r="Z4" s="81">
        <f>'25'!AD7</f>
        <v>0</v>
      </c>
      <c r="AA4" s="81">
        <f>'26'!AD7</f>
        <v>0</v>
      </c>
      <c r="AB4" s="81"/>
      <c r="AC4" s="81"/>
      <c r="AD4" s="81">
        <f>'29'!AD7</f>
        <v>0</v>
      </c>
      <c r="AE4" s="81">
        <f>'30'!AD7</f>
        <v>0</v>
      </c>
      <c r="AF4" s="82">
        <f>'31'!AD7</f>
        <v>0</v>
      </c>
      <c r="AG4" s="83">
        <f t="shared" ref="AG4:AG18" si="0">SUM(B4:AF4)/31</f>
        <v>0.1531698631661926</v>
      </c>
    </row>
    <row r="5" spans="1:33" ht="21.75" customHeight="1">
      <c r="A5" s="118" t="s">
        <v>67</v>
      </c>
      <c r="B5" s="113">
        <f>'01'!AD8</f>
        <v>0.99847457627118641</v>
      </c>
      <c r="C5" s="113">
        <f>'02'!AD8</f>
        <v>0.79121685606060599</v>
      </c>
      <c r="D5" s="84">
        <f>'03'!AD8</f>
        <v>0.99982517482517486</v>
      </c>
      <c r="E5" s="84">
        <f>'04'!AD8</f>
        <v>0.99020979020979016</v>
      </c>
      <c r="F5" s="84">
        <f>'05'!AD8</f>
        <v>0.99928952042628771</v>
      </c>
      <c r="G5" s="84">
        <f>'06'!AD8</f>
        <v>0</v>
      </c>
      <c r="H5" s="84">
        <f>'07'!AD8</f>
        <v>0</v>
      </c>
      <c r="I5" s="84">
        <f>'08'!AD8</f>
        <v>0.95754132231404965</v>
      </c>
      <c r="J5" s="84">
        <f>'09'!AD8</f>
        <v>1</v>
      </c>
      <c r="K5" s="84">
        <f>'10'!AD8+'10'!AD9</f>
        <v>0.99712187318208256</v>
      </c>
      <c r="L5" s="84">
        <f>'11'!AD8</f>
        <v>0.99906542056074765</v>
      </c>
      <c r="M5" s="84">
        <f>'12'!AD8</f>
        <v>0.41605928085519922</v>
      </c>
      <c r="N5" s="84"/>
      <c r="O5" s="84"/>
      <c r="P5" s="84">
        <f>'15'!AD8</f>
        <v>0.99955156950672641</v>
      </c>
      <c r="Q5" s="84">
        <f>'16'!AD8</f>
        <v>0.54054112554112543</v>
      </c>
      <c r="R5" s="84">
        <f>'17'!AD8</f>
        <v>0</v>
      </c>
      <c r="S5" s="84">
        <f>'18'!AD8</f>
        <v>0.58244047619047623</v>
      </c>
      <c r="T5" s="84">
        <f>'19'!AD8</f>
        <v>0.24865384615384614</v>
      </c>
      <c r="U5" s="84"/>
      <c r="V5" s="84"/>
      <c r="W5" s="123">
        <f>'22'!AD8</f>
        <v>0</v>
      </c>
      <c r="X5" s="84">
        <f>'23'!AD8</f>
        <v>0</v>
      </c>
      <c r="Y5" s="84">
        <f>'24'!AD8</f>
        <v>0</v>
      </c>
      <c r="Z5" s="84">
        <f>'25'!AD8</f>
        <v>0</v>
      </c>
      <c r="AA5" s="84">
        <f>'26'!AD8</f>
        <v>0</v>
      </c>
      <c r="AB5" s="84"/>
      <c r="AC5" s="84"/>
      <c r="AD5" s="84">
        <f>'29'!AD8</f>
        <v>0.66495726495726493</v>
      </c>
      <c r="AE5" s="84">
        <f>'30'!AD8</f>
        <v>0.99979633401222001</v>
      </c>
      <c r="AF5" s="85">
        <f>'31'!AD8</f>
        <v>0.58124169986719787</v>
      </c>
      <c r="AG5" s="86">
        <f t="shared" si="0"/>
        <v>0.44406406873980581</v>
      </c>
    </row>
    <row r="6" spans="1:33" ht="21.75" customHeight="1">
      <c r="A6" s="119" t="s">
        <v>68</v>
      </c>
      <c r="B6" s="114">
        <f>'01'!AD9</f>
        <v>0.1648148148148148</v>
      </c>
      <c r="C6" s="114">
        <f>'02'!AD9</f>
        <v>0.5</v>
      </c>
      <c r="D6" s="87">
        <f>'03'!AD9</f>
        <v>0.79037590579710137</v>
      </c>
      <c r="E6" s="87">
        <f>'04'!AD9</f>
        <v>0.83225388601036276</v>
      </c>
      <c r="F6" s="87">
        <f>'05'!AD9</f>
        <v>0.91591375770020533</v>
      </c>
      <c r="G6" s="87">
        <f>'06'!AD9</f>
        <v>0.99965870307167237</v>
      </c>
      <c r="H6" s="87">
        <f>'07'!AD9</f>
        <v>0.29121093749999999</v>
      </c>
      <c r="I6" s="87">
        <f>'08'!AD9</f>
        <v>0.62340909090909091</v>
      </c>
      <c r="J6" s="87">
        <f>'09'!AD9</f>
        <v>0</v>
      </c>
      <c r="K6" s="87">
        <f>'10'!AD10</f>
        <v>0</v>
      </c>
      <c r="L6" s="87">
        <f>'11'!AD9</f>
        <v>0</v>
      </c>
      <c r="M6" s="87">
        <f>'12'!AD9</f>
        <v>0.16568627450980392</v>
      </c>
      <c r="N6" s="87"/>
      <c r="O6" s="87"/>
      <c r="P6" s="87">
        <f>'15'!AD9</f>
        <v>0.99805194805194808</v>
      </c>
      <c r="Q6" s="87">
        <f>'16'!AD9</f>
        <v>0.41481937602627261</v>
      </c>
      <c r="R6" s="87">
        <f>'17'!AD9</f>
        <v>0.20833333333333334</v>
      </c>
      <c r="S6" s="87">
        <f>'18'!AD9</f>
        <v>0.49809782608695652</v>
      </c>
      <c r="T6" s="87">
        <f>'19'!AD9</f>
        <v>0</v>
      </c>
      <c r="U6" s="87"/>
      <c r="V6" s="87"/>
      <c r="W6" s="87">
        <f>'22'!AD9</f>
        <v>0.49975845410628017</v>
      </c>
      <c r="X6" s="87">
        <f>'23'!AD9</f>
        <v>0.91666666666666663</v>
      </c>
      <c r="Y6" s="87">
        <f>'24'!AD9</f>
        <v>0.91662597114317423</v>
      </c>
      <c r="Z6" s="87">
        <f>'25'!AD9</f>
        <v>0</v>
      </c>
      <c r="AA6" s="87">
        <f>'26'!AD9</f>
        <v>0</v>
      </c>
      <c r="AB6" s="87"/>
      <c r="AC6" s="87"/>
      <c r="AD6" s="87">
        <f>'29'!AD9</f>
        <v>0.33210784313725489</v>
      </c>
      <c r="AE6" s="87">
        <f>'30'!AD9+'30'!AD10</f>
        <v>0.78678260869565209</v>
      </c>
      <c r="AF6" s="88">
        <f>'31'!AD9</f>
        <v>0.375</v>
      </c>
      <c r="AG6" s="89">
        <f t="shared" si="0"/>
        <v>0.36224410959872877</v>
      </c>
    </row>
    <row r="7" spans="1:33" ht="21.75" customHeight="1">
      <c r="A7" s="119" t="s">
        <v>69</v>
      </c>
      <c r="B7" s="114">
        <f>'01'!AD10</f>
        <v>0.62337360594795543</v>
      </c>
      <c r="C7" s="114">
        <f>'02'!AD10</f>
        <v>0</v>
      </c>
      <c r="D7" s="87">
        <f>'03'!AD10</f>
        <v>0</v>
      </c>
      <c r="E7" s="87">
        <f>'04'!AD10</f>
        <v>0</v>
      </c>
      <c r="F7" s="87">
        <f>'05'!AD10</f>
        <v>0</v>
      </c>
      <c r="G7" s="87">
        <f>'06'!AD10</f>
        <v>0</v>
      </c>
      <c r="H7" s="87">
        <f>'07'!AD10</f>
        <v>0</v>
      </c>
      <c r="I7" s="87">
        <f>'08'!AD10</f>
        <v>0</v>
      </c>
      <c r="J7" s="87">
        <f>'09'!AD10</f>
        <v>0</v>
      </c>
      <c r="K7" s="87">
        <f>'10'!AD11</f>
        <v>0.2497536945812808</v>
      </c>
      <c r="L7" s="87">
        <f>'11'!AD10</f>
        <v>0</v>
      </c>
      <c r="M7" s="87">
        <f>'12'!AD10</f>
        <v>0</v>
      </c>
      <c r="N7" s="87"/>
      <c r="O7" s="87"/>
      <c r="P7" s="87">
        <f>'15'!AD10</f>
        <v>0.79141810570381987</v>
      </c>
      <c r="Q7" s="87">
        <f>'16'!AD10</f>
        <v>0.3320175438596491</v>
      </c>
      <c r="R7" s="87">
        <f>'17'!AD10</f>
        <v>0.24856557377049179</v>
      </c>
      <c r="S7" s="87">
        <f>'18'!AD10</f>
        <v>0</v>
      </c>
      <c r="T7" s="87">
        <f>'19'!AD10</f>
        <v>0.37435714285714289</v>
      </c>
      <c r="U7" s="87"/>
      <c r="V7" s="87"/>
      <c r="W7" s="87">
        <f>'22'!AD10</f>
        <v>0.91526564774381369</v>
      </c>
      <c r="X7" s="87">
        <f>'23'!AD10</f>
        <v>1</v>
      </c>
      <c r="Y7" s="87">
        <f>'24'!AD10</f>
        <v>0.16666666666666666</v>
      </c>
      <c r="Z7" s="87">
        <f>'25'!AD10</f>
        <v>0</v>
      </c>
      <c r="AA7" s="87">
        <f>'26'!AD10</f>
        <v>0</v>
      </c>
      <c r="AB7" s="87"/>
      <c r="AC7" s="87"/>
      <c r="AD7" s="87">
        <f>'29'!AD10</f>
        <v>0.74826923076923069</v>
      </c>
      <c r="AE7" s="87">
        <f>'30'!AD11</f>
        <v>0</v>
      </c>
      <c r="AF7" s="88">
        <f>'31'!AD10</f>
        <v>0</v>
      </c>
      <c r="AG7" s="89">
        <f t="shared" si="0"/>
        <v>0.17579636167419521</v>
      </c>
    </row>
    <row r="8" spans="1:33" ht="21.75" customHeight="1">
      <c r="A8" s="119" t="s">
        <v>70</v>
      </c>
      <c r="B8" s="114">
        <f>'01'!AD11</f>
        <v>0.70742521367521372</v>
      </c>
      <c r="C8" s="114">
        <f>'02'!AD11</f>
        <v>0.99834254143646406</v>
      </c>
      <c r="D8" s="87">
        <f>'03'!AD11</f>
        <v>0.62328506097560976</v>
      </c>
      <c r="E8" s="87">
        <f>'04'!AD11</f>
        <v>0.99944903581267219</v>
      </c>
      <c r="F8" s="87">
        <f>'05'!AD11</f>
        <v>0.2497032640949555</v>
      </c>
      <c r="G8" s="87">
        <f>'06'!AD11</f>
        <v>0</v>
      </c>
      <c r="H8" s="87">
        <f>'07'!AD11</f>
        <v>0</v>
      </c>
      <c r="I8" s="87">
        <f>'08'!AD11</f>
        <v>0.83186767169179232</v>
      </c>
      <c r="J8" s="87">
        <f>'09'!AD11</f>
        <v>0.99916247906197653</v>
      </c>
      <c r="K8" s="87">
        <f>'10'!AD12</f>
        <v>0.87371593291404603</v>
      </c>
      <c r="L8" s="87">
        <f>'11'!AD11</f>
        <v>0.99917898193760257</v>
      </c>
      <c r="M8" s="87">
        <f>'12'!AD11</f>
        <v>0.41646537842190018</v>
      </c>
      <c r="N8" s="87"/>
      <c r="O8" s="87"/>
      <c r="P8" s="87">
        <f>'15'!AD11</f>
        <v>2.323550724637681</v>
      </c>
      <c r="Q8" s="87">
        <f>'16'!AD11</f>
        <v>0.99840637450199199</v>
      </c>
      <c r="R8" s="87">
        <f>'17'!AD11</f>
        <v>0.33311827956989248</v>
      </c>
      <c r="S8" s="87">
        <f>'18'!AD11</f>
        <v>0</v>
      </c>
      <c r="T8" s="87">
        <f>'19'!AD11</f>
        <v>0</v>
      </c>
      <c r="U8" s="87"/>
      <c r="V8" s="87"/>
      <c r="W8" s="87">
        <f>'22'!AD11</f>
        <v>0</v>
      </c>
      <c r="X8" s="87">
        <f>'23'!AD11</f>
        <v>0</v>
      </c>
      <c r="Y8" s="87">
        <f>'24'!AD11</f>
        <v>0.66584867075664622</v>
      </c>
      <c r="Z8" s="87">
        <f>'25'!AD11</f>
        <v>0.70760807736063713</v>
      </c>
      <c r="AA8" s="87">
        <f>'26'!AD11</f>
        <v>0.2900201612903226</v>
      </c>
      <c r="AB8" s="87"/>
      <c r="AC8" s="87"/>
      <c r="AD8" s="87">
        <f>'29'!AD11</f>
        <v>0</v>
      </c>
      <c r="AE8" s="87">
        <f>'30'!AD12</f>
        <v>0.45833333333333331</v>
      </c>
      <c r="AF8" s="88">
        <f>'31'!AD11</f>
        <v>0</v>
      </c>
      <c r="AG8" s="89">
        <f t="shared" si="0"/>
        <v>0.43469294133783032</v>
      </c>
    </row>
    <row r="9" spans="1:33" ht="21.75" customHeight="1">
      <c r="A9" s="119" t="s">
        <v>71</v>
      </c>
      <c r="B9" s="114">
        <f>'01'!AD12</f>
        <v>0.91547101449275359</v>
      </c>
      <c r="C9" s="114">
        <f>'02'!AD12+'02'!AD13</f>
        <v>0.9969588885277868</v>
      </c>
      <c r="D9" s="87">
        <f>'03'!AD12</f>
        <v>0</v>
      </c>
      <c r="E9" s="87">
        <f>'04'!AD12</f>
        <v>0</v>
      </c>
      <c r="F9" s="87">
        <f>'05'!AD12</f>
        <v>0</v>
      </c>
      <c r="G9" s="87">
        <f>'06'!AD12</f>
        <v>0</v>
      </c>
      <c r="H9" s="87">
        <f>'07'!AD12</f>
        <v>0</v>
      </c>
      <c r="I9" s="87">
        <f>'08'!AD12</f>
        <v>0</v>
      </c>
      <c r="J9" s="87">
        <f>'09'!AD12</f>
        <v>0.66551724137931034</v>
      </c>
      <c r="K9" s="87">
        <f>'10'!AD13</f>
        <v>0</v>
      </c>
      <c r="L9" s="87">
        <f>'11'!AD12</f>
        <v>0</v>
      </c>
      <c r="M9" s="87">
        <f>'12'!AD12</f>
        <v>0</v>
      </c>
      <c r="N9" s="87"/>
      <c r="O9" s="87"/>
      <c r="P9" s="87">
        <f>'15'!AD12</f>
        <v>0</v>
      </c>
      <c r="Q9" s="87">
        <f>'16'!AD12</f>
        <v>0</v>
      </c>
      <c r="R9" s="87">
        <f>'17'!AD12</f>
        <v>0</v>
      </c>
      <c r="S9" s="87">
        <f>'18'!AD12</f>
        <v>0</v>
      </c>
      <c r="T9" s="87">
        <f>'19'!AD12</f>
        <v>0.2079741379310345</v>
      </c>
      <c r="U9" s="87"/>
      <c r="V9" s="87"/>
      <c r="W9" s="87">
        <f>'22'!AD12+'22'!AD13+'22'!AD14</f>
        <v>0.33185497835497835</v>
      </c>
      <c r="X9" s="87">
        <f>'23'!AD12</f>
        <v>0</v>
      </c>
      <c r="Y9" s="87">
        <f>'24'!AD12</f>
        <v>0</v>
      </c>
      <c r="Z9" s="87">
        <f>'25'!AD12</f>
        <v>0</v>
      </c>
      <c r="AA9" s="87">
        <f>'26'!AD12</f>
        <v>0</v>
      </c>
      <c r="AB9" s="87"/>
      <c r="AC9" s="87"/>
      <c r="AD9" s="87">
        <f>'29'!AD12</f>
        <v>0.87338815789473689</v>
      </c>
      <c r="AE9" s="87">
        <f>'30'!AD13</f>
        <v>0.99832285115303987</v>
      </c>
      <c r="AF9" s="88">
        <f>'31'!AD12</f>
        <v>0.83144891122278064</v>
      </c>
      <c r="AG9" s="89">
        <f t="shared" si="0"/>
        <v>0.18777213486956196</v>
      </c>
    </row>
    <row r="10" spans="1:33" ht="21.75" customHeight="1">
      <c r="A10" s="119" t="s">
        <v>72</v>
      </c>
      <c r="B10" s="114">
        <f>'01'!AD13</f>
        <v>0</v>
      </c>
      <c r="C10" s="114">
        <f>'02'!AD14</f>
        <v>0.54103190104166665</v>
      </c>
      <c r="D10" s="87">
        <f>'03'!AD13</f>
        <v>0.16666666666666666</v>
      </c>
      <c r="E10" s="87">
        <f>'04'!AD13</f>
        <v>0</v>
      </c>
      <c r="F10" s="87">
        <f>'05'!AD13</f>
        <v>0</v>
      </c>
      <c r="G10" s="87">
        <f>'06'!AD13</f>
        <v>0</v>
      </c>
      <c r="H10" s="87">
        <f>'07'!AD13</f>
        <v>0</v>
      </c>
      <c r="I10" s="87">
        <f>'08'!AD13</f>
        <v>0</v>
      </c>
      <c r="J10" s="87">
        <f>'09'!AD13</f>
        <v>0</v>
      </c>
      <c r="K10" s="87">
        <f>'10'!AD14</f>
        <v>0.58333333333333337</v>
      </c>
      <c r="L10" s="87">
        <f>'11'!AD13</f>
        <v>0.99940239043824697</v>
      </c>
      <c r="M10" s="87">
        <f>'12'!AD13</f>
        <v>0.4159798534798535</v>
      </c>
      <c r="N10" s="87"/>
      <c r="O10" s="87"/>
      <c r="P10" s="87">
        <f>'15'!AD13</f>
        <v>0.74813167259786484</v>
      </c>
      <c r="Q10" s="87">
        <f>'16'!AD13</f>
        <v>1</v>
      </c>
      <c r="R10" s="87">
        <f>'17'!AD13</f>
        <v>0.99979079497907952</v>
      </c>
      <c r="S10" s="87">
        <f>'18'!AD13</f>
        <v>0.99977973568281941</v>
      </c>
      <c r="T10" s="87">
        <f>'19'!AD13</f>
        <v>0.33306010928961749</v>
      </c>
      <c r="U10" s="87"/>
      <c r="V10" s="87"/>
      <c r="W10" s="87">
        <f>'22'!AD15</f>
        <v>0.62353515625</v>
      </c>
      <c r="X10" s="87">
        <f>'23'!AD13</f>
        <v>0.24965517241379309</v>
      </c>
      <c r="Y10" s="87">
        <f>'24'!AD13+'24'!AD14</f>
        <v>0.78886993243243242</v>
      </c>
      <c r="Z10" s="87">
        <f>'25'!AD13+'25'!AD14</f>
        <v>0.79032258064516125</v>
      </c>
      <c r="AA10" s="87">
        <f>'26'!AD13</f>
        <v>0</v>
      </c>
      <c r="AB10" s="87"/>
      <c r="AC10" s="87"/>
      <c r="AD10" s="87">
        <f>'29'!AD13</f>
        <v>0.58242894056847549</v>
      </c>
      <c r="AE10" s="87">
        <f>'30'!AD14</f>
        <v>0.9991886409736308</v>
      </c>
      <c r="AF10" s="88">
        <f>'31'!AD13</f>
        <v>0.41443452380952384</v>
      </c>
      <c r="AG10" s="89">
        <f t="shared" si="0"/>
        <v>0.3624390775678118</v>
      </c>
    </row>
    <row r="11" spans="1:33" ht="21.75" customHeight="1">
      <c r="A11" s="118" t="s">
        <v>73</v>
      </c>
      <c r="B11" s="113">
        <f>'01'!AD14</f>
        <v>0</v>
      </c>
      <c r="C11" s="113">
        <f>'02'!AD15</f>
        <v>0</v>
      </c>
      <c r="D11" s="84">
        <f>'03'!AD14</f>
        <v>0</v>
      </c>
      <c r="E11" s="84">
        <f>'04'!AD14</f>
        <v>0</v>
      </c>
      <c r="F11" s="84">
        <f>'05'!AD14</f>
        <v>0</v>
      </c>
      <c r="G11" s="84">
        <f>'06'!AD14</f>
        <v>0</v>
      </c>
      <c r="H11" s="84">
        <f>'07'!AD14</f>
        <v>0</v>
      </c>
      <c r="I11" s="84">
        <f>'08'!AD14</f>
        <v>0</v>
      </c>
      <c r="J11" s="84">
        <f>'09'!AD14</f>
        <v>0</v>
      </c>
      <c r="K11" s="84">
        <f>'10'!AD15</f>
        <v>0</v>
      </c>
      <c r="L11" s="84">
        <f>'11'!AD14</f>
        <v>0</v>
      </c>
      <c r="M11" s="84">
        <f>'12'!AD14</f>
        <v>0</v>
      </c>
      <c r="N11" s="84"/>
      <c r="O11" s="84"/>
      <c r="P11" s="84">
        <f>'15'!AD14</f>
        <v>0</v>
      </c>
      <c r="Q11" s="84">
        <f>'16'!AD14</f>
        <v>0</v>
      </c>
      <c r="R11" s="84">
        <f>'17'!AD14</f>
        <v>0.36861702127659574</v>
      </c>
      <c r="S11" s="84">
        <f>'18'!AD14</f>
        <v>0</v>
      </c>
      <c r="T11" s="84">
        <f>'19'!AD14</f>
        <v>0</v>
      </c>
      <c r="U11" s="84"/>
      <c r="V11" s="84"/>
      <c r="W11" s="84">
        <f>'22'!AD16</f>
        <v>0</v>
      </c>
      <c r="X11" s="84">
        <f>'23'!AD14</f>
        <v>0</v>
      </c>
      <c r="Y11" s="84">
        <f>'24'!AD15</f>
        <v>0</v>
      </c>
      <c r="Z11" s="84">
        <f>'25'!AD15</f>
        <v>0</v>
      </c>
      <c r="AA11" s="84">
        <f>'26'!AD14</f>
        <v>0</v>
      </c>
      <c r="AB11" s="84"/>
      <c r="AC11" s="84"/>
      <c r="AD11" s="84">
        <f>'29'!AD14</f>
        <v>0</v>
      </c>
      <c r="AE11" s="84">
        <f>'30'!AD15</f>
        <v>0</v>
      </c>
      <c r="AF11" s="85">
        <f>'31'!AD14</f>
        <v>0</v>
      </c>
      <c r="AG11" s="86">
        <f t="shared" si="0"/>
        <v>1.1890871654083734E-2</v>
      </c>
    </row>
    <row r="12" spans="1:33" ht="21.75" customHeight="1">
      <c r="A12" s="118" t="s">
        <v>74</v>
      </c>
      <c r="B12" s="113">
        <f>'01'!AD15</f>
        <v>0</v>
      </c>
      <c r="C12" s="113">
        <f>'02'!AD16</f>
        <v>0</v>
      </c>
      <c r="D12" s="84">
        <f>'03'!AD15</f>
        <v>0</v>
      </c>
      <c r="E12" s="84">
        <f>'04'!AD15</f>
        <v>0</v>
      </c>
      <c r="F12" s="84">
        <f>'05'!AD15</f>
        <v>0</v>
      </c>
      <c r="G12" s="84">
        <f>'06'!AD15</f>
        <v>0</v>
      </c>
      <c r="H12" s="84">
        <f>'07'!AD15</f>
        <v>0</v>
      </c>
      <c r="I12" s="84">
        <f>'08'!AD15</f>
        <v>0</v>
      </c>
      <c r="J12" s="84">
        <f>'09'!AD15+'09'!AD16</f>
        <v>0.33333333333333331</v>
      </c>
      <c r="K12" s="84">
        <f>'10'!AD16</f>
        <v>0</v>
      </c>
      <c r="L12" s="84">
        <f>'11'!AD15</f>
        <v>0</v>
      </c>
      <c r="M12" s="84">
        <f>'12'!AD15</f>
        <v>0</v>
      </c>
      <c r="N12" s="84"/>
      <c r="O12" s="84"/>
      <c r="P12" s="84">
        <f>'15'!AD15</f>
        <v>0</v>
      </c>
      <c r="Q12" s="84">
        <f>'16'!AD15</f>
        <v>0</v>
      </c>
      <c r="R12" s="84">
        <f>'17'!AD15</f>
        <v>0</v>
      </c>
      <c r="S12" s="84">
        <f>'18'!AD15</f>
        <v>0</v>
      </c>
      <c r="T12" s="84">
        <f>'19'!AD15</f>
        <v>0</v>
      </c>
      <c r="U12" s="84"/>
      <c r="V12" s="84"/>
      <c r="W12" s="84">
        <f>'22'!AD17</f>
        <v>0</v>
      </c>
      <c r="X12" s="84">
        <f>'23'!AD15</f>
        <v>0</v>
      </c>
      <c r="Y12" s="84">
        <f>'24'!AD16</f>
        <v>0</v>
      </c>
      <c r="Z12" s="84">
        <f>'25'!AD16</f>
        <v>0</v>
      </c>
      <c r="AA12" s="84">
        <f>'26'!AD15</f>
        <v>0</v>
      </c>
      <c r="AB12" s="84"/>
      <c r="AC12" s="84"/>
      <c r="AD12" s="84">
        <f>'29'!AD15</f>
        <v>0</v>
      </c>
      <c r="AE12" s="84">
        <f>'30'!AD16</f>
        <v>0</v>
      </c>
      <c r="AF12" s="85">
        <f>'31'!AD15</f>
        <v>0</v>
      </c>
      <c r="AG12" s="86">
        <f t="shared" si="0"/>
        <v>1.075268817204301E-2</v>
      </c>
    </row>
    <row r="13" spans="1:33" ht="21.75" customHeight="1">
      <c r="A13" s="118" t="s">
        <v>75</v>
      </c>
      <c r="B13" s="113">
        <f>'01'!AD16</f>
        <v>0</v>
      </c>
      <c r="C13" s="113">
        <f>'02'!AD17</f>
        <v>0</v>
      </c>
      <c r="D13" s="84">
        <f>'03'!AD16</f>
        <v>0</v>
      </c>
      <c r="E13" s="84">
        <f>'04'!AD16</f>
        <v>0</v>
      </c>
      <c r="F13" s="84">
        <f>'05'!AD16</f>
        <v>0</v>
      </c>
      <c r="G13" s="84">
        <f>'06'!AD16</f>
        <v>0</v>
      </c>
      <c r="H13" s="84">
        <f>'07'!AD16</f>
        <v>0</v>
      </c>
      <c r="I13" s="84">
        <f>'08'!AD16</f>
        <v>0.49907407407407406</v>
      </c>
      <c r="J13" s="84">
        <f>'09'!AD17</f>
        <v>0.79020833333333329</v>
      </c>
      <c r="K13" s="84">
        <f>'10'!AD17</f>
        <v>0.74976851851851856</v>
      </c>
      <c r="L13" s="84">
        <f>'11'!AD16</f>
        <v>0.9567478553921569</v>
      </c>
      <c r="M13" s="84">
        <f>'12'!AD16</f>
        <v>0.41584645669291342</v>
      </c>
      <c r="N13" s="84"/>
      <c r="O13" s="84"/>
      <c r="P13" s="84">
        <f>'15'!AD16</f>
        <v>0.83282520325203258</v>
      </c>
      <c r="Q13" s="84">
        <f>'16'!AD16</f>
        <v>1</v>
      </c>
      <c r="R13" s="84">
        <f>'17'!AD16</f>
        <v>0.54094764011799412</v>
      </c>
      <c r="S13" s="84">
        <f>'18'!AD16</f>
        <v>0.99912472647702411</v>
      </c>
      <c r="T13" s="84">
        <f>'19'!AD16</f>
        <v>0</v>
      </c>
      <c r="U13" s="84"/>
      <c r="V13" s="84"/>
      <c r="W13" s="84">
        <f>'22'!AD18</f>
        <v>0</v>
      </c>
      <c r="X13" s="84">
        <f>'23'!AD16</f>
        <v>0.29031635802469136</v>
      </c>
      <c r="Y13" s="84">
        <f>'24'!AD17</f>
        <v>0</v>
      </c>
      <c r="Z13" s="84">
        <f>'25'!AD17</f>
        <v>0</v>
      </c>
      <c r="AA13" s="84">
        <f>'26'!AD16</f>
        <v>0</v>
      </c>
      <c r="AB13" s="84"/>
      <c r="AC13" s="84"/>
      <c r="AD13" s="84">
        <f>'29'!AD16</f>
        <v>0.91579365079365083</v>
      </c>
      <c r="AE13" s="84">
        <f>'30'!AD17</f>
        <v>0.99932546374367626</v>
      </c>
      <c r="AF13" s="85">
        <f>'31'!AD16</f>
        <v>0.79016159695817489</v>
      </c>
      <c r="AG13" s="86">
        <f t="shared" si="0"/>
        <v>0.31548838314123356</v>
      </c>
    </row>
    <row r="14" spans="1:33" ht="21.75" customHeight="1">
      <c r="A14" s="118" t="s">
        <v>76</v>
      </c>
      <c r="B14" s="113">
        <f>'01'!AD17</f>
        <v>0</v>
      </c>
      <c r="C14" s="113">
        <f>'02'!AD18</f>
        <v>0</v>
      </c>
      <c r="D14" s="84">
        <f>'03'!AD17</f>
        <v>0</v>
      </c>
      <c r="E14" s="84">
        <f>'04'!AD17</f>
        <v>0</v>
      </c>
      <c r="F14" s="84">
        <f>'05'!AD17</f>
        <v>0</v>
      </c>
      <c r="G14" s="84">
        <f>'06'!AD17</f>
        <v>0</v>
      </c>
      <c r="H14" s="84">
        <f>'07'!AD17</f>
        <v>0</v>
      </c>
      <c r="I14" s="84">
        <f>'08'!AD17</f>
        <v>0</v>
      </c>
      <c r="J14" s="84">
        <f>'09'!AD18</f>
        <v>0.74979946524064167</v>
      </c>
      <c r="K14" s="84">
        <f>'10'!AD18</f>
        <v>0.83295019157088124</v>
      </c>
      <c r="L14" s="84">
        <f>'11'!AD17</f>
        <v>0.99809725158562368</v>
      </c>
      <c r="M14" s="84">
        <f>'12'!AD17</f>
        <v>0</v>
      </c>
      <c r="N14" s="84"/>
      <c r="O14" s="84"/>
      <c r="P14" s="84">
        <f>'15'!AD17</f>
        <v>0</v>
      </c>
      <c r="Q14" s="84">
        <f>'16'!AD17</f>
        <v>0</v>
      </c>
      <c r="R14" s="84">
        <f>'17'!AD17</f>
        <v>0</v>
      </c>
      <c r="S14" s="84">
        <f>'18'!AD17</f>
        <v>0.49803921568627452</v>
      </c>
      <c r="T14" s="84">
        <f>'19'!AD17</f>
        <v>0</v>
      </c>
      <c r="U14" s="84"/>
      <c r="V14" s="84"/>
      <c r="W14" s="84">
        <f>'22'!AD19</f>
        <v>0.125</v>
      </c>
      <c r="X14" s="84">
        <f>'23'!AD17</f>
        <v>0</v>
      </c>
      <c r="Y14" s="84">
        <f>'24'!AD18</f>
        <v>0</v>
      </c>
      <c r="Z14" s="84">
        <f>'25'!AD18</f>
        <v>0</v>
      </c>
      <c r="AA14" s="84">
        <f>'26'!AD17</f>
        <v>0</v>
      </c>
      <c r="AB14" s="84"/>
      <c r="AC14" s="84"/>
      <c r="AD14" s="84">
        <f>'29'!AD17</f>
        <v>0</v>
      </c>
      <c r="AE14" s="84">
        <f>'30'!AD18</f>
        <v>0</v>
      </c>
      <c r="AF14" s="85">
        <f>'31'!AD17</f>
        <v>0</v>
      </c>
      <c r="AG14" s="86">
        <f t="shared" si="0"/>
        <v>0.10335116529301358</v>
      </c>
    </row>
    <row r="15" spans="1:33" ht="21.75" customHeight="1">
      <c r="A15" s="119" t="s">
        <v>77</v>
      </c>
      <c r="B15" s="114">
        <f>'01'!AD18</f>
        <v>0.79002225519287828</v>
      </c>
      <c r="C15" s="114">
        <f>'02'!AD19</f>
        <v>0.83308823529411768</v>
      </c>
      <c r="D15" s="87">
        <f>'03'!AD18</f>
        <v>0.87476728723404262</v>
      </c>
      <c r="E15" s="87">
        <f>'04'!AD18</f>
        <v>0.91508620689655173</v>
      </c>
      <c r="F15" s="87">
        <f>'05'!AD18</f>
        <v>0.91623630672926448</v>
      </c>
      <c r="G15" s="87">
        <f>'06'!AD18</f>
        <v>0</v>
      </c>
      <c r="H15" s="87">
        <f>'07'!AD18</f>
        <v>0</v>
      </c>
      <c r="I15" s="87">
        <f>'08'!AD18</f>
        <v>0.70696677384780282</v>
      </c>
      <c r="J15" s="87">
        <f>'09'!AD19</f>
        <v>0.49976303317535548</v>
      </c>
      <c r="K15" s="87">
        <f>'10'!AD19</f>
        <v>0.70638602520045823</v>
      </c>
      <c r="L15" s="87">
        <f>'11'!AD18</f>
        <v>0.83287795992714031</v>
      </c>
      <c r="M15" s="87">
        <f>'12'!AD18</f>
        <v>0.41522988505747127</v>
      </c>
      <c r="N15" s="87"/>
      <c r="O15" s="87"/>
      <c r="P15" s="87">
        <f>'15'!AD18</f>
        <v>0.74764808362369339</v>
      </c>
      <c r="Q15" s="87">
        <f>'16'!AD18</f>
        <v>0.79166666666666663</v>
      </c>
      <c r="R15" s="87">
        <f>'17'!AD18</f>
        <v>0.3747685185185185</v>
      </c>
      <c r="S15" s="87">
        <f>'18'!AD18</f>
        <v>0</v>
      </c>
      <c r="T15" s="87">
        <f>'19'!AD18</f>
        <v>0.37460937499999997</v>
      </c>
      <c r="U15" s="87"/>
      <c r="V15" s="87"/>
      <c r="W15" s="87">
        <f>'22'!AD20</f>
        <v>0.99936170212765962</v>
      </c>
      <c r="X15" s="87">
        <f>'23'!AD18</f>
        <v>0.99962049335863379</v>
      </c>
      <c r="Y15" s="87">
        <f>'24'!AD19</f>
        <v>0.99943502824858754</v>
      </c>
      <c r="Z15" s="87">
        <f>'25'!AD19</f>
        <v>0.49766839378238342</v>
      </c>
      <c r="AA15" s="87">
        <f>'26'!AD18</f>
        <v>0.16424731182795699</v>
      </c>
      <c r="AB15" s="87"/>
      <c r="AC15" s="87"/>
      <c r="AD15" s="87">
        <f>'29'!AD18</f>
        <v>1</v>
      </c>
      <c r="AE15" s="87">
        <f>'30'!AD19</f>
        <v>0.99907749077490771</v>
      </c>
      <c r="AF15" s="88">
        <f>'31'!AD18</f>
        <v>0.66491803278688522</v>
      </c>
      <c r="AG15" s="89">
        <f t="shared" si="0"/>
        <v>0.51946596984745086</v>
      </c>
    </row>
    <row r="16" spans="1:33" ht="21.75" customHeight="1">
      <c r="A16" s="119" t="s">
        <v>78</v>
      </c>
      <c r="B16" s="114">
        <f>'01'!AD19</f>
        <v>0.66546906187624744</v>
      </c>
      <c r="C16" s="114">
        <f>'02'!AD20+'02'!AD21</f>
        <v>0.748539169520548</v>
      </c>
      <c r="D16" s="87">
        <f>'03'!AD19+'03'!AD20</f>
        <v>0.95758674196174187</v>
      </c>
      <c r="E16" s="87">
        <f>'04'!AD19</f>
        <v>0.6657777777777778</v>
      </c>
      <c r="F16" s="87">
        <f>'05'!AD19</f>
        <v>1.1827083333333333</v>
      </c>
      <c r="G16" s="87">
        <f>'06'!AD19</f>
        <v>0.41609195402298849</v>
      </c>
      <c r="H16" s="87">
        <f>'07'!AD19</f>
        <v>0</v>
      </c>
      <c r="I16" s="87">
        <f>'08'!AD19</f>
        <v>0</v>
      </c>
      <c r="J16" s="87">
        <f>'09'!AD20</f>
        <v>0</v>
      </c>
      <c r="K16" s="87">
        <f>'10'!AD20</f>
        <v>0</v>
      </c>
      <c r="L16" s="87">
        <f>'11'!AD19</f>
        <v>0</v>
      </c>
      <c r="M16" s="87">
        <f>'12'!AD19</f>
        <v>0</v>
      </c>
      <c r="N16" s="87"/>
      <c r="O16" s="87"/>
      <c r="P16" s="87">
        <f>'15'!AD19</f>
        <v>0</v>
      </c>
      <c r="Q16" s="87">
        <f>'16'!AD19</f>
        <v>0</v>
      </c>
      <c r="R16" s="87">
        <f>'17'!AD19</f>
        <v>0</v>
      </c>
      <c r="S16" s="87">
        <f>'18'!AD19</f>
        <v>0</v>
      </c>
      <c r="T16" s="87">
        <f>'19'!AD19</f>
        <v>0</v>
      </c>
      <c r="U16" s="87"/>
      <c r="V16" s="87"/>
      <c r="W16" s="87">
        <f>'22'!AD21</f>
        <v>0</v>
      </c>
      <c r="X16" s="87">
        <f>'23'!AD19</f>
        <v>0</v>
      </c>
      <c r="Y16" s="87">
        <f>'24'!AD20</f>
        <v>0</v>
      </c>
      <c r="Z16" s="87">
        <f>'25'!AD20</f>
        <v>0</v>
      </c>
      <c r="AA16" s="87">
        <f>'26'!AD19</f>
        <v>0</v>
      </c>
      <c r="AB16" s="87"/>
      <c r="AC16" s="87"/>
      <c r="AD16" s="87">
        <f>'29'!AD19</f>
        <v>0</v>
      </c>
      <c r="AE16" s="87">
        <f>'30'!AD20</f>
        <v>0.16619047619047617</v>
      </c>
      <c r="AF16" s="88">
        <f>'31'!AD19</f>
        <v>0.95833333333333337</v>
      </c>
      <c r="AG16" s="89">
        <f t="shared" si="0"/>
        <v>0.18582893058117567</v>
      </c>
    </row>
    <row r="17" spans="1:33" ht="21.75" customHeight="1" thickBot="1">
      <c r="A17" s="120" t="s">
        <v>116</v>
      </c>
      <c r="B17" s="115">
        <f>'01'!AD20</f>
        <v>0.99772826561817385</v>
      </c>
      <c r="C17" s="115">
        <f>'02'!AD22</f>
        <v>0</v>
      </c>
      <c r="D17" s="90">
        <f>'03'!AD21</f>
        <v>0.87480192416525182</v>
      </c>
      <c r="E17" s="90">
        <f>'04'!AD20</f>
        <v>0.99987692307692311</v>
      </c>
      <c r="F17" s="90">
        <f>'05'!AD20</f>
        <v>0.99995767195767193</v>
      </c>
      <c r="G17" s="90">
        <f>'06'!AD20</f>
        <v>0</v>
      </c>
      <c r="H17" s="90">
        <f>'07'!AD20</f>
        <v>0</v>
      </c>
      <c r="I17" s="90">
        <f>'08'!AD20</f>
        <v>0</v>
      </c>
      <c r="J17" s="90">
        <f>'09'!AD21</f>
        <v>0.83056790123456781</v>
      </c>
      <c r="K17" s="90">
        <f>'10'!AD21</f>
        <v>0.99996145692811722</v>
      </c>
      <c r="L17" s="90">
        <f>'11'!AD20</f>
        <v>0.79166666666666663</v>
      </c>
      <c r="M17" s="90">
        <f>'12'!AD20</f>
        <v>0.41666666666666669</v>
      </c>
      <c r="N17" s="90"/>
      <c r="O17" s="90"/>
      <c r="P17" s="90">
        <f>'15'!AD20</f>
        <v>0.95819901892081294</v>
      </c>
      <c r="Q17" s="90">
        <f>'16'!AD20</f>
        <v>1</v>
      </c>
      <c r="R17" s="90">
        <f>'17'!AD20</f>
        <v>0.99992166079122602</v>
      </c>
      <c r="S17" s="90">
        <f>'18'!AD20</f>
        <v>0.83314339981006658</v>
      </c>
      <c r="T17" s="90">
        <f>'19'!AD20</f>
        <v>0.33313054499366285</v>
      </c>
      <c r="U17" s="90"/>
      <c r="V17" s="90"/>
      <c r="W17" s="90">
        <f>'22'!AD22</f>
        <v>0.95817420783174212</v>
      </c>
      <c r="X17" s="90">
        <f>'23'!AD20</f>
        <v>0.99985304922850848</v>
      </c>
      <c r="Y17" s="90">
        <f>'24'!AD21</f>
        <v>0.99989049096550464</v>
      </c>
      <c r="Z17" s="90">
        <f>'25'!AD21</f>
        <v>1</v>
      </c>
      <c r="AA17" s="90">
        <f>'26'!AD20</f>
        <v>0.45826936496859738</v>
      </c>
      <c r="AB17" s="90"/>
      <c r="AC17" s="90"/>
      <c r="AD17" s="90">
        <f>'29'!AD20</f>
        <v>0.99988778754441743</v>
      </c>
      <c r="AE17" s="90">
        <f>'30'!AD21</f>
        <v>0</v>
      </c>
      <c r="AF17" s="91">
        <f>'31'!AD20</f>
        <v>0.95822474032105764</v>
      </c>
      <c r="AG17" s="92">
        <f t="shared" si="0"/>
        <v>0.56161037876418196</v>
      </c>
    </row>
    <row r="18" spans="1:33" s="93" customFormat="1" ht="21.75" customHeight="1">
      <c r="A18" s="97" t="s">
        <v>110</v>
      </c>
      <c r="B18" s="101">
        <f>'01'!AD21</f>
        <v>0.45751858719261485</v>
      </c>
      <c r="C18" s="101">
        <f>'02'!AD23</f>
        <v>0.42725339626979431</v>
      </c>
      <c r="D18" s="102">
        <f>'03'!AD22</f>
        <v>0.41912938508966663</v>
      </c>
      <c r="E18" s="102">
        <f>'04'!AD21</f>
        <v>0.38516051454298222</v>
      </c>
      <c r="F18" s="102">
        <f>'05'!AD21</f>
        <v>0.35092059028278122</v>
      </c>
      <c r="G18" s="102">
        <f>'06'!AD21</f>
        <v>9.4383377139644065E-2</v>
      </c>
      <c r="H18" s="102">
        <f>'07'!AD21</f>
        <v>1.9414062499999999E-2</v>
      </c>
      <c r="I18" s="102">
        <f>'08'!AD21</f>
        <v>0.24125726218912066</v>
      </c>
      <c r="J18" s="102">
        <f>'09'!AD22</f>
        <v>0.39122345245056789</v>
      </c>
      <c r="K18" s="102">
        <f>'10'!AD22</f>
        <v>0.3995327350819145</v>
      </c>
      <c r="L18" s="102">
        <f>'11'!AD21</f>
        <v>0.43846910176721232</v>
      </c>
      <c r="M18" s="102">
        <f>'12'!AD21</f>
        <v>0.17746225304558721</v>
      </c>
      <c r="N18" s="102"/>
      <c r="O18" s="102"/>
      <c r="P18" s="102">
        <f>'15'!AD21</f>
        <v>0.55995842175297195</v>
      </c>
      <c r="Q18" s="102">
        <f>'16'!AD21</f>
        <v>0.40516340577304705</v>
      </c>
      <c r="R18" s="102">
        <f>'17'!AD21</f>
        <v>0.32715974371269763</v>
      </c>
      <c r="S18" s="102">
        <f>'18'!AD21</f>
        <v>0.33010322263376413</v>
      </c>
      <c r="T18" s="102">
        <f>'19'!AD21</f>
        <v>0.12478567708168692</v>
      </c>
      <c r="U18" s="102"/>
      <c r="V18" s="102"/>
      <c r="W18" s="102">
        <f>'22'!AD23</f>
        <v>0.29686334309429829</v>
      </c>
      <c r="X18" s="102">
        <f>'23'!AD21</f>
        <v>0.29707411597948619</v>
      </c>
      <c r="Y18" s="102">
        <f>'24'!AD22</f>
        <v>0.30248911734753409</v>
      </c>
      <c r="Z18" s="102">
        <f>'25'!AD22</f>
        <v>0.19970660345254546</v>
      </c>
      <c r="AA18" s="102">
        <f>'26'!AD21</f>
        <v>6.0835789205791801E-2</v>
      </c>
      <c r="AB18" s="102"/>
      <c r="AC18" s="102"/>
      <c r="AD18" s="102">
        <f>'29'!AD21</f>
        <v>0.40778885837766876</v>
      </c>
      <c r="AE18" s="102">
        <f>'30'!AD22</f>
        <v>0.42713447992512904</v>
      </c>
      <c r="AF18" s="103">
        <f>'31'!AD21</f>
        <v>0.37158418921993019</v>
      </c>
      <c r="AG18" s="106">
        <f t="shared" si="0"/>
        <v>0.25523779629382054</v>
      </c>
    </row>
    <row r="19" spans="1:33" ht="21.75" customHeight="1" thickBot="1">
      <c r="A19" s="76" t="s">
        <v>114</v>
      </c>
      <c r="B19" s="77">
        <v>0.7</v>
      </c>
      <c r="C19" s="78">
        <v>0.7</v>
      </c>
      <c r="D19" s="78">
        <v>0.7</v>
      </c>
      <c r="E19" s="78">
        <v>0.7</v>
      </c>
      <c r="F19" s="78">
        <v>0.7</v>
      </c>
      <c r="G19" s="78">
        <v>0.7</v>
      </c>
      <c r="H19" s="78">
        <v>0.7</v>
      </c>
      <c r="I19" s="78">
        <v>0.7</v>
      </c>
      <c r="J19" s="78">
        <v>0.7</v>
      </c>
      <c r="K19" s="78">
        <v>0.7</v>
      </c>
      <c r="L19" s="78">
        <v>0.7</v>
      </c>
      <c r="M19" s="78">
        <v>0.7</v>
      </c>
      <c r="N19" s="78">
        <v>0.7</v>
      </c>
      <c r="O19" s="78">
        <v>0.7</v>
      </c>
      <c r="P19" s="78">
        <v>0.7</v>
      </c>
      <c r="Q19" s="78">
        <v>0.7</v>
      </c>
      <c r="R19" s="78">
        <v>0.7</v>
      </c>
      <c r="S19" s="78">
        <v>0.7</v>
      </c>
      <c r="T19" s="78">
        <v>0.7</v>
      </c>
      <c r="U19" s="78">
        <v>0.7</v>
      </c>
      <c r="V19" s="78">
        <v>0.7</v>
      </c>
      <c r="W19" s="78">
        <v>0.7</v>
      </c>
      <c r="X19" s="78">
        <v>0.7</v>
      </c>
      <c r="Y19" s="78">
        <v>0.7</v>
      </c>
      <c r="Z19" s="78">
        <v>0.7</v>
      </c>
      <c r="AA19" s="78">
        <v>0.7</v>
      </c>
      <c r="AB19" s="78">
        <v>0.7</v>
      </c>
      <c r="AC19" s="78">
        <v>0.7</v>
      </c>
      <c r="AD19" s="78">
        <v>0.7</v>
      </c>
      <c r="AE19" s="78">
        <v>0.7</v>
      </c>
      <c r="AF19" s="79">
        <v>0.7</v>
      </c>
      <c r="AG19" s="80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K81" sqref="K81:S81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191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124" t="s">
        <v>17</v>
      </c>
      <c r="L5" s="124" t="s">
        <v>18</v>
      </c>
      <c r="M5" s="124" t="s">
        <v>19</v>
      </c>
      <c r="N5" s="12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0.45751858719261485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138</v>
      </c>
      <c r="D7" s="55" t="s">
        <v>178</v>
      </c>
      <c r="E7" s="56" t="s">
        <v>179</v>
      </c>
      <c r="F7" s="12" t="s">
        <v>180</v>
      </c>
      <c r="G7" s="36">
        <v>2</v>
      </c>
      <c r="H7" s="38">
        <v>25</v>
      </c>
      <c r="I7" s="7">
        <v>40000</v>
      </c>
      <c r="J7" s="14">
        <v>10920</v>
      </c>
      <c r="K7" s="15">
        <f>L7+7596</f>
        <v>18516</v>
      </c>
      <c r="L7" s="15">
        <f>2829*2+2631*2</f>
        <v>10920</v>
      </c>
      <c r="M7" s="16">
        <f t="shared" si="0"/>
        <v>10920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1</v>
      </c>
      <c r="AC7" s="9">
        <f t="shared" si="5"/>
        <v>1</v>
      </c>
      <c r="AD7" s="10">
        <f t="shared" si="6"/>
        <v>1</v>
      </c>
      <c r="AE7" s="39">
        <f t="shared" si="7"/>
        <v>0.45751858719261485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127</v>
      </c>
      <c r="D8" s="55" t="s">
        <v>123</v>
      </c>
      <c r="E8" s="57" t="s">
        <v>164</v>
      </c>
      <c r="F8" s="12" t="s">
        <v>128</v>
      </c>
      <c r="G8" s="36">
        <v>1</v>
      </c>
      <c r="H8" s="38">
        <v>25</v>
      </c>
      <c r="I8" s="7">
        <v>50000</v>
      </c>
      <c r="J8" s="14">
        <v>5900</v>
      </c>
      <c r="K8" s="15">
        <f>L8+3722+5863+5774+5740</f>
        <v>26990</v>
      </c>
      <c r="L8" s="15">
        <f>3011+71+2809</f>
        <v>5891</v>
      </c>
      <c r="M8" s="16">
        <f t="shared" si="0"/>
        <v>5891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0.99847457627118641</v>
      </c>
      <c r="AC8" s="9">
        <f t="shared" si="5"/>
        <v>1</v>
      </c>
      <c r="AD8" s="10">
        <f t="shared" si="6"/>
        <v>0.99847457627118641</v>
      </c>
      <c r="AE8" s="39">
        <f t="shared" si="7"/>
        <v>0.45751858719261485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165</v>
      </c>
      <c r="E9" s="57" t="s">
        <v>133</v>
      </c>
      <c r="F9" s="12" t="s">
        <v>126</v>
      </c>
      <c r="G9" s="12">
        <v>1</v>
      </c>
      <c r="H9" s="13">
        <v>25</v>
      </c>
      <c r="I9" s="34">
        <v>27000</v>
      </c>
      <c r="J9" s="5">
        <v>720</v>
      </c>
      <c r="K9" s="15">
        <f>L9+3312+5792+3396+5312</f>
        <v>18524</v>
      </c>
      <c r="L9" s="15">
        <v>712</v>
      </c>
      <c r="M9" s="16">
        <f t="shared" si="0"/>
        <v>712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>
        <v>20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0.98888888888888893</v>
      </c>
      <c r="AC9" s="9">
        <f t="shared" si="5"/>
        <v>0.16666666666666666</v>
      </c>
      <c r="AD9" s="10">
        <f t="shared" si="6"/>
        <v>0.1648148148148148</v>
      </c>
      <c r="AE9" s="39">
        <f t="shared" si="7"/>
        <v>0.45751858719261485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127</v>
      </c>
      <c r="D10" s="55" t="s">
        <v>58</v>
      </c>
      <c r="E10" s="57" t="s">
        <v>192</v>
      </c>
      <c r="F10" s="12" t="s">
        <v>193</v>
      </c>
      <c r="G10" s="12">
        <v>1</v>
      </c>
      <c r="H10" s="13">
        <v>25</v>
      </c>
      <c r="I10" s="34">
        <v>7000</v>
      </c>
      <c r="J10" s="14">
        <v>2690</v>
      </c>
      <c r="K10" s="15">
        <f>L10</f>
        <v>2683</v>
      </c>
      <c r="L10" s="15">
        <f>683+2000</f>
        <v>2683</v>
      </c>
      <c r="M10" s="16">
        <f t="shared" si="0"/>
        <v>2683</v>
      </c>
      <c r="N10" s="16">
        <v>0</v>
      </c>
      <c r="O10" s="62">
        <f t="shared" si="1"/>
        <v>0</v>
      </c>
      <c r="P10" s="42">
        <f t="shared" si="2"/>
        <v>15</v>
      </c>
      <c r="Q10" s="43">
        <f t="shared" si="3"/>
        <v>9</v>
      </c>
      <c r="R10" s="7"/>
      <c r="S10" s="6">
        <v>9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0.99739776951672865</v>
      </c>
      <c r="AC10" s="9">
        <f t="shared" si="5"/>
        <v>0.625</v>
      </c>
      <c r="AD10" s="10">
        <f t="shared" si="6"/>
        <v>0.62337360594795543</v>
      </c>
      <c r="AE10" s="39">
        <f t="shared" si="7"/>
        <v>0.45751858719261485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146</v>
      </c>
      <c r="D11" s="55" t="s">
        <v>169</v>
      </c>
      <c r="E11" s="57" t="s">
        <v>170</v>
      </c>
      <c r="F11" s="12" t="s">
        <v>136</v>
      </c>
      <c r="G11" s="12">
        <v>1</v>
      </c>
      <c r="H11" s="13">
        <v>25</v>
      </c>
      <c r="I11" s="34">
        <v>10000</v>
      </c>
      <c r="J11" s="14">
        <v>3120</v>
      </c>
      <c r="K11" s="15">
        <f>L11+2519</f>
        <v>5635</v>
      </c>
      <c r="L11" s="15">
        <f>328+2788</f>
        <v>3116</v>
      </c>
      <c r="M11" s="16">
        <f t="shared" si="0"/>
        <v>3116</v>
      </c>
      <c r="N11" s="16">
        <v>0</v>
      </c>
      <c r="O11" s="62">
        <f t="shared" si="1"/>
        <v>0</v>
      </c>
      <c r="P11" s="42">
        <f t="shared" si="2"/>
        <v>17</v>
      </c>
      <c r="Q11" s="43">
        <f t="shared" si="3"/>
        <v>7</v>
      </c>
      <c r="R11" s="7"/>
      <c r="S11" s="6">
        <v>7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0.99871794871794872</v>
      </c>
      <c r="AC11" s="9">
        <f t="shared" si="5"/>
        <v>0.70833333333333337</v>
      </c>
      <c r="AD11" s="10">
        <f t="shared" si="6"/>
        <v>0.70742521367521372</v>
      </c>
      <c r="AE11" s="39">
        <f t="shared" si="7"/>
        <v>0.45751858719261485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138</v>
      </c>
      <c r="D12" s="55" t="s">
        <v>123</v>
      </c>
      <c r="E12" s="57" t="s">
        <v>181</v>
      </c>
      <c r="F12" s="12" t="s">
        <v>173</v>
      </c>
      <c r="G12" s="12">
        <v>1</v>
      </c>
      <c r="H12" s="13">
        <v>25</v>
      </c>
      <c r="I12" s="34">
        <v>7000</v>
      </c>
      <c r="J12" s="5">
        <v>4600</v>
      </c>
      <c r="K12" s="15">
        <f>L12+3669</f>
        <v>8263</v>
      </c>
      <c r="L12" s="15">
        <f>1716+2878</f>
        <v>4594</v>
      </c>
      <c r="M12" s="16">
        <f t="shared" si="0"/>
        <v>4594</v>
      </c>
      <c r="N12" s="16">
        <v>0</v>
      </c>
      <c r="O12" s="62">
        <f t="shared" si="1"/>
        <v>0</v>
      </c>
      <c r="P12" s="42">
        <f t="shared" si="2"/>
        <v>22</v>
      </c>
      <c r="Q12" s="43">
        <f t="shared" si="3"/>
        <v>2</v>
      </c>
      <c r="R12" s="7"/>
      <c r="S12" s="6">
        <v>2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0.9986956521739131</v>
      </c>
      <c r="AC12" s="9">
        <f t="shared" si="5"/>
        <v>0.91666666666666663</v>
      </c>
      <c r="AD12" s="10">
        <f t="shared" si="6"/>
        <v>0.91547101449275359</v>
      </c>
      <c r="AE12" s="39">
        <f t="shared" si="7"/>
        <v>0.45751858719261485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146</v>
      </c>
      <c r="D13" s="55" t="s">
        <v>165</v>
      </c>
      <c r="E13" s="57" t="s">
        <v>166</v>
      </c>
      <c r="F13" s="12" t="s">
        <v>167</v>
      </c>
      <c r="G13" s="12">
        <v>1</v>
      </c>
      <c r="H13" s="13">
        <v>25</v>
      </c>
      <c r="I13" s="7">
        <v>10000</v>
      </c>
      <c r="J13" s="14">
        <v>4310</v>
      </c>
      <c r="K13" s="15">
        <f>L13+3575+4880+4303</f>
        <v>12758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/>
      <c r="X13" s="17"/>
      <c r="Y13" s="20"/>
      <c r="Z13" s="20"/>
      <c r="AA13" s="21">
        <v>24</v>
      </c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0.45751858719261485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138</v>
      </c>
      <c r="D14" s="55" t="s">
        <v>145</v>
      </c>
      <c r="E14" s="57" t="s">
        <v>150</v>
      </c>
      <c r="F14" s="33" t="s">
        <v>147</v>
      </c>
      <c r="G14" s="36">
        <v>1</v>
      </c>
      <c r="H14" s="38">
        <v>25</v>
      </c>
      <c r="I14" s="7">
        <v>10000</v>
      </c>
      <c r="J14" s="5">
        <v>4790</v>
      </c>
      <c r="K14" s="15">
        <f>L14+2472+5133+4788</f>
        <v>12393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0.45751858719261485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122</v>
      </c>
      <c r="D15" s="55" t="s">
        <v>143</v>
      </c>
      <c r="E15" s="57" t="s">
        <v>151</v>
      </c>
      <c r="F15" s="12">
        <v>8301</v>
      </c>
      <c r="G15" s="12">
        <v>1</v>
      </c>
      <c r="H15" s="13">
        <v>25</v>
      </c>
      <c r="I15" s="34">
        <v>2500</v>
      </c>
      <c r="J15" s="5">
        <v>3980</v>
      </c>
      <c r="K15" s="15">
        <f>L15+2138+3980</f>
        <v>6118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0.45751858719261485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152</v>
      </c>
      <c r="D16" s="55" t="s">
        <v>144</v>
      </c>
      <c r="E16" s="57" t="s">
        <v>153</v>
      </c>
      <c r="F16" s="12">
        <v>7301</v>
      </c>
      <c r="G16" s="36">
        <v>1</v>
      </c>
      <c r="H16" s="38">
        <v>25</v>
      </c>
      <c r="I16" s="7">
        <v>30000</v>
      </c>
      <c r="J16" s="14">
        <v>5610</v>
      </c>
      <c r="K16" s="15">
        <f>L16+2878+5819+5765+4332+5828+4680+5824+5603</f>
        <v>40729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0.45751858719261485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127</v>
      </c>
      <c r="D17" s="55" t="s">
        <v>171</v>
      </c>
      <c r="E17" s="56" t="s">
        <v>174</v>
      </c>
      <c r="F17" s="12" t="s">
        <v>175</v>
      </c>
      <c r="G17" s="12">
        <v>1</v>
      </c>
      <c r="H17" s="13">
        <v>25</v>
      </c>
      <c r="I17" s="34">
        <v>7000</v>
      </c>
      <c r="J17" s="5">
        <v>4740</v>
      </c>
      <c r="K17" s="15">
        <f>L17+5195+4740</f>
        <v>9935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0.45751858719261485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148</v>
      </c>
      <c r="D18" s="55" t="s">
        <v>58</v>
      </c>
      <c r="E18" s="57" t="s">
        <v>155</v>
      </c>
      <c r="F18" s="12" t="s">
        <v>156</v>
      </c>
      <c r="G18" s="12">
        <v>1</v>
      </c>
      <c r="H18" s="13">
        <v>25</v>
      </c>
      <c r="I18" s="34">
        <f>9000+13000</f>
        <v>22000</v>
      </c>
      <c r="J18" s="5">
        <v>3370</v>
      </c>
      <c r="K18" s="15">
        <f>L18+3993+731+2451+2288+3249+4422</f>
        <v>20497</v>
      </c>
      <c r="L18" s="15">
        <f>943+2420</f>
        <v>3363</v>
      </c>
      <c r="M18" s="16">
        <f t="shared" si="0"/>
        <v>3363</v>
      </c>
      <c r="N18" s="16">
        <v>0</v>
      </c>
      <c r="O18" s="62">
        <f t="shared" si="1"/>
        <v>0</v>
      </c>
      <c r="P18" s="42">
        <f t="shared" si="2"/>
        <v>19</v>
      </c>
      <c r="Q18" s="43">
        <f t="shared" si="3"/>
        <v>5</v>
      </c>
      <c r="R18" s="7"/>
      <c r="S18" s="6">
        <v>5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0.99792284866468839</v>
      </c>
      <c r="AC18" s="9">
        <f t="shared" si="5"/>
        <v>0.79166666666666663</v>
      </c>
      <c r="AD18" s="10">
        <f t="shared" si="6"/>
        <v>0.79002225519287828</v>
      </c>
      <c r="AE18" s="39">
        <f t="shared" si="7"/>
        <v>0.45751858719261485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127</v>
      </c>
      <c r="D19" s="55" t="s">
        <v>183</v>
      </c>
      <c r="E19" s="57" t="s">
        <v>182</v>
      </c>
      <c r="F19" s="33" t="s">
        <v>137</v>
      </c>
      <c r="G19" s="36">
        <v>1</v>
      </c>
      <c r="H19" s="38">
        <v>25</v>
      </c>
      <c r="I19" s="34">
        <v>7000</v>
      </c>
      <c r="J19" s="5">
        <v>3340</v>
      </c>
      <c r="K19" s="15">
        <f>L19+4495</f>
        <v>7829</v>
      </c>
      <c r="L19" s="15">
        <f>780+2554</f>
        <v>3334</v>
      </c>
      <c r="M19" s="16">
        <f t="shared" si="0"/>
        <v>3334</v>
      </c>
      <c r="N19" s="16">
        <v>0</v>
      </c>
      <c r="O19" s="62">
        <f t="shared" si="1"/>
        <v>0</v>
      </c>
      <c r="P19" s="42">
        <f t="shared" si="2"/>
        <v>16</v>
      </c>
      <c r="Q19" s="43">
        <f t="shared" si="3"/>
        <v>8</v>
      </c>
      <c r="R19" s="7"/>
      <c r="S19" s="6">
        <v>8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0.99820359281437121</v>
      </c>
      <c r="AC19" s="9">
        <f t="shared" si="5"/>
        <v>0.66666666666666663</v>
      </c>
      <c r="AD19" s="10">
        <f t="shared" si="6"/>
        <v>0.66546906187624744</v>
      </c>
      <c r="AE19" s="39">
        <f t="shared" si="7"/>
        <v>0.45751858719261485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176</v>
      </c>
      <c r="F20" s="12" t="s">
        <v>120</v>
      </c>
      <c r="G20" s="12">
        <v>4</v>
      </c>
      <c r="H20" s="38">
        <v>20</v>
      </c>
      <c r="I20" s="7">
        <v>100000</v>
      </c>
      <c r="J20" s="14">
        <v>45780</v>
      </c>
      <c r="K20" s="15">
        <f>L20+22056+47180+47228</f>
        <v>162140</v>
      </c>
      <c r="L20" s="15">
        <f>5671*4+5748*4</f>
        <v>45676</v>
      </c>
      <c r="M20" s="16">
        <f t="shared" si="0"/>
        <v>45676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0.99772826561817385</v>
      </c>
      <c r="AC20" s="9">
        <f t="shared" si="5"/>
        <v>1</v>
      </c>
      <c r="AD20" s="10">
        <f t="shared" si="6"/>
        <v>0.99772826561817385</v>
      </c>
      <c r="AE20" s="39">
        <f t="shared" si="7"/>
        <v>0.45751858719261485</v>
      </c>
      <c r="AF20" s="94">
        <f t="shared" si="8"/>
        <v>15</v>
      </c>
    </row>
    <row r="21" spans="1:32" ht="31.5" customHeight="1" thickBot="1">
      <c r="A21" s="430" t="s">
        <v>34</v>
      </c>
      <c r="B21" s="431"/>
      <c r="C21" s="431"/>
      <c r="D21" s="431"/>
      <c r="E21" s="431"/>
      <c r="F21" s="431"/>
      <c r="G21" s="431"/>
      <c r="H21" s="432"/>
      <c r="I21" s="25">
        <f t="shared" ref="I21:N21" si="10">SUM(I6:I20)</f>
        <v>333500</v>
      </c>
      <c r="J21" s="22">
        <f t="shared" si="10"/>
        <v>110010</v>
      </c>
      <c r="K21" s="23">
        <f t="shared" si="10"/>
        <v>359144</v>
      </c>
      <c r="L21" s="24">
        <f t="shared" si="10"/>
        <v>80289</v>
      </c>
      <c r="M21" s="23">
        <f t="shared" si="10"/>
        <v>80289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165</v>
      </c>
      <c r="Q21" s="46">
        <f t="shared" si="11"/>
        <v>195</v>
      </c>
      <c r="R21" s="26">
        <f t="shared" si="11"/>
        <v>0</v>
      </c>
      <c r="S21" s="27">
        <f t="shared" si="11"/>
        <v>51</v>
      </c>
      <c r="T21" s="27">
        <f t="shared" si="11"/>
        <v>0</v>
      </c>
      <c r="U21" s="27">
        <f t="shared" si="11"/>
        <v>0</v>
      </c>
      <c r="V21" s="28">
        <f t="shared" si="11"/>
        <v>0</v>
      </c>
      <c r="W21" s="29">
        <f t="shared" si="11"/>
        <v>120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24</v>
      </c>
      <c r="AB21" s="31">
        <f>SUM(AB6:AB20)/15</f>
        <v>0.59840196951105995</v>
      </c>
      <c r="AC21" s="4">
        <f>SUM(AC6:AC20)/15</f>
        <v>0.45833333333333337</v>
      </c>
      <c r="AD21" s="4">
        <f>SUM(AD6:AD20)/15</f>
        <v>0.45751858719261485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33" t="s">
        <v>46</v>
      </c>
      <c r="B48" s="433"/>
      <c r="C48" s="433"/>
      <c r="D48" s="433"/>
      <c r="E48" s="43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4" t="s">
        <v>194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6"/>
      <c r="N49" s="437" t="s">
        <v>205</v>
      </c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9"/>
    </row>
    <row r="50" spans="1:32" ht="27" customHeight="1">
      <c r="A50" s="440" t="s">
        <v>2</v>
      </c>
      <c r="B50" s="441"/>
      <c r="C50" s="125" t="s">
        <v>47</v>
      </c>
      <c r="D50" s="125" t="s">
        <v>48</v>
      </c>
      <c r="E50" s="125" t="s">
        <v>113</v>
      </c>
      <c r="F50" s="441" t="s">
        <v>112</v>
      </c>
      <c r="G50" s="441"/>
      <c r="H50" s="441"/>
      <c r="I50" s="441"/>
      <c r="J50" s="441"/>
      <c r="K50" s="441"/>
      <c r="L50" s="441"/>
      <c r="M50" s="442"/>
      <c r="N50" s="73" t="s">
        <v>117</v>
      </c>
      <c r="O50" s="125" t="s">
        <v>47</v>
      </c>
      <c r="P50" s="443" t="s">
        <v>48</v>
      </c>
      <c r="Q50" s="444"/>
      <c r="R50" s="443" t="s">
        <v>39</v>
      </c>
      <c r="S50" s="445"/>
      <c r="T50" s="445"/>
      <c r="U50" s="444"/>
      <c r="V50" s="443" t="s">
        <v>49</v>
      </c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57" t="s">
        <v>157</v>
      </c>
      <c r="B51" s="458"/>
      <c r="C51" s="126" t="s">
        <v>158</v>
      </c>
      <c r="D51" s="127" t="s">
        <v>58</v>
      </c>
      <c r="E51" s="126" t="s">
        <v>155</v>
      </c>
      <c r="F51" s="459" t="s">
        <v>195</v>
      </c>
      <c r="G51" s="459"/>
      <c r="H51" s="459"/>
      <c r="I51" s="459"/>
      <c r="J51" s="459"/>
      <c r="K51" s="459"/>
      <c r="L51" s="459"/>
      <c r="M51" s="460"/>
      <c r="N51" s="128" t="s">
        <v>138</v>
      </c>
      <c r="O51" s="74" t="s">
        <v>149</v>
      </c>
      <c r="P51" s="461" t="s">
        <v>198</v>
      </c>
      <c r="Q51" s="462"/>
      <c r="R51" s="463" t="s">
        <v>188</v>
      </c>
      <c r="S51" s="463"/>
      <c r="T51" s="463"/>
      <c r="U51" s="463"/>
      <c r="V51" s="459" t="s">
        <v>168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57" t="s">
        <v>138</v>
      </c>
      <c r="B52" s="458"/>
      <c r="C52" s="138" t="s">
        <v>134</v>
      </c>
      <c r="D52" s="137" t="s">
        <v>184</v>
      </c>
      <c r="E52" s="138" t="s">
        <v>177</v>
      </c>
      <c r="F52" s="459" t="s">
        <v>196</v>
      </c>
      <c r="G52" s="459"/>
      <c r="H52" s="459"/>
      <c r="I52" s="459"/>
      <c r="J52" s="459"/>
      <c r="K52" s="459"/>
      <c r="L52" s="459"/>
      <c r="M52" s="460"/>
      <c r="N52" s="128" t="s">
        <v>210</v>
      </c>
      <c r="O52" s="74" t="s">
        <v>132</v>
      </c>
      <c r="P52" s="461" t="s">
        <v>198</v>
      </c>
      <c r="Q52" s="462"/>
      <c r="R52" s="463" t="s">
        <v>211</v>
      </c>
      <c r="S52" s="463"/>
      <c r="T52" s="463"/>
      <c r="U52" s="463"/>
      <c r="V52" s="459" t="s">
        <v>186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57" t="s">
        <v>138</v>
      </c>
      <c r="B53" s="458"/>
      <c r="C53" s="138" t="s">
        <v>139</v>
      </c>
      <c r="D53" s="137" t="s">
        <v>144</v>
      </c>
      <c r="E53" s="138" t="s">
        <v>185</v>
      </c>
      <c r="F53" s="459" t="s">
        <v>197</v>
      </c>
      <c r="G53" s="459"/>
      <c r="H53" s="459"/>
      <c r="I53" s="459"/>
      <c r="J53" s="459"/>
      <c r="K53" s="459"/>
      <c r="L53" s="459"/>
      <c r="M53" s="460"/>
      <c r="N53" s="128" t="s">
        <v>127</v>
      </c>
      <c r="O53" s="74" t="s">
        <v>142</v>
      </c>
      <c r="P53" s="461" t="s">
        <v>187</v>
      </c>
      <c r="Q53" s="462"/>
      <c r="R53" s="463" t="s">
        <v>212</v>
      </c>
      <c r="S53" s="463"/>
      <c r="T53" s="463"/>
      <c r="U53" s="463"/>
      <c r="V53" s="459" t="s">
        <v>213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 t="s">
        <v>160</v>
      </c>
      <c r="B54" s="458"/>
      <c r="C54" s="126" t="s">
        <v>131</v>
      </c>
      <c r="D54" s="127" t="s">
        <v>198</v>
      </c>
      <c r="E54" s="126" t="s">
        <v>199</v>
      </c>
      <c r="F54" s="459" t="s">
        <v>200</v>
      </c>
      <c r="G54" s="459"/>
      <c r="H54" s="459"/>
      <c r="I54" s="459"/>
      <c r="J54" s="459"/>
      <c r="K54" s="459"/>
      <c r="L54" s="459"/>
      <c r="M54" s="460"/>
      <c r="N54" s="128" t="s">
        <v>138</v>
      </c>
      <c r="O54" s="74" t="s">
        <v>214</v>
      </c>
      <c r="P54" s="461" t="s">
        <v>215</v>
      </c>
      <c r="Q54" s="462"/>
      <c r="R54" s="463" t="s">
        <v>216</v>
      </c>
      <c r="S54" s="463"/>
      <c r="T54" s="463"/>
      <c r="U54" s="463"/>
      <c r="V54" s="459" t="s">
        <v>186</v>
      </c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57" t="s">
        <v>201</v>
      </c>
      <c r="B55" s="458"/>
      <c r="C55" s="126" t="s">
        <v>202</v>
      </c>
      <c r="D55" s="127" t="s">
        <v>58</v>
      </c>
      <c r="E55" s="126" t="s">
        <v>203</v>
      </c>
      <c r="F55" s="459" t="s">
        <v>204</v>
      </c>
      <c r="G55" s="459"/>
      <c r="H55" s="459"/>
      <c r="I55" s="459"/>
      <c r="J55" s="459"/>
      <c r="K55" s="459"/>
      <c r="L55" s="459"/>
      <c r="M55" s="460"/>
      <c r="N55" s="128" t="s">
        <v>138</v>
      </c>
      <c r="O55" s="74" t="s">
        <v>217</v>
      </c>
      <c r="P55" s="461" t="s">
        <v>218</v>
      </c>
      <c r="Q55" s="462"/>
      <c r="R55" s="463" t="s">
        <v>219</v>
      </c>
      <c r="S55" s="463"/>
      <c r="T55" s="463"/>
      <c r="U55" s="463"/>
      <c r="V55" s="459" t="s">
        <v>135</v>
      </c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 t="s">
        <v>206</v>
      </c>
      <c r="B56" s="463"/>
      <c r="C56" s="127" t="s">
        <v>207</v>
      </c>
      <c r="D56" s="127" t="s">
        <v>208</v>
      </c>
      <c r="E56" s="126" t="s">
        <v>209</v>
      </c>
      <c r="F56" s="459" t="s">
        <v>130</v>
      </c>
      <c r="G56" s="459"/>
      <c r="H56" s="459"/>
      <c r="I56" s="459"/>
      <c r="J56" s="459"/>
      <c r="K56" s="459"/>
      <c r="L56" s="459"/>
      <c r="M56" s="460"/>
      <c r="N56" s="128"/>
      <c r="O56" s="74"/>
      <c r="P56" s="463"/>
      <c r="Q56" s="463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127"/>
      <c r="D57" s="127"/>
      <c r="E57" s="126"/>
      <c r="F57" s="459"/>
      <c r="G57" s="459"/>
      <c r="H57" s="459"/>
      <c r="I57" s="459"/>
      <c r="J57" s="459"/>
      <c r="K57" s="459"/>
      <c r="L57" s="459"/>
      <c r="M57" s="460"/>
      <c r="N57" s="128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57"/>
      <c r="B58" s="458"/>
      <c r="C58" s="126"/>
      <c r="D58" s="127"/>
      <c r="E58" s="126"/>
      <c r="F58" s="459"/>
      <c r="G58" s="459"/>
      <c r="H58" s="459"/>
      <c r="I58" s="459"/>
      <c r="J58" s="459"/>
      <c r="K58" s="459"/>
      <c r="L58" s="459"/>
      <c r="M58" s="460"/>
      <c r="N58" s="128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127"/>
      <c r="D59" s="127"/>
      <c r="E59" s="127"/>
      <c r="F59" s="459"/>
      <c r="G59" s="459"/>
      <c r="H59" s="459"/>
      <c r="I59" s="459"/>
      <c r="J59" s="459"/>
      <c r="K59" s="459"/>
      <c r="L59" s="459"/>
      <c r="M59" s="460"/>
      <c r="N59" s="128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  <c r="AF59" s="94">
        <f>8*3000</f>
        <v>24000</v>
      </c>
    </row>
    <row r="60" spans="1:32" ht="27" customHeight="1" thickBot="1">
      <c r="A60" s="465"/>
      <c r="B60" s="466"/>
      <c r="C60" s="130"/>
      <c r="D60" s="130"/>
      <c r="E60" s="130"/>
      <c r="F60" s="467"/>
      <c r="G60" s="467"/>
      <c r="H60" s="467"/>
      <c r="I60" s="467"/>
      <c r="J60" s="467"/>
      <c r="K60" s="467"/>
      <c r="L60" s="467"/>
      <c r="M60" s="468"/>
      <c r="N60" s="129"/>
      <c r="O60" s="121"/>
      <c r="P60" s="466"/>
      <c r="Q60" s="466"/>
      <c r="R60" s="466"/>
      <c r="S60" s="466"/>
      <c r="T60" s="466"/>
      <c r="U60" s="466"/>
      <c r="V60" s="467"/>
      <c r="W60" s="467"/>
      <c r="X60" s="467"/>
      <c r="Y60" s="467"/>
      <c r="Z60" s="467"/>
      <c r="AA60" s="467"/>
      <c r="AB60" s="467"/>
      <c r="AC60" s="467"/>
      <c r="AD60" s="468"/>
      <c r="AF60" s="94">
        <f>16*3000</f>
        <v>48000</v>
      </c>
    </row>
    <row r="61" spans="1:32" ht="27.75" thickBot="1">
      <c r="A61" s="469" t="s">
        <v>220</v>
      </c>
      <c r="B61" s="469"/>
      <c r="C61" s="469"/>
      <c r="D61" s="469"/>
      <c r="E61" s="469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70" t="s">
        <v>118</v>
      </c>
      <c r="B62" s="471"/>
      <c r="C62" s="131" t="s">
        <v>2</v>
      </c>
      <c r="D62" s="131" t="s">
        <v>38</v>
      </c>
      <c r="E62" s="131" t="s">
        <v>3</v>
      </c>
      <c r="F62" s="471" t="s">
        <v>115</v>
      </c>
      <c r="G62" s="471"/>
      <c r="H62" s="471"/>
      <c r="I62" s="471"/>
      <c r="J62" s="471"/>
      <c r="K62" s="471" t="s">
        <v>40</v>
      </c>
      <c r="L62" s="471"/>
      <c r="M62" s="131" t="s">
        <v>41</v>
      </c>
      <c r="N62" s="471" t="s">
        <v>42</v>
      </c>
      <c r="O62" s="471"/>
      <c r="P62" s="472" t="s">
        <v>43</v>
      </c>
      <c r="Q62" s="473"/>
      <c r="R62" s="472" t="s">
        <v>44</v>
      </c>
      <c r="S62" s="474"/>
      <c r="T62" s="474"/>
      <c r="U62" s="474"/>
      <c r="V62" s="474"/>
      <c r="W62" s="474"/>
      <c r="X62" s="474"/>
      <c r="Y62" s="474"/>
      <c r="Z62" s="474"/>
      <c r="AA62" s="473"/>
      <c r="AB62" s="471" t="s">
        <v>45</v>
      </c>
      <c r="AC62" s="471"/>
      <c r="AD62" s="475"/>
      <c r="AF62" s="94">
        <f>SUM(AF59:AF61)</f>
        <v>96000</v>
      </c>
    </row>
    <row r="63" spans="1:32" ht="25.5" customHeight="1">
      <c r="A63" s="476">
        <v>1</v>
      </c>
      <c r="B63" s="477"/>
      <c r="C63" s="133" t="s">
        <v>221</v>
      </c>
      <c r="D63" s="135"/>
      <c r="E63" s="132" t="s">
        <v>223</v>
      </c>
      <c r="F63" s="478" t="s">
        <v>222</v>
      </c>
      <c r="G63" s="479"/>
      <c r="H63" s="479"/>
      <c r="I63" s="479"/>
      <c r="J63" s="479"/>
      <c r="K63" s="479" t="s">
        <v>224</v>
      </c>
      <c r="L63" s="479"/>
      <c r="M63" s="54" t="s">
        <v>189</v>
      </c>
      <c r="N63" s="479">
        <v>8</v>
      </c>
      <c r="O63" s="479"/>
      <c r="P63" s="480">
        <v>200</v>
      </c>
      <c r="Q63" s="480"/>
      <c r="R63" s="459"/>
      <c r="S63" s="459"/>
      <c r="T63" s="459"/>
      <c r="U63" s="459"/>
      <c r="V63" s="459"/>
      <c r="W63" s="459"/>
      <c r="X63" s="459"/>
      <c r="Y63" s="459"/>
      <c r="Z63" s="459"/>
      <c r="AA63" s="459"/>
      <c r="AB63" s="479"/>
      <c r="AC63" s="479"/>
      <c r="AD63" s="481"/>
      <c r="AF63" s="53"/>
    </row>
    <row r="64" spans="1:32" ht="25.5" customHeight="1">
      <c r="A64" s="476">
        <v>2</v>
      </c>
      <c r="B64" s="477"/>
      <c r="C64" s="133" t="s">
        <v>154</v>
      </c>
      <c r="D64" s="135"/>
      <c r="E64" s="132" t="s">
        <v>58</v>
      </c>
      <c r="F64" s="478" t="s">
        <v>225</v>
      </c>
      <c r="G64" s="479"/>
      <c r="H64" s="479"/>
      <c r="I64" s="479"/>
      <c r="J64" s="479"/>
      <c r="K64" s="479" t="s">
        <v>224</v>
      </c>
      <c r="L64" s="479"/>
      <c r="M64" s="54" t="s">
        <v>172</v>
      </c>
      <c r="N64" s="479">
        <v>8</v>
      </c>
      <c r="O64" s="479"/>
      <c r="P64" s="480">
        <v>200</v>
      </c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</row>
    <row r="65" spans="1:32" ht="25.5" customHeight="1">
      <c r="A65" s="476">
        <v>3</v>
      </c>
      <c r="B65" s="477"/>
      <c r="C65" s="133"/>
      <c r="D65" s="135"/>
      <c r="E65" s="132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4</v>
      </c>
      <c r="B66" s="477"/>
      <c r="C66" s="133"/>
      <c r="D66" s="135"/>
      <c r="E66" s="132"/>
      <c r="F66" s="479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5</v>
      </c>
      <c r="B67" s="477"/>
      <c r="C67" s="133"/>
      <c r="D67" s="135"/>
      <c r="E67" s="132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6</v>
      </c>
      <c r="B68" s="477"/>
      <c r="C68" s="133"/>
      <c r="D68" s="135"/>
      <c r="E68" s="132"/>
      <c r="F68" s="478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7</v>
      </c>
      <c r="B69" s="477"/>
      <c r="C69" s="133"/>
      <c r="D69" s="135"/>
      <c r="E69" s="132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8</v>
      </c>
      <c r="B70" s="477"/>
      <c r="C70" s="133"/>
      <c r="D70" s="135"/>
      <c r="E70" s="132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6.25" customHeight="1" thickBot="1">
      <c r="A71" s="482" t="s">
        <v>226</v>
      </c>
      <c r="B71" s="482"/>
      <c r="C71" s="482"/>
      <c r="D71" s="482"/>
      <c r="E71" s="48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83" t="s">
        <v>118</v>
      </c>
      <c r="B72" s="484"/>
      <c r="C72" s="134" t="s">
        <v>2</v>
      </c>
      <c r="D72" s="134" t="s">
        <v>38</v>
      </c>
      <c r="E72" s="134" t="s">
        <v>3</v>
      </c>
      <c r="F72" s="484" t="s">
        <v>39</v>
      </c>
      <c r="G72" s="484"/>
      <c r="H72" s="484"/>
      <c r="I72" s="484"/>
      <c r="J72" s="484"/>
      <c r="K72" s="485" t="s">
        <v>60</v>
      </c>
      <c r="L72" s="486"/>
      <c r="M72" s="486"/>
      <c r="N72" s="486"/>
      <c r="O72" s="486"/>
      <c r="P72" s="486"/>
      <c r="Q72" s="486"/>
      <c r="R72" s="486"/>
      <c r="S72" s="487"/>
      <c r="T72" s="484" t="s">
        <v>50</v>
      </c>
      <c r="U72" s="484"/>
      <c r="V72" s="485" t="s">
        <v>51</v>
      </c>
      <c r="W72" s="487"/>
      <c r="X72" s="486" t="s">
        <v>52</v>
      </c>
      <c r="Y72" s="486"/>
      <c r="Z72" s="486"/>
      <c r="AA72" s="486"/>
      <c r="AB72" s="486"/>
      <c r="AC72" s="486"/>
      <c r="AD72" s="488"/>
      <c r="AF72" s="53"/>
    </row>
    <row r="73" spans="1:32" ht="33.75" customHeight="1">
      <c r="A73" s="497">
        <v>1</v>
      </c>
      <c r="B73" s="498"/>
      <c r="C73" s="136" t="s">
        <v>62</v>
      </c>
      <c r="D73" s="136"/>
      <c r="E73" s="71" t="s">
        <v>58</v>
      </c>
      <c r="F73" s="499" t="s">
        <v>63</v>
      </c>
      <c r="G73" s="500"/>
      <c r="H73" s="500"/>
      <c r="I73" s="500"/>
      <c r="J73" s="501"/>
      <c r="K73" s="502" t="s">
        <v>61</v>
      </c>
      <c r="L73" s="503"/>
      <c r="M73" s="503"/>
      <c r="N73" s="503"/>
      <c r="O73" s="503"/>
      <c r="P73" s="503"/>
      <c r="Q73" s="503"/>
      <c r="R73" s="503"/>
      <c r="S73" s="504"/>
      <c r="T73" s="505">
        <v>41791</v>
      </c>
      <c r="U73" s="506"/>
      <c r="V73" s="507"/>
      <c r="W73" s="507"/>
      <c r="X73" s="508"/>
      <c r="Y73" s="508"/>
      <c r="Z73" s="508"/>
      <c r="AA73" s="508"/>
      <c r="AB73" s="508"/>
      <c r="AC73" s="508"/>
      <c r="AD73" s="509"/>
      <c r="AF73" s="53"/>
    </row>
    <row r="74" spans="1:32" ht="30" customHeight="1">
      <c r="A74" s="489">
        <f>A73+1</f>
        <v>2</v>
      </c>
      <c r="B74" s="490"/>
      <c r="C74" s="135" t="s">
        <v>127</v>
      </c>
      <c r="D74" s="135"/>
      <c r="E74" s="35" t="s">
        <v>121</v>
      </c>
      <c r="F74" s="490" t="s">
        <v>129</v>
      </c>
      <c r="G74" s="490"/>
      <c r="H74" s="490"/>
      <c r="I74" s="490"/>
      <c r="J74" s="490"/>
      <c r="K74" s="491" t="s">
        <v>61</v>
      </c>
      <c r="L74" s="492"/>
      <c r="M74" s="492"/>
      <c r="N74" s="492"/>
      <c r="O74" s="492"/>
      <c r="P74" s="492"/>
      <c r="Q74" s="492"/>
      <c r="R74" s="492"/>
      <c r="S74" s="493"/>
      <c r="T74" s="494">
        <v>42779</v>
      </c>
      <c r="U74" s="494"/>
      <c r="V74" s="494"/>
      <c r="W74" s="494"/>
      <c r="X74" s="495"/>
      <c r="Y74" s="495"/>
      <c r="Z74" s="495"/>
      <c r="AA74" s="495"/>
      <c r="AB74" s="495"/>
      <c r="AC74" s="495"/>
      <c r="AD74" s="496"/>
      <c r="AF74" s="53"/>
    </row>
    <row r="75" spans="1:32" ht="30" customHeight="1">
      <c r="A75" s="489">
        <f t="shared" ref="A75:A81" si="12">A74+1</f>
        <v>3</v>
      </c>
      <c r="B75" s="490"/>
      <c r="C75" s="135" t="s">
        <v>62</v>
      </c>
      <c r="D75" s="135"/>
      <c r="E75" s="35" t="s">
        <v>121</v>
      </c>
      <c r="F75" s="490" t="s">
        <v>124</v>
      </c>
      <c r="G75" s="490"/>
      <c r="H75" s="490"/>
      <c r="I75" s="490"/>
      <c r="J75" s="490"/>
      <c r="K75" s="491" t="s">
        <v>61</v>
      </c>
      <c r="L75" s="492"/>
      <c r="M75" s="492"/>
      <c r="N75" s="492"/>
      <c r="O75" s="492"/>
      <c r="P75" s="492"/>
      <c r="Q75" s="492"/>
      <c r="R75" s="492"/>
      <c r="S75" s="493"/>
      <c r="T75" s="494">
        <v>42667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si="12"/>
        <v>4</v>
      </c>
      <c r="B76" s="490"/>
      <c r="C76" s="135" t="s">
        <v>62</v>
      </c>
      <c r="D76" s="135"/>
      <c r="E76" s="35" t="s">
        <v>121</v>
      </c>
      <c r="F76" s="490" t="s">
        <v>140</v>
      </c>
      <c r="G76" s="490"/>
      <c r="H76" s="490"/>
      <c r="I76" s="490"/>
      <c r="J76" s="490"/>
      <c r="K76" s="491" t="s">
        <v>141</v>
      </c>
      <c r="L76" s="492"/>
      <c r="M76" s="492"/>
      <c r="N76" s="492"/>
      <c r="O76" s="492"/>
      <c r="P76" s="492"/>
      <c r="Q76" s="492"/>
      <c r="R76" s="492"/>
      <c r="S76" s="493"/>
      <c r="T76" s="494">
        <v>42829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12"/>
        <v>5</v>
      </c>
      <c r="B77" s="490"/>
      <c r="C77" s="135" t="s">
        <v>62</v>
      </c>
      <c r="D77" s="135"/>
      <c r="E77" s="35" t="s">
        <v>58</v>
      </c>
      <c r="F77" s="490" t="s">
        <v>125</v>
      </c>
      <c r="G77" s="490"/>
      <c r="H77" s="490"/>
      <c r="I77" s="490"/>
      <c r="J77" s="490"/>
      <c r="K77" s="491" t="s">
        <v>61</v>
      </c>
      <c r="L77" s="492"/>
      <c r="M77" s="492"/>
      <c r="N77" s="492"/>
      <c r="O77" s="492"/>
      <c r="P77" s="492"/>
      <c r="Q77" s="492"/>
      <c r="R77" s="492"/>
      <c r="S77" s="493"/>
      <c r="T77" s="494">
        <v>42667</v>
      </c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12"/>
        <v>6</v>
      </c>
      <c r="B78" s="490"/>
      <c r="C78" s="135"/>
      <c r="D78" s="135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12"/>
        <v>7</v>
      </c>
      <c r="B79" s="490"/>
      <c r="C79" s="135"/>
      <c r="D79" s="135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12"/>
        <v>8</v>
      </c>
      <c r="B80" s="490"/>
      <c r="C80" s="135"/>
      <c r="D80" s="135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12"/>
        <v>9</v>
      </c>
      <c r="B81" s="490"/>
      <c r="C81" s="135"/>
      <c r="D81" s="135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6" thickBot="1">
      <c r="A82" s="482" t="s">
        <v>227</v>
      </c>
      <c r="B82" s="482"/>
      <c r="C82" s="482"/>
      <c r="D82" s="482"/>
      <c r="E82" s="48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510" t="s">
        <v>37</v>
      </c>
      <c r="B83" s="511"/>
      <c r="C83" s="511" t="s">
        <v>53</v>
      </c>
      <c r="D83" s="511"/>
      <c r="E83" s="511" t="s">
        <v>54</v>
      </c>
      <c r="F83" s="511"/>
      <c r="G83" s="511"/>
      <c r="H83" s="511"/>
      <c r="I83" s="511"/>
      <c r="J83" s="511"/>
      <c r="K83" s="511" t="s">
        <v>55</v>
      </c>
      <c r="L83" s="511"/>
      <c r="M83" s="511"/>
      <c r="N83" s="511"/>
      <c r="O83" s="511"/>
      <c r="P83" s="511"/>
      <c r="Q83" s="511"/>
      <c r="R83" s="511"/>
      <c r="S83" s="511"/>
      <c r="T83" s="511" t="s">
        <v>56</v>
      </c>
      <c r="U83" s="511"/>
      <c r="V83" s="511" t="s">
        <v>57</v>
      </c>
      <c r="W83" s="511"/>
      <c r="X83" s="511"/>
      <c r="Y83" s="511" t="s">
        <v>52</v>
      </c>
      <c r="Z83" s="511"/>
      <c r="AA83" s="511"/>
      <c r="AB83" s="511"/>
      <c r="AC83" s="511"/>
      <c r="AD83" s="512"/>
      <c r="AF83" s="53"/>
    </row>
    <row r="84" spans="1:32" ht="30.75" customHeight="1">
      <c r="A84" s="513">
        <v>1</v>
      </c>
      <c r="B84" s="514"/>
      <c r="C84" s="515"/>
      <c r="D84" s="515"/>
      <c r="E84" s="515"/>
      <c r="F84" s="515"/>
      <c r="G84" s="515"/>
      <c r="H84" s="515"/>
      <c r="I84" s="515"/>
      <c r="J84" s="515"/>
      <c r="K84" s="515"/>
      <c r="L84" s="515"/>
      <c r="M84" s="515"/>
      <c r="N84" s="515"/>
      <c r="O84" s="515"/>
      <c r="P84" s="515"/>
      <c r="Q84" s="515"/>
      <c r="R84" s="515"/>
      <c r="S84" s="515"/>
      <c r="T84" s="515"/>
      <c r="U84" s="515"/>
      <c r="V84" s="516"/>
      <c r="W84" s="516"/>
      <c r="X84" s="516"/>
      <c r="Y84" s="517"/>
      <c r="Z84" s="517"/>
      <c r="AA84" s="517"/>
      <c r="AB84" s="517"/>
      <c r="AC84" s="517"/>
      <c r="AD84" s="518"/>
      <c r="AF84" s="53"/>
    </row>
    <row r="85" spans="1:32" ht="30.75" customHeight="1">
      <c r="A85" s="489">
        <v>2</v>
      </c>
      <c r="B85" s="490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 thickBot="1">
      <c r="A86" s="519">
        <v>3</v>
      </c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1"/>
      <c r="Z86" s="521"/>
      <c r="AA86" s="521"/>
      <c r="AB86" s="521"/>
      <c r="AC86" s="521"/>
      <c r="AD86" s="52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8"/>
  <sheetViews>
    <sheetView zoomScale="72" zoomScaleNormal="72" zoomScaleSheetLayoutView="70" workbookViewId="0">
      <selection activeCell="K70" sqref="K70:L7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228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139" t="s">
        <v>17</v>
      </c>
      <c r="L5" s="139" t="s">
        <v>18</v>
      </c>
      <c r="M5" s="139" t="s">
        <v>19</v>
      </c>
      <c r="N5" s="13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>
        <v>0</v>
      </c>
      <c r="M6" s="16">
        <f t="shared" ref="M6:M22" si="0">L6-N6</f>
        <v>0</v>
      </c>
      <c r="N6" s="16">
        <v>0</v>
      </c>
      <c r="O6" s="62" t="str">
        <f t="shared" ref="O6:O23" si="1">IF(L6=0,"0",N6/L6)</f>
        <v>0</v>
      </c>
      <c r="P6" s="42" t="str">
        <f t="shared" ref="P6:P22" si="2">IF(L6=0,"0",(24-Q6))</f>
        <v>0</v>
      </c>
      <c r="Q6" s="43">
        <f t="shared" ref="Q6:Q22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9">
        <f t="shared" ref="AE6:AE22" si="7">$AD$23</f>
        <v>0.42725339626979431</v>
      </c>
      <c r="AF6" s="94">
        <f t="shared" ref="AF6:AF22" si="8">A6</f>
        <v>1</v>
      </c>
    </row>
    <row r="7" spans="1:32" ht="27" customHeight="1">
      <c r="A7" s="108">
        <v>2</v>
      </c>
      <c r="B7" s="11" t="s">
        <v>59</v>
      </c>
      <c r="C7" s="11" t="s">
        <v>138</v>
      </c>
      <c r="D7" s="55" t="s">
        <v>178</v>
      </c>
      <c r="E7" s="56" t="s">
        <v>179</v>
      </c>
      <c r="F7" s="12" t="s">
        <v>180</v>
      </c>
      <c r="G7" s="36">
        <v>2</v>
      </c>
      <c r="H7" s="38">
        <v>25</v>
      </c>
      <c r="I7" s="7">
        <v>40000</v>
      </c>
      <c r="J7" s="14">
        <v>10620</v>
      </c>
      <c r="K7" s="15">
        <f>L7+7596+10920</f>
        <v>29132</v>
      </c>
      <c r="L7" s="15">
        <f>2747*2+2561*2</f>
        <v>10616</v>
      </c>
      <c r="M7" s="16">
        <f t="shared" si="0"/>
        <v>10616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0.99962335216572507</v>
      </c>
      <c r="AC7" s="9">
        <f t="shared" si="5"/>
        <v>1</v>
      </c>
      <c r="AD7" s="10">
        <f t="shared" si="6"/>
        <v>0.99962335216572507</v>
      </c>
      <c r="AE7" s="39">
        <f t="shared" si="7"/>
        <v>0.42725339626979431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127</v>
      </c>
      <c r="D8" s="55" t="s">
        <v>123</v>
      </c>
      <c r="E8" s="57" t="s">
        <v>164</v>
      </c>
      <c r="F8" s="12" t="s">
        <v>128</v>
      </c>
      <c r="G8" s="36">
        <v>1</v>
      </c>
      <c r="H8" s="38">
        <v>25</v>
      </c>
      <c r="I8" s="7">
        <v>30000</v>
      </c>
      <c r="J8" s="14">
        <v>3520</v>
      </c>
      <c r="K8" s="15">
        <f>L8</f>
        <v>3518</v>
      </c>
      <c r="L8" s="15">
        <f>3003+515</f>
        <v>3518</v>
      </c>
      <c r="M8" s="16">
        <f t="shared" si="0"/>
        <v>3518</v>
      </c>
      <c r="N8" s="16">
        <v>0</v>
      </c>
      <c r="O8" s="62">
        <f t="shared" si="1"/>
        <v>0</v>
      </c>
      <c r="P8" s="42">
        <f t="shared" si="2"/>
        <v>19</v>
      </c>
      <c r="Q8" s="43">
        <f t="shared" si="3"/>
        <v>5</v>
      </c>
      <c r="R8" s="7"/>
      <c r="S8" s="6">
        <v>5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0.99943181818181814</v>
      </c>
      <c r="AC8" s="9">
        <f t="shared" si="5"/>
        <v>0.79166666666666663</v>
      </c>
      <c r="AD8" s="10">
        <f t="shared" si="6"/>
        <v>0.79121685606060599</v>
      </c>
      <c r="AE8" s="39">
        <f t="shared" si="7"/>
        <v>0.42725339626979431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58</v>
      </c>
      <c r="E9" s="57" t="s">
        <v>133</v>
      </c>
      <c r="F9" s="12" t="s">
        <v>126</v>
      </c>
      <c r="G9" s="12">
        <v>1</v>
      </c>
      <c r="H9" s="13">
        <v>25</v>
      </c>
      <c r="I9" s="34">
        <v>27000</v>
      </c>
      <c r="J9" s="5">
        <v>2220</v>
      </c>
      <c r="K9" s="15">
        <f>L9+3312+5792+3396+5312+712</f>
        <v>20744</v>
      </c>
      <c r="L9" s="15">
        <v>2220</v>
      </c>
      <c r="M9" s="16">
        <f t="shared" si="0"/>
        <v>2220</v>
      </c>
      <c r="N9" s="16">
        <v>0</v>
      </c>
      <c r="O9" s="62">
        <f t="shared" si="1"/>
        <v>0</v>
      </c>
      <c r="P9" s="42">
        <f t="shared" si="2"/>
        <v>12</v>
      </c>
      <c r="Q9" s="43">
        <f t="shared" si="3"/>
        <v>12</v>
      </c>
      <c r="R9" s="7"/>
      <c r="S9" s="6">
        <v>12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0.5</v>
      </c>
      <c r="AD9" s="10">
        <f t="shared" si="6"/>
        <v>0.5</v>
      </c>
      <c r="AE9" s="39">
        <f t="shared" si="7"/>
        <v>0.42725339626979431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127</v>
      </c>
      <c r="D10" s="55" t="s">
        <v>58</v>
      </c>
      <c r="E10" s="57" t="s">
        <v>192</v>
      </c>
      <c r="F10" s="12" t="s">
        <v>193</v>
      </c>
      <c r="G10" s="12">
        <v>1</v>
      </c>
      <c r="H10" s="13">
        <v>25</v>
      </c>
      <c r="I10" s="34">
        <v>7000</v>
      </c>
      <c r="J10" s="14">
        <v>2690</v>
      </c>
      <c r="K10" s="15">
        <f>L10+2683</f>
        <v>2683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0.42725339626979431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146</v>
      </c>
      <c r="D11" s="55" t="s">
        <v>121</v>
      </c>
      <c r="E11" s="57" t="s">
        <v>170</v>
      </c>
      <c r="F11" s="12" t="s">
        <v>136</v>
      </c>
      <c r="G11" s="12">
        <v>1</v>
      </c>
      <c r="H11" s="13">
        <v>25</v>
      </c>
      <c r="I11" s="34">
        <v>10000</v>
      </c>
      <c r="J11" s="14">
        <v>5430</v>
      </c>
      <c r="K11" s="15">
        <f>L11+2519+3116</f>
        <v>11056</v>
      </c>
      <c r="L11" s="15">
        <f>2825+2596</f>
        <v>5421</v>
      </c>
      <c r="M11" s="16">
        <f t="shared" si="0"/>
        <v>5421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0.99834254143646406</v>
      </c>
      <c r="AC11" s="9">
        <f t="shared" si="5"/>
        <v>1</v>
      </c>
      <c r="AD11" s="10">
        <f t="shared" si="6"/>
        <v>0.99834254143646406</v>
      </c>
      <c r="AE11" s="39">
        <f t="shared" si="7"/>
        <v>0.42725339626979431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138</v>
      </c>
      <c r="D12" s="55" t="s">
        <v>123</v>
      </c>
      <c r="E12" s="57" t="s">
        <v>177</v>
      </c>
      <c r="F12" s="12" t="s">
        <v>173</v>
      </c>
      <c r="G12" s="12">
        <v>1</v>
      </c>
      <c r="H12" s="13">
        <v>25</v>
      </c>
      <c r="I12" s="34">
        <v>7000</v>
      </c>
      <c r="J12" s="5">
        <v>850</v>
      </c>
      <c r="K12" s="15">
        <f>L12+3669+4594</f>
        <v>9109</v>
      </c>
      <c r="L12" s="15">
        <v>846</v>
      </c>
      <c r="M12" s="16">
        <f t="shared" si="0"/>
        <v>846</v>
      </c>
      <c r="N12" s="16">
        <v>0</v>
      </c>
      <c r="O12" s="62">
        <f t="shared" si="1"/>
        <v>0</v>
      </c>
      <c r="P12" s="42">
        <f t="shared" si="2"/>
        <v>6</v>
      </c>
      <c r="Q12" s="43">
        <f t="shared" si="3"/>
        <v>18</v>
      </c>
      <c r="R12" s="7"/>
      <c r="S12" s="6"/>
      <c r="T12" s="17"/>
      <c r="U12" s="17"/>
      <c r="V12" s="18"/>
      <c r="W12" s="19">
        <v>18</v>
      </c>
      <c r="X12" s="17"/>
      <c r="Y12" s="20"/>
      <c r="Z12" s="20"/>
      <c r="AA12" s="21"/>
      <c r="AB12" s="8">
        <f t="shared" si="4"/>
        <v>0.99529411764705877</v>
      </c>
      <c r="AC12" s="9">
        <f t="shared" si="5"/>
        <v>0.25</v>
      </c>
      <c r="AD12" s="10">
        <f t="shared" si="6"/>
        <v>0.24882352941176469</v>
      </c>
      <c r="AE12" s="39">
        <f t="shared" si="7"/>
        <v>0.42725339626979431</v>
      </c>
      <c r="AF12" s="94">
        <f t="shared" si="8"/>
        <v>7</v>
      </c>
    </row>
    <row r="13" spans="1:32" ht="27" customHeight="1">
      <c r="A13" s="110">
        <v>7</v>
      </c>
      <c r="B13" s="11" t="s">
        <v>59</v>
      </c>
      <c r="C13" s="11" t="s">
        <v>127</v>
      </c>
      <c r="D13" s="55" t="s">
        <v>58</v>
      </c>
      <c r="E13" s="57" t="s">
        <v>192</v>
      </c>
      <c r="F13" s="12" t="s">
        <v>193</v>
      </c>
      <c r="G13" s="12">
        <v>1</v>
      </c>
      <c r="H13" s="13">
        <v>25</v>
      </c>
      <c r="I13" s="34">
        <v>7000</v>
      </c>
      <c r="J13" s="14">
        <v>3620</v>
      </c>
      <c r="K13" s="15">
        <f>L13+2683</f>
        <v>6294</v>
      </c>
      <c r="L13" s="15">
        <f>2631+980</f>
        <v>3611</v>
      </c>
      <c r="M13" s="16">
        <f t="shared" ref="M13" si="10">L13-N13</f>
        <v>3611</v>
      </c>
      <c r="N13" s="16">
        <v>0</v>
      </c>
      <c r="O13" s="62">
        <f t="shared" ref="O13" si="11">IF(L13=0,"0",N13/L13)</f>
        <v>0</v>
      </c>
      <c r="P13" s="42">
        <f t="shared" ref="P13" si="12">IF(L13=0,"0",(24-Q13))</f>
        <v>18</v>
      </c>
      <c r="Q13" s="43">
        <f t="shared" ref="Q13" si="13">SUM(R13:AA13)</f>
        <v>6</v>
      </c>
      <c r="R13" s="7"/>
      <c r="S13" s="6">
        <v>6</v>
      </c>
      <c r="T13" s="17"/>
      <c r="U13" s="17"/>
      <c r="V13" s="18"/>
      <c r="W13" s="19"/>
      <c r="X13" s="17"/>
      <c r="Y13" s="20"/>
      <c r="Z13" s="20"/>
      <c r="AA13" s="21"/>
      <c r="AB13" s="8">
        <f t="shared" ref="AB13" si="14">IF(J13=0,"0",(L13/J13))</f>
        <v>0.99751381215469614</v>
      </c>
      <c r="AC13" s="9">
        <f t="shared" ref="AC13" si="15">IF(P13=0,"0",(P13/24))</f>
        <v>0.75</v>
      </c>
      <c r="AD13" s="10">
        <f t="shared" ref="AD13" si="16">AC13*AB13*(1-O13)</f>
        <v>0.74813535911602214</v>
      </c>
      <c r="AE13" s="39">
        <f t="shared" si="7"/>
        <v>0.42725339626979431</v>
      </c>
      <c r="AF13" s="94">
        <f t="shared" ref="AF13" si="17">A13</f>
        <v>7</v>
      </c>
    </row>
    <row r="14" spans="1:32" ht="27" customHeight="1">
      <c r="A14" s="110">
        <v>8</v>
      </c>
      <c r="B14" s="11" t="s">
        <v>59</v>
      </c>
      <c r="C14" s="11" t="s">
        <v>122</v>
      </c>
      <c r="D14" s="55" t="s">
        <v>58</v>
      </c>
      <c r="E14" s="57" t="s">
        <v>229</v>
      </c>
      <c r="F14" s="12" t="s">
        <v>230</v>
      </c>
      <c r="G14" s="12">
        <v>1</v>
      </c>
      <c r="H14" s="13">
        <v>25</v>
      </c>
      <c r="I14" s="7">
        <v>2500</v>
      </c>
      <c r="J14" s="14">
        <v>2560</v>
      </c>
      <c r="K14" s="15">
        <f>L14</f>
        <v>2557</v>
      </c>
      <c r="L14" s="15">
        <f>2557</f>
        <v>2557</v>
      </c>
      <c r="M14" s="16">
        <f t="shared" si="0"/>
        <v>2557</v>
      </c>
      <c r="N14" s="16">
        <v>0</v>
      </c>
      <c r="O14" s="62">
        <f t="shared" si="1"/>
        <v>0</v>
      </c>
      <c r="P14" s="42">
        <f t="shared" si="2"/>
        <v>13</v>
      </c>
      <c r="Q14" s="43">
        <f t="shared" si="3"/>
        <v>11</v>
      </c>
      <c r="R14" s="7"/>
      <c r="S14" s="6"/>
      <c r="T14" s="17"/>
      <c r="U14" s="17"/>
      <c r="V14" s="18"/>
      <c r="W14" s="19">
        <v>11</v>
      </c>
      <c r="X14" s="17"/>
      <c r="Y14" s="20"/>
      <c r="Z14" s="20"/>
      <c r="AA14" s="21"/>
      <c r="AB14" s="8">
        <f t="shared" si="4"/>
        <v>0.99882812499999996</v>
      </c>
      <c r="AC14" s="9">
        <f t="shared" si="5"/>
        <v>0.54166666666666663</v>
      </c>
      <c r="AD14" s="10">
        <f t="shared" si="6"/>
        <v>0.54103190104166665</v>
      </c>
      <c r="AE14" s="39">
        <f t="shared" si="7"/>
        <v>0.42725339626979431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138</v>
      </c>
      <c r="D15" s="55" t="s">
        <v>145</v>
      </c>
      <c r="E15" s="57" t="s">
        <v>150</v>
      </c>
      <c r="F15" s="33" t="s">
        <v>147</v>
      </c>
      <c r="G15" s="36">
        <v>1</v>
      </c>
      <c r="H15" s="38">
        <v>25</v>
      </c>
      <c r="I15" s="7">
        <v>10000</v>
      </c>
      <c r="J15" s="5">
        <v>4790</v>
      </c>
      <c r="K15" s="15">
        <f>L15+2472+5133+4788</f>
        <v>12393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0.42725339626979431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37" t="s">
        <v>122</v>
      </c>
      <c r="D16" s="55" t="s">
        <v>143</v>
      </c>
      <c r="E16" s="57" t="s">
        <v>151</v>
      </c>
      <c r="F16" s="12">
        <v>8301</v>
      </c>
      <c r="G16" s="12">
        <v>1</v>
      </c>
      <c r="H16" s="13">
        <v>25</v>
      </c>
      <c r="I16" s="34">
        <v>2500</v>
      </c>
      <c r="J16" s="5">
        <v>3980</v>
      </c>
      <c r="K16" s="15">
        <f>L16+2138+3980</f>
        <v>6118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0.42725339626979431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138</v>
      </c>
      <c r="D17" s="55" t="s">
        <v>144</v>
      </c>
      <c r="E17" s="57" t="s">
        <v>153</v>
      </c>
      <c r="F17" s="12">
        <v>7301</v>
      </c>
      <c r="G17" s="36">
        <v>1</v>
      </c>
      <c r="H17" s="38">
        <v>25</v>
      </c>
      <c r="I17" s="7">
        <v>30000</v>
      </c>
      <c r="J17" s="14">
        <v>5610</v>
      </c>
      <c r="K17" s="15">
        <f>L17+2878+5819+5765+4332+5828+4680+5824+5603</f>
        <v>40729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0.42725339626979431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127</v>
      </c>
      <c r="D18" s="55" t="s">
        <v>171</v>
      </c>
      <c r="E18" s="56" t="s">
        <v>174</v>
      </c>
      <c r="F18" s="12" t="s">
        <v>136</v>
      </c>
      <c r="G18" s="12">
        <v>1</v>
      </c>
      <c r="H18" s="13">
        <v>25</v>
      </c>
      <c r="I18" s="34">
        <v>7000</v>
      </c>
      <c r="J18" s="5">
        <v>4740</v>
      </c>
      <c r="K18" s="15">
        <f>L18+5195+4740</f>
        <v>9935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0.42725339626979431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148</v>
      </c>
      <c r="D19" s="55" t="s">
        <v>58</v>
      </c>
      <c r="E19" s="57" t="s">
        <v>155</v>
      </c>
      <c r="F19" s="12" t="s">
        <v>156</v>
      </c>
      <c r="G19" s="12">
        <v>1</v>
      </c>
      <c r="H19" s="13">
        <v>25</v>
      </c>
      <c r="I19" s="34">
        <f>9000+13000</f>
        <v>22000</v>
      </c>
      <c r="J19" s="5">
        <v>3400</v>
      </c>
      <c r="K19" s="15">
        <f>L19+3993+731+2451+2288+3249+4422+3363</f>
        <v>23896</v>
      </c>
      <c r="L19" s="15">
        <f>731+2668</f>
        <v>3399</v>
      </c>
      <c r="M19" s="16">
        <f t="shared" si="0"/>
        <v>3399</v>
      </c>
      <c r="N19" s="16">
        <v>0</v>
      </c>
      <c r="O19" s="62">
        <f t="shared" si="1"/>
        <v>0</v>
      </c>
      <c r="P19" s="42">
        <f t="shared" si="2"/>
        <v>20</v>
      </c>
      <c r="Q19" s="43">
        <f t="shared" si="3"/>
        <v>4</v>
      </c>
      <c r="R19" s="7"/>
      <c r="S19" s="6">
        <v>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0.99970588235294122</v>
      </c>
      <c r="AC19" s="9">
        <f t="shared" si="5"/>
        <v>0.83333333333333337</v>
      </c>
      <c r="AD19" s="10">
        <f t="shared" si="6"/>
        <v>0.83308823529411768</v>
      </c>
      <c r="AE19" s="39">
        <f t="shared" si="7"/>
        <v>0.42725339626979431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122</v>
      </c>
      <c r="D20" s="55" t="s">
        <v>231</v>
      </c>
      <c r="E20" s="57" t="s">
        <v>232</v>
      </c>
      <c r="F20" s="33" t="s">
        <v>137</v>
      </c>
      <c r="G20" s="36">
        <v>1</v>
      </c>
      <c r="H20" s="38">
        <v>25</v>
      </c>
      <c r="I20" s="34">
        <v>200</v>
      </c>
      <c r="J20" s="5">
        <v>320</v>
      </c>
      <c r="K20" s="15">
        <f>L20</f>
        <v>319</v>
      </c>
      <c r="L20" s="15">
        <v>319</v>
      </c>
      <c r="M20" s="16">
        <f t="shared" ref="M20" si="18">L20-N20</f>
        <v>319</v>
      </c>
      <c r="N20" s="16">
        <v>0</v>
      </c>
      <c r="O20" s="62">
        <f t="shared" ref="O20" si="19">IF(L20=0,"0",N20/L20)</f>
        <v>0</v>
      </c>
      <c r="P20" s="42">
        <f t="shared" ref="P20" si="20">IF(L20=0,"0",(24-Q20))</f>
        <v>3</v>
      </c>
      <c r="Q20" s="43">
        <f t="shared" ref="Q20" si="21">SUM(R20:AA20)</f>
        <v>21</v>
      </c>
      <c r="R20" s="7"/>
      <c r="S20" s="6"/>
      <c r="T20" s="17"/>
      <c r="U20" s="17"/>
      <c r="V20" s="18"/>
      <c r="W20" s="19">
        <v>21</v>
      </c>
      <c r="X20" s="17"/>
      <c r="Y20" s="20"/>
      <c r="Z20" s="20"/>
      <c r="AA20" s="21"/>
      <c r="AB20" s="8">
        <f t="shared" ref="AB20" si="22">IF(J20=0,"0",(L20/J20))</f>
        <v>0.99687499999999996</v>
      </c>
      <c r="AC20" s="9">
        <f t="shared" ref="AC20" si="23">IF(P20=0,"0",(P20/24))</f>
        <v>0.125</v>
      </c>
      <c r="AD20" s="10">
        <f t="shared" ref="AD20" si="24">AC20*AB20*(1-O20)</f>
        <v>0.12460937499999999</v>
      </c>
      <c r="AE20" s="39">
        <f t="shared" si="7"/>
        <v>0.42725339626979431</v>
      </c>
      <c r="AF20" s="94">
        <f t="shared" ref="AF20" si="25">A20</f>
        <v>14</v>
      </c>
    </row>
    <row r="21" spans="1:32" ht="27" customHeight="1">
      <c r="A21" s="110">
        <v>14</v>
      </c>
      <c r="B21" s="11" t="s">
        <v>59</v>
      </c>
      <c r="C21" s="37" t="s">
        <v>122</v>
      </c>
      <c r="D21" s="55" t="s">
        <v>233</v>
      </c>
      <c r="E21" s="57" t="s">
        <v>234</v>
      </c>
      <c r="F21" s="33" t="s">
        <v>137</v>
      </c>
      <c r="G21" s="36">
        <v>1</v>
      </c>
      <c r="H21" s="38">
        <v>25</v>
      </c>
      <c r="I21" s="34">
        <v>2500</v>
      </c>
      <c r="J21" s="5">
        <v>2920</v>
      </c>
      <c r="K21" s="15">
        <f>L21</f>
        <v>2915</v>
      </c>
      <c r="L21" s="15">
        <f>2368+547</f>
        <v>2915</v>
      </c>
      <c r="M21" s="16">
        <f t="shared" si="0"/>
        <v>2915</v>
      </c>
      <c r="N21" s="16">
        <v>0</v>
      </c>
      <c r="O21" s="62">
        <f t="shared" si="1"/>
        <v>0</v>
      </c>
      <c r="P21" s="42">
        <f t="shared" si="2"/>
        <v>15</v>
      </c>
      <c r="Q21" s="43">
        <f t="shared" si="3"/>
        <v>9</v>
      </c>
      <c r="R21" s="7"/>
      <c r="S21" s="6"/>
      <c r="T21" s="17"/>
      <c r="U21" s="17"/>
      <c r="V21" s="18"/>
      <c r="W21" s="19">
        <v>9</v>
      </c>
      <c r="X21" s="17"/>
      <c r="Y21" s="20"/>
      <c r="Z21" s="20"/>
      <c r="AA21" s="21"/>
      <c r="AB21" s="8">
        <f t="shared" si="4"/>
        <v>0.99828767123287676</v>
      </c>
      <c r="AC21" s="9">
        <f t="shared" si="5"/>
        <v>0.625</v>
      </c>
      <c r="AD21" s="10">
        <f t="shared" si="6"/>
        <v>0.62392979452054798</v>
      </c>
      <c r="AE21" s="39">
        <f t="shared" si="7"/>
        <v>0.42725339626979431</v>
      </c>
      <c r="AF21" s="94">
        <f t="shared" si="8"/>
        <v>14</v>
      </c>
    </row>
    <row r="22" spans="1:32" ht="27" customHeight="1" thickBot="1">
      <c r="A22" s="110">
        <v>15</v>
      </c>
      <c r="B22" s="11" t="s">
        <v>59</v>
      </c>
      <c r="C22" s="11" t="s">
        <v>119</v>
      </c>
      <c r="D22" s="55"/>
      <c r="E22" s="56" t="s">
        <v>176</v>
      </c>
      <c r="F22" s="12" t="s">
        <v>120</v>
      </c>
      <c r="G22" s="12">
        <v>4</v>
      </c>
      <c r="H22" s="38">
        <v>20</v>
      </c>
      <c r="I22" s="7">
        <v>100000</v>
      </c>
      <c r="J22" s="14">
        <v>45780</v>
      </c>
      <c r="K22" s="15">
        <f>L22+22056+47180+47228+45676</f>
        <v>162140</v>
      </c>
      <c r="L22" s="15"/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0</v>
      </c>
      <c r="R22" s="7"/>
      <c r="S22" s="6"/>
      <c r="T22" s="17"/>
      <c r="U22" s="17"/>
      <c r="V22" s="18"/>
      <c r="W22" s="19"/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7"/>
        <v>0.42725339626979431</v>
      </c>
      <c r="AF22" s="94">
        <f t="shared" si="8"/>
        <v>15</v>
      </c>
    </row>
    <row r="23" spans="1:32" ht="31.5" customHeight="1" thickBot="1">
      <c r="A23" s="430" t="s">
        <v>34</v>
      </c>
      <c r="B23" s="431"/>
      <c r="C23" s="431"/>
      <c r="D23" s="431"/>
      <c r="E23" s="431"/>
      <c r="F23" s="431"/>
      <c r="G23" s="431"/>
      <c r="H23" s="432"/>
      <c r="I23" s="25">
        <f t="shared" ref="I23:N23" si="26">SUM(I6:I22)</f>
        <v>308700</v>
      </c>
      <c r="J23" s="22">
        <f t="shared" si="26"/>
        <v>109190</v>
      </c>
      <c r="K23" s="23">
        <f t="shared" si="26"/>
        <v>349672</v>
      </c>
      <c r="L23" s="24">
        <f t="shared" si="26"/>
        <v>35422</v>
      </c>
      <c r="M23" s="23">
        <f t="shared" si="26"/>
        <v>35422</v>
      </c>
      <c r="N23" s="24">
        <f t="shared" si="26"/>
        <v>0</v>
      </c>
      <c r="O23" s="44">
        <f t="shared" si="1"/>
        <v>0</v>
      </c>
      <c r="P23" s="45">
        <f t="shared" ref="P23:AA23" si="27">SUM(P6:P22)</f>
        <v>154</v>
      </c>
      <c r="Q23" s="46">
        <f t="shared" si="27"/>
        <v>230</v>
      </c>
      <c r="R23" s="26">
        <f t="shared" si="27"/>
        <v>0</v>
      </c>
      <c r="S23" s="27">
        <f t="shared" si="27"/>
        <v>51</v>
      </c>
      <c r="T23" s="27">
        <f t="shared" si="27"/>
        <v>0</v>
      </c>
      <c r="U23" s="27">
        <f t="shared" si="27"/>
        <v>0</v>
      </c>
      <c r="V23" s="28">
        <f t="shared" si="27"/>
        <v>0</v>
      </c>
      <c r="W23" s="29">
        <f t="shared" si="27"/>
        <v>179</v>
      </c>
      <c r="X23" s="30">
        <f t="shared" si="27"/>
        <v>0</v>
      </c>
      <c r="Y23" s="30">
        <f t="shared" si="27"/>
        <v>0</v>
      </c>
      <c r="Z23" s="30">
        <f t="shared" si="27"/>
        <v>0</v>
      </c>
      <c r="AA23" s="30">
        <f t="shared" si="27"/>
        <v>0</v>
      </c>
      <c r="AB23" s="31">
        <f>SUM(AB6:AB22)/15</f>
        <v>0.66559348801143869</v>
      </c>
      <c r="AC23" s="4">
        <f>SUM(AC6:AC22)/15</f>
        <v>0.42777777777777776</v>
      </c>
      <c r="AD23" s="4">
        <f>SUM(AD6:AD22)/15</f>
        <v>0.42725339626979431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5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433" t="s">
        <v>46</v>
      </c>
      <c r="B50" s="433"/>
      <c r="C50" s="433"/>
      <c r="D50" s="433"/>
      <c r="E50" s="433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434" t="s">
        <v>235</v>
      </c>
      <c r="B51" s="435"/>
      <c r="C51" s="435"/>
      <c r="D51" s="435"/>
      <c r="E51" s="435"/>
      <c r="F51" s="435"/>
      <c r="G51" s="435"/>
      <c r="H51" s="435"/>
      <c r="I51" s="435"/>
      <c r="J51" s="435"/>
      <c r="K51" s="435"/>
      <c r="L51" s="435"/>
      <c r="M51" s="436"/>
      <c r="N51" s="437" t="s">
        <v>247</v>
      </c>
      <c r="O51" s="438"/>
      <c r="P51" s="438"/>
      <c r="Q51" s="438"/>
      <c r="R51" s="438"/>
      <c r="S51" s="438"/>
      <c r="T51" s="438"/>
      <c r="U51" s="438"/>
      <c r="V51" s="438"/>
      <c r="W51" s="438"/>
      <c r="X51" s="438"/>
      <c r="Y51" s="438"/>
      <c r="Z51" s="438"/>
      <c r="AA51" s="438"/>
      <c r="AB51" s="438"/>
      <c r="AC51" s="438"/>
      <c r="AD51" s="439"/>
    </row>
    <row r="52" spans="1:32" ht="27" customHeight="1">
      <c r="A52" s="440" t="s">
        <v>2</v>
      </c>
      <c r="B52" s="441"/>
      <c r="C52" s="140" t="s">
        <v>47</v>
      </c>
      <c r="D52" s="140" t="s">
        <v>48</v>
      </c>
      <c r="E52" s="140" t="s">
        <v>113</v>
      </c>
      <c r="F52" s="441" t="s">
        <v>112</v>
      </c>
      <c r="G52" s="441"/>
      <c r="H52" s="441"/>
      <c r="I52" s="441"/>
      <c r="J52" s="441"/>
      <c r="K52" s="441"/>
      <c r="L52" s="441"/>
      <c r="M52" s="442"/>
      <c r="N52" s="73" t="s">
        <v>117</v>
      </c>
      <c r="O52" s="140" t="s">
        <v>47</v>
      </c>
      <c r="P52" s="443" t="s">
        <v>48</v>
      </c>
      <c r="Q52" s="444"/>
      <c r="R52" s="443" t="s">
        <v>39</v>
      </c>
      <c r="S52" s="445"/>
      <c r="T52" s="445"/>
      <c r="U52" s="444"/>
      <c r="V52" s="443" t="s">
        <v>49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7" t="s">
        <v>138</v>
      </c>
      <c r="B53" s="458"/>
      <c r="C53" s="141" t="s">
        <v>158</v>
      </c>
      <c r="D53" s="142" t="s">
        <v>58</v>
      </c>
      <c r="E53" s="141" t="s">
        <v>155</v>
      </c>
      <c r="F53" s="459" t="s">
        <v>236</v>
      </c>
      <c r="G53" s="459"/>
      <c r="H53" s="459"/>
      <c r="I53" s="459"/>
      <c r="J53" s="459"/>
      <c r="K53" s="459"/>
      <c r="L53" s="459"/>
      <c r="M53" s="460"/>
      <c r="N53" s="143" t="s">
        <v>248</v>
      </c>
      <c r="O53" s="74" t="s">
        <v>242</v>
      </c>
      <c r="P53" s="461" t="s">
        <v>246</v>
      </c>
      <c r="Q53" s="462"/>
      <c r="R53" s="463" t="s">
        <v>249</v>
      </c>
      <c r="S53" s="463"/>
      <c r="T53" s="463"/>
      <c r="U53" s="463"/>
      <c r="V53" s="459" t="s">
        <v>243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 t="s">
        <v>138</v>
      </c>
      <c r="B54" s="458"/>
      <c r="C54" s="141" t="s">
        <v>238</v>
      </c>
      <c r="D54" s="142" t="s">
        <v>58</v>
      </c>
      <c r="E54" s="141" t="s">
        <v>192</v>
      </c>
      <c r="F54" s="459" t="s">
        <v>237</v>
      </c>
      <c r="G54" s="459"/>
      <c r="H54" s="459"/>
      <c r="I54" s="459"/>
      <c r="J54" s="459"/>
      <c r="K54" s="459"/>
      <c r="L54" s="459"/>
      <c r="M54" s="460"/>
      <c r="N54" s="143" t="s">
        <v>248</v>
      </c>
      <c r="O54" s="74" t="s">
        <v>245</v>
      </c>
      <c r="P54" s="461" t="s">
        <v>250</v>
      </c>
      <c r="Q54" s="462"/>
      <c r="R54" s="463" t="s">
        <v>252</v>
      </c>
      <c r="S54" s="463"/>
      <c r="T54" s="463"/>
      <c r="U54" s="463"/>
      <c r="V54" s="459" t="s">
        <v>251</v>
      </c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57" t="s">
        <v>122</v>
      </c>
      <c r="B55" s="458"/>
      <c r="C55" s="141" t="s">
        <v>132</v>
      </c>
      <c r="D55" s="142" t="s">
        <v>58</v>
      </c>
      <c r="E55" s="141" t="s">
        <v>133</v>
      </c>
      <c r="F55" s="459" t="s">
        <v>237</v>
      </c>
      <c r="G55" s="459"/>
      <c r="H55" s="459"/>
      <c r="I55" s="459"/>
      <c r="J55" s="459"/>
      <c r="K55" s="459"/>
      <c r="L55" s="459"/>
      <c r="M55" s="460"/>
      <c r="N55" s="143" t="s">
        <v>254</v>
      </c>
      <c r="O55" s="74" t="s">
        <v>245</v>
      </c>
      <c r="P55" s="461" t="s">
        <v>58</v>
      </c>
      <c r="Q55" s="462"/>
      <c r="R55" s="463" t="s">
        <v>253</v>
      </c>
      <c r="S55" s="463"/>
      <c r="T55" s="463"/>
      <c r="U55" s="463"/>
      <c r="V55" s="459" t="s">
        <v>251</v>
      </c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57" t="s">
        <v>138</v>
      </c>
      <c r="B56" s="458"/>
      <c r="C56" s="141" t="s">
        <v>239</v>
      </c>
      <c r="D56" s="142" t="s">
        <v>240</v>
      </c>
      <c r="E56" s="141" t="s">
        <v>241</v>
      </c>
      <c r="F56" s="459" t="s">
        <v>135</v>
      </c>
      <c r="G56" s="459"/>
      <c r="H56" s="459"/>
      <c r="I56" s="459"/>
      <c r="J56" s="459"/>
      <c r="K56" s="459"/>
      <c r="L56" s="459"/>
      <c r="M56" s="460"/>
      <c r="N56" s="143"/>
      <c r="O56" s="74"/>
      <c r="P56" s="461"/>
      <c r="Q56" s="462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57" t="s">
        <v>122</v>
      </c>
      <c r="B57" s="458"/>
      <c r="C57" s="141" t="s">
        <v>242</v>
      </c>
      <c r="D57" s="142" t="s">
        <v>58</v>
      </c>
      <c r="E57" s="141" t="s">
        <v>229</v>
      </c>
      <c r="F57" s="459" t="s">
        <v>243</v>
      </c>
      <c r="G57" s="459"/>
      <c r="H57" s="459"/>
      <c r="I57" s="459"/>
      <c r="J57" s="459"/>
      <c r="K57" s="459"/>
      <c r="L57" s="459"/>
      <c r="M57" s="460"/>
      <c r="N57" s="143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64" t="s">
        <v>122</v>
      </c>
      <c r="B58" s="463"/>
      <c r="C58" s="142" t="s">
        <v>244</v>
      </c>
      <c r="D58" s="142" t="s">
        <v>231</v>
      </c>
      <c r="E58" s="141" t="s">
        <v>232</v>
      </c>
      <c r="F58" s="459" t="s">
        <v>243</v>
      </c>
      <c r="G58" s="459"/>
      <c r="H58" s="459"/>
      <c r="I58" s="459"/>
      <c r="J58" s="459"/>
      <c r="K58" s="459"/>
      <c r="L58" s="459"/>
      <c r="M58" s="460"/>
      <c r="N58" s="143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 t="s">
        <v>122</v>
      </c>
      <c r="B59" s="463"/>
      <c r="C59" s="142" t="s">
        <v>245</v>
      </c>
      <c r="D59" s="142" t="s">
        <v>246</v>
      </c>
      <c r="E59" s="141" t="s">
        <v>234</v>
      </c>
      <c r="F59" s="459" t="s">
        <v>243</v>
      </c>
      <c r="G59" s="459"/>
      <c r="H59" s="459"/>
      <c r="I59" s="459"/>
      <c r="J59" s="459"/>
      <c r="K59" s="459"/>
      <c r="L59" s="459"/>
      <c r="M59" s="460"/>
      <c r="N59" s="143"/>
      <c r="O59" s="74"/>
      <c r="P59" s="461"/>
      <c r="Q59" s="462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</row>
    <row r="60" spans="1:32" ht="27" customHeight="1">
      <c r="A60" s="457"/>
      <c r="B60" s="458"/>
      <c r="C60" s="141"/>
      <c r="D60" s="142"/>
      <c r="E60" s="141"/>
      <c r="F60" s="459"/>
      <c r="G60" s="459"/>
      <c r="H60" s="459"/>
      <c r="I60" s="459"/>
      <c r="J60" s="459"/>
      <c r="K60" s="459"/>
      <c r="L60" s="459"/>
      <c r="M60" s="460"/>
      <c r="N60" s="143"/>
      <c r="O60" s="74"/>
      <c r="P60" s="463"/>
      <c r="Q60" s="463"/>
      <c r="R60" s="463"/>
      <c r="S60" s="463"/>
      <c r="T60" s="463"/>
      <c r="U60" s="463"/>
      <c r="V60" s="459"/>
      <c r="W60" s="459"/>
      <c r="X60" s="459"/>
      <c r="Y60" s="459"/>
      <c r="Z60" s="459"/>
      <c r="AA60" s="459"/>
      <c r="AB60" s="459"/>
      <c r="AC60" s="459"/>
      <c r="AD60" s="460"/>
    </row>
    <row r="61" spans="1:32" ht="27" customHeight="1">
      <c r="A61" s="464"/>
      <c r="B61" s="463"/>
      <c r="C61" s="142"/>
      <c r="D61" s="142"/>
      <c r="E61" s="142"/>
      <c r="F61" s="459"/>
      <c r="G61" s="459"/>
      <c r="H61" s="459"/>
      <c r="I61" s="459"/>
      <c r="J61" s="459"/>
      <c r="K61" s="459"/>
      <c r="L61" s="459"/>
      <c r="M61" s="460"/>
      <c r="N61" s="143"/>
      <c r="O61" s="74"/>
      <c r="P61" s="463"/>
      <c r="Q61" s="463"/>
      <c r="R61" s="463"/>
      <c r="S61" s="463"/>
      <c r="T61" s="463"/>
      <c r="U61" s="463"/>
      <c r="V61" s="459"/>
      <c r="W61" s="459"/>
      <c r="X61" s="459"/>
      <c r="Y61" s="459"/>
      <c r="Z61" s="459"/>
      <c r="AA61" s="459"/>
      <c r="AB61" s="459"/>
      <c r="AC61" s="459"/>
      <c r="AD61" s="460"/>
      <c r="AF61" s="94">
        <f>8*3000</f>
        <v>24000</v>
      </c>
    </row>
    <row r="62" spans="1:32" ht="27" customHeight="1" thickBot="1">
      <c r="A62" s="465"/>
      <c r="B62" s="466"/>
      <c r="C62" s="145"/>
      <c r="D62" s="145"/>
      <c r="E62" s="145"/>
      <c r="F62" s="467"/>
      <c r="G62" s="467"/>
      <c r="H62" s="467"/>
      <c r="I62" s="467"/>
      <c r="J62" s="467"/>
      <c r="K62" s="467"/>
      <c r="L62" s="467"/>
      <c r="M62" s="468"/>
      <c r="N62" s="144"/>
      <c r="O62" s="121"/>
      <c r="P62" s="466"/>
      <c r="Q62" s="466"/>
      <c r="R62" s="466"/>
      <c r="S62" s="466"/>
      <c r="T62" s="466"/>
      <c r="U62" s="466"/>
      <c r="V62" s="467"/>
      <c r="W62" s="467"/>
      <c r="X62" s="467"/>
      <c r="Y62" s="467"/>
      <c r="Z62" s="467"/>
      <c r="AA62" s="467"/>
      <c r="AB62" s="467"/>
      <c r="AC62" s="467"/>
      <c r="AD62" s="468"/>
      <c r="AF62" s="94">
        <f>16*3000</f>
        <v>48000</v>
      </c>
    </row>
    <row r="63" spans="1:32" ht="27.75" thickBot="1">
      <c r="A63" s="469" t="s">
        <v>255</v>
      </c>
      <c r="B63" s="469"/>
      <c r="C63" s="469"/>
      <c r="D63" s="469"/>
      <c r="E63" s="469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4">
        <v>24000</v>
      </c>
    </row>
    <row r="64" spans="1:32" ht="29.25" customHeight="1" thickBot="1">
      <c r="A64" s="470" t="s">
        <v>118</v>
      </c>
      <c r="B64" s="471"/>
      <c r="C64" s="146" t="s">
        <v>2</v>
      </c>
      <c r="D64" s="146" t="s">
        <v>38</v>
      </c>
      <c r="E64" s="146" t="s">
        <v>3</v>
      </c>
      <c r="F64" s="471" t="s">
        <v>115</v>
      </c>
      <c r="G64" s="471"/>
      <c r="H64" s="471"/>
      <c r="I64" s="471"/>
      <c r="J64" s="471"/>
      <c r="K64" s="471" t="s">
        <v>40</v>
      </c>
      <c r="L64" s="471"/>
      <c r="M64" s="146" t="s">
        <v>41</v>
      </c>
      <c r="N64" s="471" t="s">
        <v>42</v>
      </c>
      <c r="O64" s="471"/>
      <c r="P64" s="472" t="s">
        <v>43</v>
      </c>
      <c r="Q64" s="473"/>
      <c r="R64" s="472" t="s">
        <v>44</v>
      </c>
      <c r="S64" s="474"/>
      <c r="T64" s="474"/>
      <c r="U64" s="474"/>
      <c r="V64" s="474"/>
      <c r="W64" s="474"/>
      <c r="X64" s="474"/>
      <c r="Y64" s="474"/>
      <c r="Z64" s="474"/>
      <c r="AA64" s="473"/>
      <c r="AB64" s="471" t="s">
        <v>45</v>
      </c>
      <c r="AC64" s="471"/>
      <c r="AD64" s="475"/>
      <c r="AF64" s="94">
        <f>SUM(AF61:AF63)</f>
        <v>96000</v>
      </c>
    </row>
    <row r="65" spans="1:32" ht="25.5" customHeight="1">
      <c r="A65" s="476">
        <v>1</v>
      </c>
      <c r="B65" s="477"/>
      <c r="C65" s="133" t="s">
        <v>221</v>
      </c>
      <c r="D65" s="149"/>
      <c r="E65" s="147" t="s">
        <v>256</v>
      </c>
      <c r="F65" s="478" t="s">
        <v>257</v>
      </c>
      <c r="G65" s="479"/>
      <c r="H65" s="479"/>
      <c r="I65" s="479"/>
      <c r="J65" s="479"/>
      <c r="K65" s="479" t="s">
        <v>258</v>
      </c>
      <c r="L65" s="479"/>
      <c r="M65" s="54" t="s">
        <v>189</v>
      </c>
      <c r="N65" s="479">
        <v>8</v>
      </c>
      <c r="O65" s="479"/>
      <c r="P65" s="480">
        <v>200</v>
      </c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2</v>
      </c>
      <c r="B66" s="477"/>
      <c r="C66" s="133"/>
      <c r="D66" s="149"/>
      <c r="E66" s="147"/>
      <c r="F66" s="478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</row>
    <row r="67" spans="1:32" ht="25.5" customHeight="1">
      <c r="A67" s="476">
        <v>3</v>
      </c>
      <c r="B67" s="477"/>
      <c r="C67" s="133"/>
      <c r="D67" s="149"/>
      <c r="E67" s="147"/>
      <c r="F67" s="478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4</v>
      </c>
      <c r="B68" s="477"/>
      <c r="C68" s="133"/>
      <c r="D68" s="149"/>
      <c r="E68" s="147"/>
      <c r="F68" s="479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5</v>
      </c>
      <c r="B69" s="477"/>
      <c r="C69" s="133"/>
      <c r="D69" s="149"/>
      <c r="E69" s="147"/>
      <c r="F69" s="479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6</v>
      </c>
      <c r="B70" s="477"/>
      <c r="C70" s="133"/>
      <c r="D70" s="149"/>
      <c r="E70" s="147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5.5" customHeight="1">
      <c r="A71" s="476">
        <v>7</v>
      </c>
      <c r="B71" s="477"/>
      <c r="C71" s="133"/>
      <c r="D71" s="149"/>
      <c r="E71" s="147"/>
      <c r="F71" s="478"/>
      <c r="G71" s="479"/>
      <c r="H71" s="479"/>
      <c r="I71" s="479"/>
      <c r="J71" s="479"/>
      <c r="K71" s="479"/>
      <c r="L71" s="479"/>
      <c r="M71" s="54"/>
      <c r="N71" s="479"/>
      <c r="O71" s="479"/>
      <c r="P71" s="480"/>
      <c r="Q71" s="480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79"/>
      <c r="AC71" s="479"/>
      <c r="AD71" s="481"/>
      <c r="AF71" s="53"/>
    </row>
    <row r="72" spans="1:32" ht="25.5" customHeight="1">
      <c r="A72" s="476">
        <v>8</v>
      </c>
      <c r="B72" s="477"/>
      <c r="C72" s="133"/>
      <c r="D72" s="149"/>
      <c r="E72" s="147"/>
      <c r="F72" s="478"/>
      <c r="G72" s="479"/>
      <c r="H72" s="479"/>
      <c r="I72" s="479"/>
      <c r="J72" s="479"/>
      <c r="K72" s="479"/>
      <c r="L72" s="479"/>
      <c r="M72" s="54"/>
      <c r="N72" s="479"/>
      <c r="O72" s="479"/>
      <c r="P72" s="480"/>
      <c r="Q72" s="480"/>
      <c r="R72" s="459"/>
      <c r="S72" s="459"/>
      <c r="T72" s="459"/>
      <c r="U72" s="459"/>
      <c r="V72" s="459"/>
      <c r="W72" s="459"/>
      <c r="X72" s="459"/>
      <c r="Y72" s="459"/>
      <c r="Z72" s="459"/>
      <c r="AA72" s="459"/>
      <c r="AB72" s="479"/>
      <c r="AC72" s="479"/>
      <c r="AD72" s="481"/>
      <c r="AF72" s="53"/>
    </row>
    <row r="73" spans="1:32" ht="26.25" customHeight="1" thickBot="1">
      <c r="A73" s="482" t="s">
        <v>259</v>
      </c>
      <c r="B73" s="482"/>
      <c r="C73" s="482"/>
      <c r="D73" s="482"/>
      <c r="E73" s="482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83" t="s">
        <v>118</v>
      </c>
      <c r="B74" s="484"/>
      <c r="C74" s="148" t="s">
        <v>2</v>
      </c>
      <c r="D74" s="148" t="s">
        <v>38</v>
      </c>
      <c r="E74" s="148" t="s">
        <v>3</v>
      </c>
      <c r="F74" s="484" t="s">
        <v>39</v>
      </c>
      <c r="G74" s="484"/>
      <c r="H74" s="484"/>
      <c r="I74" s="484"/>
      <c r="J74" s="484"/>
      <c r="K74" s="485" t="s">
        <v>60</v>
      </c>
      <c r="L74" s="486"/>
      <c r="M74" s="486"/>
      <c r="N74" s="486"/>
      <c r="O74" s="486"/>
      <c r="P74" s="486"/>
      <c r="Q74" s="486"/>
      <c r="R74" s="486"/>
      <c r="S74" s="487"/>
      <c r="T74" s="484" t="s">
        <v>50</v>
      </c>
      <c r="U74" s="484"/>
      <c r="V74" s="485" t="s">
        <v>51</v>
      </c>
      <c r="W74" s="487"/>
      <c r="X74" s="486" t="s">
        <v>52</v>
      </c>
      <c r="Y74" s="486"/>
      <c r="Z74" s="486"/>
      <c r="AA74" s="486"/>
      <c r="AB74" s="486"/>
      <c r="AC74" s="486"/>
      <c r="AD74" s="488"/>
      <c r="AF74" s="53"/>
    </row>
    <row r="75" spans="1:32" ht="33.75" customHeight="1">
      <c r="A75" s="497">
        <v>1</v>
      </c>
      <c r="B75" s="498"/>
      <c r="C75" s="150" t="s">
        <v>62</v>
      </c>
      <c r="D75" s="150"/>
      <c r="E75" s="71" t="s">
        <v>58</v>
      </c>
      <c r="F75" s="499" t="s">
        <v>63</v>
      </c>
      <c r="G75" s="500"/>
      <c r="H75" s="500"/>
      <c r="I75" s="500"/>
      <c r="J75" s="501"/>
      <c r="K75" s="502" t="s">
        <v>61</v>
      </c>
      <c r="L75" s="503"/>
      <c r="M75" s="503"/>
      <c r="N75" s="503"/>
      <c r="O75" s="503"/>
      <c r="P75" s="503"/>
      <c r="Q75" s="503"/>
      <c r="R75" s="503"/>
      <c r="S75" s="504"/>
      <c r="T75" s="505">
        <v>41791</v>
      </c>
      <c r="U75" s="506"/>
      <c r="V75" s="507"/>
      <c r="W75" s="507"/>
      <c r="X75" s="508"/>
      <c r="Y75" s="508"/>
      <c r="Z75" s="508"/>
      <c r="AA75" s="508"/>
      <c r="AB75" s="508"/>
      <c r="AC75" s="508"/>
      <c r="AD75" s="509"/>
      <c r="AF75" s="53"/>
    </row>
    <row r="76" spans="1:32" ht="30" customHeight="1">
      <c r="A76" s="489">
        <f>A75+1</f>
        <v>2</v>
      </c>
      <c r="B76" s="490"/>
      <c r="C76" s="149" t="s">
        <v>127</v>
      </c>
      <c r="D76" s="149"/>
      <c r="E76" s="35" t="s">
        <v>121</v>
      </c>
      <c r="F76" s="490" t="s">
        <v>129</v>
      </c>
      <c r="G76" s="490"/>
      <c r="H76" s="490"/>
      <c r="I76" s="490"/>
      <c r="J76" s="490"/>
      <c r="K76" s="491" t="s">
        <v>61</v>
      </c>
      <c r="L76" s="492"/>
      <c r="M76" s="492"/>
      <c r="N76" s="492"/>
      <c r="O76" s="492"/>
      <c r="P76" s="492"/>
      <c r="Q76" s="492"/>
      <c r="R76" s="492"/>
      <c r="S76" s="493"/>
      <c r="T76" s="494">
        <v>42779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ref="A77:A83" si="28">A76+1</f>
        <v>3</v>
      </c>
      <c r="B77" s="490"/>
      <c r="C77" s="149" t="s">
        <v>62</v>
      </c>
      <c r="D77" s="149"/>
      <c r="E77" s="35" t="s">
        <v>121</v>
      </c>
      <c r="F77" s="490" t="s">
        <v>124</v>
      </c>
      <c r="G77" s="490"/>
      <c r="H77" s="490"/>
      <c r="I77" s="490"/>
      <c r="J77" s="490"/>
      <c r="K77" s="491" t="s">
        <v>61</v>
      </c>
      <c r="L77" s="492"/>
      <c r="M77" s="492"/>
      <c r="N77" s="492"/>
      <c r="O77" s="492"/>
      <c r="P77" s="492"/>
      <c r="Q77" s="492"/>
      <c r="R77" s="492"/>
      <c r="S77" s="493"/>
      <c r="T77" s="494">
        <v>42667</v>
      </c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28"/>
        <v>4</v>
      </c>
      <c r="B78" s="490"/>
      <c r="C78" s="149" t="s">
        <v>62</v>
      </c>
      <c r="D78" s="149"/>
      <c r="E78" s="35" t="s">
        <v>121</v>
      </c>
      <c r="F78" s="490" t="s">
        <v>140</v>
      </c>
      <c r="G78" s="490"/>
      <c r="H78" s="490"/>
      <c r="I78" s="490"/>
      <c r="J78" s="490"/>
      <c r="K78" s="491" t="s">
        <v>141</v>
      </c>
      <c r="L78" s="492"/>
      <c r="M78" s="492"/>
      <c r="N78" s="492"/>
      <c r="O78" s="492"/>
      <c r="P78" s="492"/>
      <c r="Q78" s="492"/>
      <c r="R78" s="492"/>
      <c r="S78" s="493"/>
      <c r="T78" s="494">
        <v>42829</v>
      </c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28"/>
        <v>5</v>
      </c>
      <c r="B79" s="490"/>
      <c r="C79" s="149" t="s">
        <v>62</v>
      </c>
      <c r="D79" s="149"/>
      <c r="E79" s="35" t="s">
        <v>58</v>
      </c>
      <c r="F79" s="490" t="s">
        <v>125</v>
      </c>
      <c r="G79" s="490"/>
      <c r="H79" s="490"/>
      <c r="I79" s="490"/>
      <c r="J79" s="490"/>
      <c r="K79" s="491" t="s">
        <v>61</v>
      </c>
      <c r="L79" s="492"/>
      <c r="M79" s="492"/>
      <c r="N79" s="492"/>
      <c r="O79" s="492"/>
      <c r="P79" s="492"/>
      <c r="Q79" s="492"/>
      <c r="R79" s="492"/>
      <c r="S79" s="493"/>
      <c r="T79" s="494">
        <v>42667</v>
      </c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28"/>
        <v>6</v>
      </c>
      <c r="B80" s="490"/>
      <c r="C80" s="149"/>
      <c r="D80" s="149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28"/>
        <v>7</v>
      </c>
      <c r="B81" s="490"/>
      <c r="C81" s="149"/>
      <c r="D81" s="149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0" customHeight="1">
      <c r="A82" s="489">
        <f t="shared" si="28"/>
        <v>8</v>
      </c>
      <c r="B82" s="490"/>
      <c r="C82" s="149"/>
      <c r="D82" s="149"/>
      <c r="E82" s="35"/>
      <c r="F82" s="490"/>
      <c r="G82" s="490"/>
      <c r="H82" s="490"/>
      <c r="I82" s="490"/>
      <c r="J82" s="490"/>
      <c r="K82" s="491"/>
      <c r="L82" s="492"/>
      <c r="M82" s="492"/>
      <c r="N82" s="492"/>
      <c r="O82" s="492"/>
      <c r="P82" s="492"/>
      <c r="Q82" s="492"/>
      <c r="R82" s="492"/>
      <c r="S82" s="493"/>
      <c r="T82" s="494"/>
      <c r="U82" s="494"/>
      <c r="V82" s="494"/>
      <c r="W82" s="494"/>
      <c r="X82" s="495"/>
      <c r="Y82" s="495"/>
      <c r="Z82" s="495"/>
      <c r="AA82" s="495"/>
      <c r="AB82" s="495"/>
      <c r="AC82" s="495"/>
      <c r="AD82" s="496"/>
      <c r="AF82" s="53"/>
    </row>
    <row r="83" spans="1:32" ht="30" customHeight="1">
      <c r="A83" s="489">
        <f t="shared" si="28"/>
        <v>9</v>
      </c>
      <c r="B83" s="490"/>
      <c r="C83" s="149"/>
      <c r="D83" s="149"/>
      <c r="E83" s="35"/>
      <c r="F83" s="490"/>
      <c r="G83" s="490"/>
      <c r="H83" s="490"/>
      <c r="I83" s="490"/>
      <c r="J83" s="490"/>
      <c r="K83" s="491"/>
      <c r="L83" s="492"/>
      <c r="M83" s="492"/>
      <c r="N83" s="492"/>
      <c r="O83" s="492"/>
      <c r="P83" s="492"/>
      <c r="Q83" s="492"/>
      <c r="R83" s="492"/>
      <c r="S83" s="493"/>
      <c r="T83" s="494"/>
      <c r="U83" s="494"/>
      <c r="V83" s="494"/>
      <c r="W83" s="494"/>
      <c r="X83" s="495"/>
      <c r="Y83" s="495"/>
      <c r="Z83" s="495"/>
      <c r="AA83" s="495"/>
      <c r="AB83" s="495"/>
      <c r="AC83" s="495"/>
      <c r="AD83" s="496"/>
      <c r="AF83" s="53"/>
    </row>
    <row r="84" spans="1:32" ht="36" thickBot="1">
      <c r="A84" s="482" t="s">
        <v>260</v>
      </c>
      <c r="B84" s="482"/>
      <c r="C84" s="482"/>
      <c r="D84" s="482"/>
      <c r="E84" s="482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510" t="s">
        <v>37</v>
      </c>
      <c r="B85" s="511"/>
      <c r="C85" s="511" t="s">
        <v>53</v>
      </c>
      <c r="D85" s="511"/>
      <c r="E85" s="511" t="s">
        <v>54</v>
      </c>
      <c r="F85" s="511"/>
      <c r="G85" s="511"/>
      <c r="H85" s="511"/>
      <c r="I85" s="511"/>
      <c r="J85" s="511"/>
      <c r="K85" s="511" t="s">
        <v>55</v>
      </c>
      <c r="L85" s="511"/>
      <c r="M85" s="511"/>
      <c r="N85" s="511"/>
      <c r="O85" s="511"/>
      <c r="P85" s="511"/>
      <c r="Q85" s="511"/>
      <c r="R85" s="511"/>
      <c r="S85" s="511"/>
      <c r="T85" s="511" t="s">
        <v>56</v>
      </c>
      <c r="U85" s="511"/>
      <c r="V85" s="511" t="s">
        <v>57</v>
      </c>
      <c r="W85" s="511"/>
      <c r="X85" s="511"/>
      <c r="Y85" s="511" t="s">
        <v>52</v>
      </c>
      <c r="Z85" s="511"/>
      <c r="AA85" s="511"/>
      <c r="AB85" s="511"/>
      <c r="AC85" s="511"/>
      <c r="AD85" s="512"/>
      <c r="AF85" s="53"/>
    </row>
    <row r="86" spans="1:32" ht="30.75" customHeight="1">
      <c r="A86" s="513">
        <v>1</v>
      </c>
      <c r="B86" s="514"/>
      <c r="C86" s="515"/>
      <c r="D86" s="515"/>
      <c r="E86" s="515"/>
      <c r="F86" s="515"/>
      <c r="G86" s="515"/>
      <c r="H86" s="515"/>
      <c r="I86" s="515"/>
      <c r="J86" s="515"/>
      <c r="K86" s="515"/>
      <c r="L86" s="515"/>
      <c r="M86" s="515"/>
      <c r="N86" s="515"/>
      <c r="O86" s="515"/>
      <c r="P86" s="515"/>
      <c r="Q86" s="515"/>
      <c r="R86" s="515"/>
      <c r="S86" s="515"/>
      <c r="T86" s="515"/>
      <c r="U86" s="515"/>
      <c r="V86" s="516"/>
      <c r="W86" s="516"/>
      <c r="X86" s="516"/>
      <c r="Y86" s="517"/>
      <c r="Z86" s="517"/>
      <c r="AA86" s="517"/>
      <c r="AB86" s="517"/>
      <c r="AC86" s="517"/>
      <c r="AD86" s="518"/>
      <c r="AF86" s="53"/>
    </row>
    <row r="87" spans="1:32" ht="30.75" customHeight="1">
      <c r="A87" s="489">
        <v>2</v>
      </c>
      <c r="B87" s="490"/>
      <c r="C87" s="515"/>
      <c r="D87" s="515"/>
      <c r="E87" s="515"/>
      <c r="F87" s="515"/>
      <c r="G87" s="515"/>
      <c r="H87" s="515"/>
      <c r="I87" s="515"/>
      <c r="J87" s="515"/>
      <c r="K87" s="515"/>
      <c r="L87" s="515"/>
      <c r="M87" s="515"/>
      <c r="N87" s="515"/>
      <c r="O87" s="515"/>
      <c r="P87" s="515"/>
      <c r="Q87" s="515"/>
      <c r="R87" s="515"/>
      <c r="S87" s="515"/>
      <c r="T87" s="515"/>
      <c r="U87" s="515"/>
      <c r="V87" s="516"/>
      <c r="W87" s="516"/>
      <c r="X87" s="516"/>
      <c r="Y87" s="517"/>
      <c r="Z87" s="517"/>
      <c r="AA87" s="517"/>
      <c r="AB87" s="517"/>
      <c r="AC87" s="517"/>
      <c r="AD87" s="518"/>
      <c r="AF87" s="53"/>
    </row>
    <row r="88" spans="1:32" ht="30.75" customHeight="1" thickBot="1">
      <c r="A88" s="519">
        <v>3</v>
      </c>
      <c r="B88" s="520"/>
      <c r="C88" s="520"/>
      <c r="D88" s="520"/>
      <c r="E88" s="520"/>
      <c r="F88" s="520"/>
      <c r="G88" s="520"/>
      <c r="H88" s="520"/>
      <c r="I88" s="520"/>
      <c r="J88" s="520"/>
      <c r="K88" s="520"/>
      <c r="L88" s="520"/>
      <c r="M88" s="520"/>
      <c r="N88" s="520"/>
      <c r="O88" s="520"/>
      <c r="P88" s="520"/>
      <c r="Q88" s="520"/>
      <c r="R88" s="520"/>
      <c r="S88" s="520"/>
      <c r="T88" s="520"/>
      <c r="U88" s="520"/>
      <c r="V88" s="520"/>
      <c r="W88" s="520"/>
      <c r="X88" s="520"/>
      <c r="Y88" s="521"/>
      <c r="Z88" s="521"/>
      <c r="AA88" s="521"/>
      <c r="AB88" s="521"/>
      <c r="AC88" s="521"/>
      <c r="AD88" s="522"/>
      <c r="AF88" s="53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topLeftCell="A40" zoomScale="72" zoomScaleNormal="72" zoomScaleSheetLayoutView="70" workbookViewId="0">
      <selection activeCell="A64" sqref="A64:XFD6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261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151" t="s">
        <v>17</v>
      </c>
      <c r="L5" s="151" t="s">
        <v>18</v>
      </c>
      <c r="M5" s="151" t="s">
        <v>19</v>
      </c>
      <c r="N5" s="15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0.41912938508966663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138</v>
      </c>
      <c r="D7" s="55" t="s">
        <v>178</v>
      </c>
      <c r="E7" s="56" t="s">
        <v>179</v>
      </c>
      <c r="F7" s="12" t="s">
        <v>180</v>
      </c>
      <c r="G7" s="36">
        <v>2</v>
      </c>
      <c r="H7" s="38">
        <v>25</v>
      </c>
      <c r="I7" s="7">
        <v>40000</v>
      </c>
      <c r="J7" s="14">
        <v>10870</v>
      </c>
      <c r="K7" s="15">
        <f>L7+7596+10920+10616</f>
        <v>39998</v>
      </c>
      <c r="L7" s="15">
        <f>2839*2+2594*2</f>
        <v>10866</v>
      </c>
      <c r="M7" s="16">
        <f t="shared" si="0"/>
        <v>10866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0.99963201471941121</v>
      </c>
      <c r="AC7" s="9">
        <f t="shared" si="5"/>
        <v>1</v>
      </c>
      <c r="AD7" s="10">
        <f t="shared" si="6"/>
        <v>0.99963201471941121</v>
      </c>
      <c r="AE7" s="39">
        <f t="shared" si="7"/>
        <v>0.41912938508966663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127</v>
      </c>
      <c r="D8" s="55" t="s">
        <v>123</v>
      </c>
      <c r="E8" s="57" t="s">
        <v>164</v>
      </c>
      <c r="F8" s="12" t="s">
        <v>128</v>
      </c>
      <c r="G8" s="36">
        <v>1</v>
      </c>
      <c r="H8" s="38">
        <v>25</v>
      </c>
      <c r="I8" s="7">
        <v>30000</v>
      </c>
      <c r="J8" s="14">
        <v>5720</v>
      </c>
      <c r="K8" s="15">
        <f>L8+3518</f>
        <v>9237</v>
      </c>
      <c r="L8" s="15">
        <f>2963+2756</f>
        <v>5719</v>
      </c>
      <c r="M8" s="16">
        <f t="shared" si="0"/>
        <v>5719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0.99982517482517486</v>
      </c>
      <c r="AC8" s="9">
        <f t="shared" si="5"/>
        <v>1</v>
      </c>
      <c r="AD8" s="10">
        <f t="shared" si="6"/>
        <v>0.99982517482517486</v>
      </c>
      <c r="AE8" s="39">
        <f t="shared" si="7"/>
        <v>0.41912938508966663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58</v>
      </c>
      <c r="E9" s="57" t="s">
        <v>133</v>
      </c>
      <c r="F9" s="12" t="s">
        <v>126</v>
      </c>
      <c r="G9" s="12">
        <v>1</v>
      </c>
      <c r="H9" s="13">
        <v>25</v>
      </c>
      <c r="I9" s="34">
        <v>27000</v>
      </c>
      <c r="J9" s="5">
        <v>3680</v>
      </c>
      <c r="K9" s="15">
        <f>L9+3312+5792+3396+5312+712+2220</f>
        <v>24418</v>
      </c>
      <c r="L9" s="15">
        <f>1476+2198</f>
        <v>3674</v>
      </c>
      <c r="M9" s="16">
        <f t="shared" si="0"/>
        <v>3674</v>
      </c>
      <c r="N9" s="16">
        <v>0</v>
      </c>
      <c r="O9" s="62">
        <f t="shared" si="1"/>
        <v>0</v>
      </c>
      <c r="P9" s="42">
        <f t="shared" si="2"/>
        <v>19</v>
      </c>
      <c r="Q9" s="43">
        <f t="shared" si="3"/>
        <v>5</v>
      </c>
      <c r="R9" s="7"/>
      <c r="S9" s="6">
        <v>5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0.99836956521739129</v>
      </c>
      <c r="AC9" s="9">
        <f t="shared" si="5"/>
        <v>0.79166666666666663</v>
      </c>
      <c r="AD9" s="10">
        <f t="shared" si="6"/>
        <v>0.79037590579710137</v>
      </c>
      <c r="AE9" s="39">
        <f t="shared" si="7"/>
        <v>0.41912938508966663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127</v>
      </c>
      <c r="D10" s="55" t="s">
        <v>58</v>
      </c>
      <c r="E10" s="57" t="s">
        <v>192</v>
      </c>
      <c r="F10" s="12" t="s">
        <v>193</v>
      </c>
      <c r="G10" s="12">
        <v>1</v>
      </c>
      <c r="H10" s="13">
        <v>25</v>
      </c>
      <c r="I10" s="34">
        <v>7000</v>
      </c>
      <c r="J10" s="14">
        <v>2690</v>
      </c>
      <c r="K10" s="15">
        <f>L10+2683</f>
        <v>2683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0.41912938508966663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146</v>
      </c>
      <c r="D11" s="55" t="s">
        <v>121</v>
      </c>
      <c r="E11" s="57" t="s">
        <v>170</v>
      </c>
      <c r="F11" s="12" t="s">
        <v>136</v>
      </c>
      <c r="G11" s="12">
        <v>1</v>
      </c>
      <c r="H11" s="13">
        <v>25</v>
      </c>
      <c r="I11" s="34">
        <v>10000</v>
      </c>
      <c r="J11" s="14">
        <v>3280</v>
      </c>
      <c r="K11" s="15">
        <f>L11+2519+3116+5421</f>
        <v>14327</v>
      </c>
      <c r="L11" s="15">
        <f>683+2588</f>
        <v>3271</v>
      </c>
      <c r="M11" s="16">
        <f t="shared" si="0"/>
        <v>3271</v>
      </c>
      <c r="N11" s="16">
        <v>0</v>
      </c>
      <c r="O11" s="62">
        <f t="shared" si="1"/>
        <v>0</v>
      </c>
      <c r="P11" s="42">
        <f t="shared" si="2"/>
        <v>15</v>
      </c>
      <c r="Q11" s="43">
        <f t="shared" si="3"/>
        <v>9</v>
      </c>
      <c r="R11" s="7"/>
      <c r="S11" s="6"/>
      <c r="T11" s="17"/>
      <c r="U11" s="17"/>
      <c r="V11" s="18"/>
      <c r="W11" s="19">
        <v>9</v>
      </c>
      <c r="X11" s="17"/>
      <c r="Y11" s="20"/>
      <c r="Z11" s="20"/>
      <c r="AA11" s="21"/>
      <c r="AB11" s="8">
        <f t="shared" si="4"/>
        <v>0.99725609756097566</v>
      </c>
      <c r="AC11" s="9">
        <f t="shared" si="5"/>
        <v>0.625</v>
      </c>
      <c r="AD11" s="10">
        <f t="shared" si="6"/>
        <v>0.62328506097560976</v>
      </c>
      <c r="AE11" s="39">
        <f t="shared" si="7"/>
        <v>0.41912938508966663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138</v>
      </c>
      <c r="D12" s="55" t="s">
        <v>123</v>
      </c>
      <c r="E12" s="57" t="s">
        <v>177</v>
      </c>
      <c r="F12" s="12" t="s">
        <v>173</v>
      </c>
      <c r="G12" s="12">
        <v>1</v>
      </c>
      <c r="H12" s="13">
        <v>25</v>
      </c>
      <c r="I12" s="34">
        <v>7000</v>
      </c>
      <c r="J12" s="5">
        <v>850</v>
      </c>
      <c r="K12" s="15">
        <f>L12+3669+4594+846</f>
        <v>9109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0.41912938508966663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262</v>
      </c>
      <c r="E13" s="57" t="s">
        <v>263</v>
      </c>
      <c r="F13" s="12" t="s">
        <v>230</v>
      </c>
      <c r="G13" s="12">
        <v>1</v>
      </c>
      <c r="H13" s="13">
        <v>25</v>
      </c>
      <c r="I13" s="7">
        <v>200</v>
      </c>
      <c r="J13" s="14">
        <v>221</v>
      </c>
      <c r="K13" s="15">
        <f>L13</f>
        <v>221</v>
      </c>
      <c r="L13" s="15">
        <f>221</f>
        <v>221</v>
      </c>
      <c r="M13" s="16">
        <f t="shared" si="0"/>
        <v>221</v>
      </c>
      <c r="N13" s="16">
        <v>0</v>
      </c>
      <c r="O13" s="62">
        <f t="shared" si="1"/>
        <v>0</v>
      </c>
      <c r="P13" s="42">
        <f t="shared" si="2"/>
        <v>4</v>
      </c>
      <c r="Q13" s="43">
        <f t="shared" si="3"/>
        <v>20</v>
      </c>
      <c r="R13" s="7"/>
      <c r="S13" s="6"/>
      <c r="T13" s="17"/>
      <c r="U13" s="17"/>
      <c r="V13" s="18"/>
      <c r="W13" s="19">
        <v>20</v>
      </c>
      <c r="X13" s="17"/>
      <c r="Y13" s="20"/>
      <c r="Z13" s="20"/>
      <c r="AA13" s="21"/>
      <c r="AB13" s="8">
        <f t="shared" si="4"/>
        <v>1</v>
      </c>
      <c r="AC13" s="9">
        <f t="shared" si="5"/>
        <v>0.16666666666666666</v>
      </c>
      <c r="AD13" s="10">
        <f t="shared" si="6"/>
        <v>0.16666666666666666</v>
      </c>
      <c r="AE13" s="39">
        <f t="shared" si="7"/>
        <v>0.41912938508966663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138</v>
      </c>
      <c r="D14" s="55" t="s">
        <v>145</v>
      </c>
      <c r="E14" s="57" t="s">
        <v>150</v>
      </c>
      <c r="F14" s="33" t="s">
        <v>147</v>
      </c>
      <c r="G14" s="36">
        <v>1</v>
      </c>
      <c r="H14" s="38">
        <v>25</v>
      </c>
      <c r="I14" s="7">
        <v>10000</v>
      </c>
      <c r="J14" s="5">
        <v>4790</v>
      </c>
      <c r="K14" s="15">
        <f>L14+2472+5133+4788</f>
        <v>12393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0.41912938508966663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122</v>
      </c>
      <c r="D15" s="55" t="s">
        <v>143</v>
      </c>
      <c r="E15" s="57" t="s">
        <v>151</v>
      </c>
      <c r="F15" s="12">
        <v>8301</v>
      </c>
      <c r="G15" s="12">
        <v>1</v>
      </c>
      <c r="H15" s="13">
        <v>25</v>
      </c>
      <c r="I15" s="34">
        <v>2500</v>
      </c>
      <c r="J15" s="5">
        <v>3980</v>
      </c>
      <c r="K15" s="15">
        <f>L15+2138+3980</f>
        <v>6118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0.41912938508966663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138</v>
      </c>
      <c r="D16" s="55" t="s">
        <v>144</v>
      </c>
      <c r="E16" s="57" t="s">
        <v>153</v>
      </c>
      <c r="F16" s="12">
        <v>7301</v>
      </c>
      <c r="G16" s="36">
        <v>1</v>
      </c>
      <c r="H16" s="38">
        <v>25</v>
      </c>
      <c r="I16" s="7">
        <v>30000</v>
      </c>
      <c r="J16" s="14">
        <v>5610</v>
      </c>
      <c r="K16" s="15">
        <f>L16+2878+5819+5765+4332+5828+4680+5824+5603</f>
        <v>40729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0.41912938508966663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127</v>
      </c>
      <c r="D17" s="55" t="s">
        <v>171</v>
      </c>
      <c r="E17" s="56" t="s">
        <v>174</v>
      </c>
      <c r="F17" s="12" t="s">
        <v>136</v>
      </c>
      <c r="G17" s="12">
        <v>1</v>
      </c>
      <c r="H17" s="13">
        <v>25</v>
      </c>
      <c r="I17" s="34">
        <v>7000</v>
      </c>
      <c r="J17" s="5">
        <v>4740</v>
      </c>
      <c r="K17" s="15">
        <f>L17+5195+4740</f>
        <v>9935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0.41912938508966663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148</v>
      </c>
      <c r="D18" s="55" t="s">
        <v>58</v>
      </c>
      <c r="E18" s="57" t="s">
        <v>155</v>
      </c>
      <c r="F18" s="12" t="s">
        <v>156</v>
      </c>
      <c r="G18" s="12">
        <v>1</v>
      </c>
      <c r="H18" s="13">
        <v>25</v>
      </c>
      <c r="I18" s="34">
        <v>30000</v>
      </c>
      <c r="J18" s="5">
        <v>3760</v>
      </c>
      <c r="K18" s="15">
        <f>L18</f>
        <v>3759</v>
      </c>
      <c r="L18" s="15">
        <f>2089+1670</f>
        <v>3759</v>
      </c>
      <c r="M18" s="16">
        <f t="shared" si="0"/>
        <v>3759</v>
      </c>
      <c r="N18" s="16">
        <v>0</v>
      </c>
      <c r="O18" s="62">
        <f t="shared" si="1"/>
        <v>0</v>
      </c>
      <c r="P18" s="42">
        <f t="shared" si="2"/>
        <v>21</v>
      </c>
      <c r="Q18" s="43">
        <f t="shared" si="3"/>
        <v>3</v>
      </c>
      <c r="R18" s="7"/>
      <c r="S18" s="6">
        <v>3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0.99973404255319154</v>
      </c>
      <c r="AC18" s="9">
        <f t="shared" si="5"/>
        <v>0.875</v>
      </c>
      <c r="AD18" s="10">
        <f t="shared" si="6"/>
        <v>0.87476728723404262</v>
      </c>
      <c r="AE18" s="39">
        <f t="shared" si="7"/>
        <v>0.41912938508966663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122</v>
      </c>
      <c r="D19" s="55" t="s">
        <v>250</v>
      </c>
      <c r="E19" s="57" t="s">
        <v>264</v>
      </c>
      <c r="F19" s="33" t="s">
        <v>265</v>
      </c>
      <c r="G19" s="36">
        <v>1</v>
      </c>
      <c r="H19" s="38">
        <v>25</v>
      </c>
      <c r="I19" s="34">
        <v>200</v>
      </c>
      <c r="J19" s="5">
        <v>315</v>
      </c>
      <c r="K19" s="15">
        <f>L19</f>
        <v>314</v>
      </c>
      <c r="L19" s="15">
        <v>314</v>
      </c>
      <c r="M19" s="16">
        <f t="shared" si="0"/>
        <v>314</v>
      </c>
      <c r="N19" s="16">
        <v>0</v>
      </c>
      <c r="O19" s="62">
        <f t="shared" si="1"/>
        <v>0</v>
      </c>
      <c r="P19" s="42">
        <f t="shared" si="2"/>
        <v>4</v>
      </c>
      <c r="Q19" s="43">
        <f t="shared" si="3"/>
        <v>20</v>
      </c>
      <c r="R19" s="7"/>
      <c r="S19" s="6"/>
      <c r="T19" s="17"/>
      <c r="U19" s="17"/>
      <c r="V19" s="18"/>
      <c r="W19" s="19">
        <v>20</v>
      </c>
      <c r="X19" s="17"/>
      <c r="Y19" s="20"/>
      <c r="Z19" s="20"/>
      <c r="AA19" s="21"/>
      <c r="AB19" s="8">
        <f t="shared" si="4"/>
        <v>0.99682539682539684</v>
      </c>
      <c r="AC19" s="9">
        <f t="shared" si="5"/>
        <v>0.16666666666666666</v>
      </c>
      <c r="AD19" s="10">
        <f t="shared" si="6"/>
        <v>0.16613756613756614</v>
      </c>
      <c r="AE19" s="39">
        <f t="shared" si="7"/>
        <v>0.41912938508966663</v>
      </c>
      <c r="AF19" s="94">
        <f t="shared" si="8"/>
        <v>14</v>
      </c>
    </row>
    <row r="20" spans="1:32" ht="27" customHeight="1">
      <c r="A20" s="110">
        <v>14</v>
      </c>
      <c r="B20" s="11" t="s">
        <v>59</v>
      </c>
      <c r="C20" s="37" t="s">
        <v>254</v>
      </c>
      <c r="D20" s="55" t="s">
        <v>250</v>
      </c>
      <c r="E20" s="57" t="s">
        <v>266</v>
      </c>
      <c r="F20" s="33" t="s">
        <v>267</v>
      </c>
      <c r="G20" s="36">
        <v>2</v>
      </c>
      <c r="H20" s="38">
        <v>25</v>
      </c>
      <c r="I20" s="34">
        <v>12000</v>
      </c>
      <c r="J20" s="5">
        <v>7280</v>
      </c>
      <c r="K20" s="15">
        <f>L20</f>
        <v>7278</v>
      </c>
      <c r="L20" s="15">
        <f>919*2+2720*2</f>
        <v>7278</v>
      </c>
      <c r="M20" s="16">
        <f t="shared" si="0"/>
        <v>7278</v>
      </c>
      <c r="N20" s="16">
        <v>0</v>
      </c>
      <c r="O20" s="62">
        <f t="shared" si="1"/>
        <v>0</v>
      </c>
      <c r="P20" s="42">
        <f t="shared" si="2"/>
        <v>19</v>
      </c>
      <c r="Q20" s="43">
        <f t="shared" si="3"/>
        <v>5</v>
      </c>
      <c r="R20" s="7"/>
      <c r="S20" s="6"/>
      <c r="T20" s="17">
        <v>5</v>
      </c>
      <c r="U20" s="17"/>
      <c r="V20" s="18"/>
      <c r="W20" s="19"/>
      <c r="X20" s="17"/>
      <c r="Y20" s="20"/>
      <c r="Z20" s="20"/>
      <c r="AA20" s="21"/>
      <c r="AB20" s="8">
        <f t="shared" si="4"/>
        <v>0.99972527472527473</v>
      </c>
      <c r="AC20" s="9">
        <f t="shared" si="5"/>
        <v>0.79166666666666663</v>
      </c>
      <c r="AD20" s="10">
        <f t="shared" si="6"/>
        <v>0.79144917582417573</v>
      </c>
      <c r="AE20" s="39">
        <f t="shared" si="7"/>
        <v>0.41912938508966663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/>
      <c r="E21" s="56" t="s">
        <v>268</v>
      </c>
      <c r="F21" s="12" t="s">
        <v>120</v>
      </c>
      <c r="G21" s="12">
        <v>4</v>
      </c>
      <c r="H21" s="38">
        <v>20</v>
      </c>
      <c r="I21" s="7">
        <v>100000</v>
      </c>
      <c r="J21" s="14">
        <v>35340</v>
      </c>
      <c r="K21" s="15">
        <f>L21</f>
        <v>35332</v>
      </c>
      <c r="L21" s="15">
        <f>5086*4+3747*4</f>
        <v>35332</v>
      </c>
      <c r="M21" s="16">
        <f t="shared" si="0"/>
        <v>35332</v>
      </c>
      <c r="N21" s="16">
        <v>0</v>
      </c>
      <c r="O21" s="62">
        <f t="shared" si="1"/>
        <v>0</v>
      </c>
      <c r="P21" s="42">
        <f t="shared" si="2"/>
        <v>21</v>
      </c>
      <c r="Q21" s="43">
        <f t="shared" si="3"/>
        <v>3</v>
      </c>
      <c r="R21" s="7"/>
      <c r="S21" s="6"/>
      <c r="T21" s="17">
        <v>3</v>
      </c>
      <c r="U21" s="17"/>
      <c r="V21" s="18"/>
      <c r="W21" s="19"/>
      <c r="X21" s="17"/>
      <c r="Y21" s="20"/>
      <c r="Z21" s="20"/>
      <c r="AA21" s="21"/>
      <c r="AB21" s="8">
        <f t="shared" si="4"/>
        <v>0.99977362761743072</v>
      </c>
      <c r="AC21" s="9">
        <f t="shared" si="5"/>
        <v>0.875</v>
      </c>
      <c r="AD21" s="10">
        <f t="shared" si="6"/>
        <v>0.87480192416525182</v>
      </c>
      <c r="AE21" s="39">
        <f t="shared" si="7"/>
        <v>0.41912938508966663</v>
      </c>
      <c r="AF21" s="94">
        <f t="shared" si="8"/>
        <v>15</v>
      </c>
    </row>
    <row r="22" spans="1:32" ht="31.5" customHeight="1" thickBot="1">
      <c r="A22" s="430" t="s">
        <v>34</v>
      </c>
      <c r="B22" s="431"/>
      <c r="C22" s="431"/>
      <c r="D22" s="431"/>
      <c r="E22" s="431"/>
      <c r="F22" s="431"/>
      <c r="G22" s="431"/>
      <c r="H22" s="432"/>
      <c r="I22" s="25">
        <f t="shared" ref="I22:N22" si="10">SUM(I6:I21)</f>
        <v>316900</v>
      </c>
      <c r="J22" s="22">
        <f t="shared" si="10"/>
        <v>99266</v>
      </c>
      <c r="K22" s="23">
        <f t="shared" si="10"/>
        <v>221985</v>
      </c>
      <c r="L22" s="24">
        <f t="shared" si="10"/>
        <v>70434</v>
      </c>
      <c r="M22" s="23">
        <f t="shared" si="10"/>
        <v>70434</v>
      </c>
      <c r="N22" s="24">
        <f t="shared" si="10"/>
        <v>0</v>
      </c>
      <c r="O22" s="44">
        <f t="shared" si="1"/>
        <v>0</v>
      </c>
      <c r="P22" s="45">
        <f t="shared" ref="P22:AA22" si="11">SUM(P6:P21)</f>
        <v>151</v>
      </c>
      <c r="Q22" s="46">
        <f t="shared" si="11"/>
        <v>233</v>
      </c>
      <c r="R22" s="26">
        <f t="shared" si="11"/>
        <v>0</v>
      </c>
      <c r="S22" s="27">
        <f t="shared" si="11"/>
        <v>32</v>
      </c>
      <c r="T22" s="27">
        <f t="shared" si="11"/>
        <v>8</v>
      </c>
      <c r="U22" s="27">
        <f t="shared" si="11"/>
        <v>0</v>
      </c>
      <c r="V22" s="28">
        <f t="shared" si="11"/>
        <v>0</v>
      </c>
      <c r="W22" s="29">
        <f t="shared" si="11"/>
        <v>193</v>
      </c>
      <c r="X22" s="30">
        <f t="shared" si="11"/>
        <v>0</v>
      </c>
      <c r="Y22" s="30">
        <f t="shared" si="11"/>
        <v>0</v>
      </c>
      <c r="Z22" s="30">
        <f t="shared" si="11"/>
        <v>0</v>
      </c>
      <c r="AA22" s="30">
        <f t="shared" si="11"/>
        <v>0</v>
      </c>
      <c r="AB22" s="31">
        <f>SUM(AB6:AB21)/15</f>
        <v>0.59940941293628314</v>
      </c>
      <c r="AC22" s="4">
        <f>SUM(AC6:AC21)/15</f>
        <v>0.41944444444444445</v>
      </c>
      <c r="AD22" s="4">
        <f>SUM(AD6:AD21)/15</f>
        <v>0.41912938508966663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33" t="s">
        <v>46</v>
      </c>
      <c r="B49" s="433"/>
      <c r="C49" s="433"/>
      <c r="D49" s="433"/>
      <c r="E49" s="433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34" t="s">
        <v>269</v>
      </c>
      <c r="B50" s="435"/>
      <c r="C50" s="435"/>
      <c r="D50" s="435"/>
      <c r="E50" s="435"/>
      <c r="F50" s="435"/>
      <c r="G50" s="435"/>
      <c r="H50" s="435"/>
      <c r="I50" s="435"/>
      <c r="J50" s="435"/>
      <c r="K50" s="435"/>
      <c r="L50" s="435"/>
      <c r="M50" s="436"/>
      <c r="N50" s="437" t="s">
        <v>281</v>
      </c>
      <c r="O50" s="438"/>
      <c r="P50" s="438"/>
      <c r="Q50" s="438"/>
      <c r="R50" s="438"/>
      <c r="S50" s="438"/>
      <c r="T50" s="438"/>
      <c r="U50" s="438"/>
      <c r="V50" s="438"/>
      <c r="W50" s="438"/>
      <c r="X50" s="438"/>
      <c r="Y50" s="438"/>
      <c r="Z50" s="438"/>
      <c r="AA50" s="438"/>
      <c r="AB50" s="438"/>
      <c r="AC50" s="438"/>
      <c r="AD50" s="439"/>
    </row>
    <row r="51" spans="1:32" ht="27" customHeight="1">
      <c r="A51" s="440" t="s">
        <v>2</v>
      </c>
      <c r="B51" s="441"/>
      <c r="C51" s="152" t="s">
        <v>47</v>
      </c>
      <c r="D51" s="152" t="s">
        <v>48</v>
      </c>
      <c r="E51" s="152" t="s">
        <v>113</v>
      </c>
      <c r="F51" s="441" t="s">
        <v>112</v>
      </c>
      <c r="G51" s="441"/>
      <c r="H51" s="441"/>
      <c r="I51" s="441"/>
      <c r="J51" s="441"/>
      <c r="K51" s="441"/>
      <c r="L51" s="441"/>
      <c r="M51" s="442"/>
      <c r="N51" s="73" t="s">
        <v>117</v>
      </c>
      <c r="O51" s="152" t="s">
        <v>47</v>
      </c>
      <c r="P51" s="443" t="s">
        <v>48</v>
      </c>
      <c r="Q51" s="444"/>
      <c r="R51" s="443" t="s">
        <v>39</v>
      </c>
      <c r="S51" s="445"/>
      <c r="T51" s="445"/>
      <c r="U51" s="444"/>
      <c r="V51" s="443" t="s">
        <v>49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57" t="s">
        <v>138</v>
      </c>
      <c r="B52" s="458"/>
      <c r="C52" s="153" t="s">
        <v>158</v>
      </c>
      <c r="D52" s="154" t="s">
        <v>58</v>
      </c>
      <c r="E52" s="153" t="s">
        <v>155</v>
      </c>
      <c r="F52" s="459" t="s">
        <v>270</v>
      </c>
      <c r="G52" s="459"/>
      <c r="H52" s="459"/>
      <c r="I52" s="459"/>
      <c r="J52" s="459"/>
      <c r="K52" s="459"/>
      <c r="L52" s="459"/>
      <c r="M52" s="460"/>
      <c r="N52" s="155" t="s">
        <v>122</v>
      </c>
      <c r="O52" s="74" t="s">
        <v>132</v>
      </c>
      <c r="P52" s="461" t="s">
        <v>272</v>
      </c>
      <c r="Q52" s="462"/>
      <c r="R52" s="463" t="s">
        <v>273</v>
      </c>
      <c r="S52" s="463"/>
      <c r="T52" s="463"/>
      <c r="U52" s="463"/>
      <c r="V52" s="459" t="s">
        <v>274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57" t="s">
        <v>122</v>
      </c>
      <c r="B53" s="458"/>
      <c r="C53" s="153" t="s">
        <v>132</v>
      </c>
      <c r="D53" s="154" t="s">
        <v>58</v>
      </c>
      <c r="E53" s="153" t="s">
        <v>133</v>
      </c>
      <c r="F53" s="459" t="s">
        <v>271</v>
      </c>
      <c r="G53" s="459"/>
      <c r="H53" s="459"/>
      <c r="I53" s="459"/>
      <c r="J53" s="459"/>
      <c r="K53" s="459"/>
      <c r="L53" s="459"/>
      <c r="M53" s="460"/>
      <c r="N53" s="155" t="s">
        <v>254</v>
      </c>
      <c r="O53" s="74" t="s">
        <v>275</v>
      </c>
      <c r="P53" s="461" t="s">
        <v>276</v>
      </c>
      <c r="Q53" s="462"/>
      <c r="R53" s="463" t="s">
        <v>277</v>
      </c>
      <c r="S53" s="463"/>
      <c r="T53" s="463"/>
      <c r="U53" s="463"/>
      <c r="V53" s="459" t="s">
        <v>251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 t="s">
        <v>278</v>
      </c>
      <c r="B54" s="458"/>
      <c r="C54" s="153" t="s">
        <v>279</v>
      </c>
      <c r="D54" s="154" t="s">
        <v>250</v>
      </c>
      <c r="E54" s="153" t="s">
        <v>266</v>
      </c>
      <c r="F54" s="459" t="s">
        <v>243</v>
      </c>
      <c r="G54" s="459"/>
      <c r="H54" s="459"/>
      <c r="I54" s="459"/>
      <c r="J54" s="459"/>
      <c r="K54" s="459"/>
      <c r="L54" s="459"/>
      <c r="M54" s="460"/>
      <c r="N54" s="155"/>
      <c r="O54" s="74"/>
      <c r="P54" s="461"/>
      <c r="Q54" s="462"/>
      <c r="R54" s="463"/>
      <c r="S54" s="463"/>
      <c r="T54" s="463"/>
      <c r="U54" s="463"/>
      <c r="V54" s="459"/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57" t="s">
        <v>122</v>
      </c>
      <c r="B55" s="458"/>
      <c r="C55" s="153" t="s">
        <v>280</v>
      </c>
      <c r="D55" s="154" t="s">
        <v>262</v>
      </c>
      <c r="E55" s="153" t="s">
        <v>263</v>
      </c>
      <c r="F55" s="459" t="s">
        <v>243</v>
      </c>
      <c r="G55" s="459"/>
      <c r="H55" s="459"/>
      <c r="I55" s="459"/>
      <c r="J55" s="459"/>
      <c r="K55" s="459"/>
      <c r="L55" s="459"/>
      <c r="M55" s="460"/>
      <c r="N55" s="155"/>
      <c r="O55" s="74"/>
      <c r="P55" s="461"/>
      <c r="Q55" s="462"/>
      <c r="R55" s="463"/>
      <c r="S55" s="463"/>
      <c r="T55" s="463"/>
      <c r="U55" s="463"/>
      <c r="V55" s="459"/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57" t="s">
        <v>122</v>
      </c>
      <c r="B56" s="458"/>
      <c r="C56" s="153" t="s">
        <v>244</v>
      </c>
      <c r="D56" s="154" t="s">
        <v>58</v>
      </c>
      <c r="E56" s="153" t="s">
        <v>264</v>
      </c>
      <c r="F56" s="459" t="s">
        <v>243</v>
      </c>
      <c r="G56" s="459"/>
      <c r="H56" s="459"/>
      <c r="I56" s="459"/>
      <c r="J56" s="459"/>
      <c r="K56" s="459"/>
      <c r="L56" s="459"/>
      <c r="M56" s="460"/>
      <c r="N56" s="155"/>
      <c r="O56" s="74"/>
      <c r="P56" s="461"/>
      <c r="Q56" s="462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154"/>
      <c r="D57" s="154"/>
      <c r="E57" s="153"/>
      <c r="F57" s="459"/>
      <c r="G57" s="459"/>
      <c r="H57" s="459"/>
      <c r="I57" s="459"/>
      <c r="J57" s="459"/>
      <c r="K57" s="459"/>
      <c r="L57" s="459"/>
      <c r="M57" s="460"/>
      <c r="N57" s="155"/>
      <c r="O57" s="74"/>
      <c r="P57" s="463"/>
      <c r="Q57" s="463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64"/>
      <c r="B58" s="463"/>
      <c r="C58" s="154"/>
      <c r="D58" s="154"/>
      <c r="E58" s="153"/>
      <c r="F58" s="459"/>
      <c r="G58" s="459"/>
      <c r="H58" s="459"/>
      <c r="I58" s="459"/>
      <c r="J58" s="459"/>
      <c r="K58" s="459"/>
      <c r="L58" s="459"/>
      <c r="M58" s="460"/>
      <c r="N58" s="155"/>
      <c r="O58" s="74"/>
      <c r="P58" s="461"/>
      <c r="Q58" s="462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57"/>
      <c r="B59" s="458"/>
      <c r="C59" s="153"/>
      <c r="D59" s="154"/>
      <c r="E59" s="153"/>
      <c r="F59" s="459"/>
      <c r="G59" s="459"/>
      <c r="H59" s="459"/>
      <c r="I59" s="459"/>
      <c r="J59" s="459"/>
      <c r="K59" s="459"/>
      <c r="L59" s="459"/>
      <c r="M59" s="460"/>
      <c r="N59" s="155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</row>
    <row r="60" spans="1:32" ht="27" customHeight="1">
      <c r="A60" s="464"/>
      <c r="B60" s="463"/>
      <c r="C60" s="154"/>
      <c r="D60" s="154"/>
      <c r="E60" s="154"/>
      <c r="F60" s="459"/>
      <c r="G60" s="459"/>
      <c r="H60" s="459"/>
      <c r="I60" s="459"/>
      <c r="J60" s="459"/>
      <c r="K60" s="459"/>
      <c r="L60" s="459"/>
      <c r="M60" s="460"/>
      <c r="N60" s="155"/>
      <c r="O60" s="74"/>
      <c r="P60" s="463"/>
      <c r="Q60" s="463"/>
      <c r="R60" s="463"/>
      <c r="S60" s="463"/>
      <c r="T60" s="463"/>
      <c r="U60" s="463"/>
      <c r="V60" s="459"/>
      <c r="W60" s="459"/>
      <c r="X60" s="459"/>
      <c r="Y60" s="459"/>
      <c r="Z60" s="459"/>
      <c r="AA60" s="459"/>
      <c r="AB60" s="459"/>
      <c r="AC60" s="459"/>
      <c r="AD60" s="460"/>
      <c r="AF60" s="94">
        <f>8*3000</f>
        <v>24000</v>
      </c>
    </row>
    <row r="61" spans="1:32" ht="27" customHeight="1" thickBot="1">
      <c r="A61" s="465"/>
      <c r="B61" s="466"/>
      <c r="C61" s="157"/>
      <c r="D61" s="157"/>
      <c r="E61" s="157"/>
      <c r="F61" s="467"/>
      <c r="G61" s="467"/>
      <c r="H61" s="467"/>
      <c r="I61" s="467"/>
      <c r="J61" s="467"/>
      <c r="K61" s="467"/>
      <c r="L61" s="467"/>
      <c r="M61" s="468"/>
      <c r="N61" s="156"/>
      <c r="O61" s="121"/>
      <c r="P61" s="466"/>
      <c r="Q61" s="466"/>
      <c r="R61" s="466"/>
      <c r="S61" s="466"/>
      <c r="T61" s="466"/>
      <c r="U61" s="466"/>
      <c r="V61" s="467"/>
      <c r="W61" s="467"/>
      <c r="X61" s="467"/>
      <c r="Y61" s="467"/>
      <c r="Z61" s="467"/>
      <c r="AA61" s="467"/>
      <c r="AB61" s="467"/>
      <c r="AC61" s="467"/>
      <c r="AD61" s="468"/>
      <c r="AF61" s="94">
        <f>16*3000</f>
        <v>48000</v>
      </c>
    </row>
    <row r="62" spans="1:32" ht="27.75" thickBot="1">
      <c r="A62" s="469" t="s">
        <v>282</v>
      </c>
      <c r="B62" s="469"/>
      <c r="C62" s="469"/>
      <c r="D62" s="469"/>
      <c r="E62" s="469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70" t="s">
        <v>118</v>
      </c>
      <c r="B63" s="471"/>
      <c r="C63" s="158" t="s">
        <v>2</v>
      </c>
      <c r="D63" s="158" t="s">
        <v>38</v>
      </c>
      <c r="E63" s="158" t="s">
        <v>3</v>
      </c>
      <c r="F63" s="471" t="s">
        <v>115</v>
      </c>
      <c r="G63" s="471"/>
      <c r="H63" s="471"/>
      <c r="I63" s="471"/>
      <c r="J63" s="471"/>
      <c r="K63" s="471" t="s">
        <v>40</v>
      </c>
      <c r="L63" s="471"/>
      <c r="M63" s="158" t="s">
        <v>41</v>
      </c>
      <c r="N63" s="471" t="s">
        <v>42</v>
      </c>
      <c r="O63" s="471"/>
      <c r="P63" s="472" t="s">
        <v>43</v>
      </c>
      <c r="Q63" s="473"/>
      <c r="R63" s="472" t="s">
        <v>44</v>
      </c>
      <c r="S63" s="474"/>
      <c r="T63" s="474"/>
      <c r="U63" s="474"/>
      <c r="V63" s="474"/>
      <c r="W63" s="474"/>
      <c r="X63" s="474"/>
      <c r="Y63" s="474"/>
      <c r="Z63" s="474"/>
      <c r="AA63" s="473"/>
      <c r="AB63" s="471" t="s">
        <v>45</v>
      </c>
      <c r="AC63" s="471"/>
      <c r="AD63" s="475"/>
      <c r="AF63" s="94">
        <f>SUM(AF60:AF62)</f>
        <v>96000</v>
      </c>
    </row>
    <row r="64" spans="1:32" ht="25.5" customHeight="1">
      <c r="A64" s="476">
        <v>1</v>
      </c>
      <c r="B64" s="477"/>
      <c r="C64" s="133" t="s">
        <v>221</v>
      </c>
      <c r="D64" s="161"/>
      <c r="E64" s="159" t="s">
        <v>284</v>
      </c>
      <c r="F64" s="478" t="s">
        <v>286</v>
      </c>
      <c r="G64" s="479"/>
      <c r="H64" s="479"/>
      <c r="I64" s="479"/>
      <c r="J64" s="479"/>
      <c r="K64" s="479" t="s">
        <v>287</v>
      </c>
      <c r="L64" s="479"/>
      <c r="M64" s="54" t="s">
        <v>288</v>
      </c>
      <c r="N64" s="479">
        <v>12</v>
      </c>
      <c r="O64" s="479"/>
      <c r="P64" s="480">
        <v>50</v>
      </c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  <c r="AF64" s="53"/>
    </row>
    <row r="65" spans="1:32" ht="25.5" customHeight="1">
      <c r="A65" s="476">
        <v>2</v>
      </c>
      <c r="B65" s="477"/>
      <c r="C65" s="133" t="s">
        <v>283</v>
      </c>
      <c r="D65" s="161"/>
      <c r="E65" s="159" t="s">
        <v>285</v>
      </c>
      <c r="F65" s="478" t="s">
        <v>289</v>
      </c>
      <c r="G65" s="479"/>
      <c r="H65" s="479"/>
      <c r="I65" s="479"/>
      <c r="J65" s="479"/>
      <c r="K65" s="479" t="s">
        <v>287</v>
      </c>
      <c r="L65" s="479"/>
      <c r="M65" s="54" t="s">
        <v>288</v>
      </c>
      <c r="N65" s="479">
        <v>12</v>
      </c>
      <c r="O65" s="479"/>
      <c r="P65" s="480">
        <v>50</v>
      </c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</row>
    <row r="66" spans="1:32" ht="25.5" customHeight="1">
      <c r="A66" s="476">
        <v>3</v>
      </c>
      <c r="B66" s="477"/>
      <c r="C66" s="133"/>
      <c r="D66" s="161"/>
      <c r="E66" s="159"/>
      <c r="F66" s="478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4</v>
      </c>
      <c r="B67" s="477"/>
      <c r="C67" s="133"/>
      <c r="D67" s="161"/>
      <c r="E67" s="159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5</v>
      </c>
      <c r="B68" s="477"/>
      <c r="C68" s="133"/>
      <c r="D68" s="161"/>
      <c r="E68" s="159"/>
      <c r="F68" s="479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6</v>
      </c>
      <c r="B69" s="477"/>
      <c r="C69" s="133"/>
      <c r="D69" s="161"/>
      <c r="E69" s="159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7</v>
      </c>
      <c r="B70" s="477"/>
      <c r="C70" s="133"/>
      <c r="D70" s="161"/>
      <c r="E70" s="159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5.5" customHeight="1">
      <c r="A71" s="476">
        <v>8</v>
      </c>
      <c r="B71" s="477"/>
      <c r="C71" s="133"/>
      <c r="D71" s="161"/>
      <c r="E71" s="159"/>
      <c r="F71" s="478"/>
      <c r="G71" s="479"/>
      <c r="H71" s="479"/>
      <c r="I71" s="479"/>
      <c r="J71" s="479"/>
      <c r="K71" s="479"/>
      <c r="L71" s="479"/>
      <c r="M71" s="54"/>
      <c r="N71" s="479"/>
      <c r="O71" s="479"/>
      <c r="P71" s="480"/>
      <c r="Q71" s="480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79"/>
      <c r="AC71" s="479"/>
      <c r="AD71" s="481"/>
      <c r="AF71" s="53"/>
    </row>
    <row r="72" spans="1:32" ht="26.25" customHeight="1" thickBot="1">
      <c r="A72" s="482" t="s">
        <v>290</v>
      </c>
      <c r="B72" s="482"/>
      <c r="C72" s="482"/>
      <c r="D72" s="482"/>
      <c r="E72" s="482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83" t="s">
        <v>118</v>
      </c>
      <c r="B73" s="484"/>
      <c r="C73" s="160" t="s">
        <v>2</v>
      </c>
      <c r="D73" s="160" t="s">
        <v>38</v>
      </c>
      <c r="E73" s="160" t="s">
        <v>3</v>
      </c>
      <c r="F73" s="484" t="s">
        <v>39</v>
      </c>
      <c r="G73" s="484"/>
      <c r="H73" s="484"/>
      <c r="I73" s="484"/>
      <c r="J73" s="484"/>
      <c r="K73" s="485" t="s">
        <v>60</v>
      </c>
      <c r="L73" s="486"/>
      <c r="M73" s="486"/>
      <c r="N73" s="486"/>
      <c r="O73" s="486"/>
      <c r="P73" s="486"/>
      <c r="Q73" s="486"/>
      <c r="R73" s="486"/>
      <c r="S73" s="487"/>
      <c r="T73" s="484" t="s">
        <v>50</v>
      </c>
      <c r="U73" s="484"/>
      <c r="V73" s="485" t="s">
        <v>51</v>
      </c>
      <c r="W73" s="487"/>
      <c r="X73" s="486" t="s">
        <v>52</v>
      </c>
      <c r="Y73" s="486"/>
      <c r="Z73" s="486"/>
      <c r="AA73" s="486"/>
      <c r="AB73" s="486"/>
      <c r="AC73" s="486"/>
      <c r="AD73" s="488"/>
      <c r="AF73" s="53"/>
    </row>
    <row r="74" spans="1:32" ht="33.75" customHeight="1">
      <c r="A74" s="497">
        <v>1</v>
      </c>
      <c r="B74" s="498"/>
      <c r="C74" s="162" t="s">
        <v>62</v>
      </c>
      <c r="D74" s="162"/>
      <c r="E74" s="71" t="s">
        <v>58</v>
      </c>
      <c r="F74" s="499" t="s">
        <v>63</v>
      </c>
      <c r="G74" s="500"/>
      <c r="H74" s="500"/>
      <c r="I74" s="500"/>
      <c r="J74" s="501"/>
      <c r="K74" s="502" t="s">
        <v>61</v>
      </c>
      <c r="L74" s="503"/>
      <c r="M74" s="503"/>
      <c r="N74" s="503"/>
      <c r="O74" s="503"/>
      <c r="P74" s="503"/>
      <c r="Q74" s="503"/>
      <c r="R74" s="503"/>
      <c r="S74" s="504"/>
      <c r="T74" s="505">
        <v>41791</v>
      </c>
      <c r="U74" s="506"/>
      <c r="V74" s="507"/>
      <c r="W74" s="507"/>
      <c r="X74" s="508"/>
      <c r="Y74" s="508"/>
      <c r="Z74" s="508"/>
      <c r="AA74" s="508"/>
      <c r="AB74" s="508"/>
      <c r="AC74" s="508"/>
      <c r="AD74" s="509"/>
      <c r="AF74" s="53"/>
    </row>
    <row r="75" spans="1:32" ht="30" customHeight="1">
      <c r="A75" s="489">
        <f>A74+1</f>
        <v>2</v>
      </c>
      <c r="B75" s="490"/>
      <c r="C75" s="161" t="s">
        <v>127</v>
      </c>
      <c r="D75" s="161"/>
      <c r="E75" s="35" t="s">
        <v>121</v>
      </c>
      <c r="F75" s="490" t="s">
        <v>129</v>
      </c>
      <c r="G75" s="490"/>
      <c r="H75" s="490"/>
      <c r="I75" s="490"/>
      <c r="J75" s="490"/>
      <c r="K75" s="491" t="s">
        <v>61</v>
      </c>
      <c r="L75" s="492"/>
      <c r="M75" s="492"/>
      <c r="N75" s="492"/>
      <c r="O75" s="492"/>
      <c r="P75" s="492"/>
      <c r="Q75" s="492"/>
      <c r="R75" s="492"/>
      <c r="S75" s="493"/>
      <c r="T75" s="494">
        <v>42779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ref="A76:A82" si="12">A75+1</f>
        <v>3</v>
      </c>
      <c r="B76" s="490"/>
      <c r="C76" s="161" t="s">
        <v>62</v>
      </c>
      <c r="D76" s="161"/>
      <c r="E76" s="35" t="s">
        <v>121</v>
      </c>
      <c r="F76" s="490" t="s">
        <v>124</v>
      </c>
      <c r="G76" s="490"/>
      <c r="H76" s="490"/>
      <c r="I76" s="490"/>
      <c r="J76" s="490"/>
      <c r="K76" s="491" t="s">
        <v>61</v>
      </c>
      <c r="L76" s="492"/>
      <c r="M76" s="492"/>
      <c r="N76" s="492"/>
      <c r="O76" s="492"/>
      <c r="P76" s="492"/>
      <c r="Q76" s="492"/>
      <c r="R76" s="492"/>
      <c r="S76" s="493"/>
      <c r="T76" s="494">
        <v>42667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12"/>
        <v>4</v>
      </c>
      <c r="B77" s="490"/>
      <c r="C77" s="161" t="s">
        <v>62</v>
      </c>
      <c r="D77" s="161"/>
      <c r="E77" s="35" t="s">
        <v>121</v>
      </c>
      <c r="F77" s="490" t="s">
        <v>140</v>
      </c>
      <c r="G77" s="490"/>
      <c r="H77" s="490"/>
      <c r="I77" s="490"/>
      <c r="J77" s="490"/>
      <c r="K77" s="491" t="s">
        <v>141</v>
      </c>
      <c r="L77" s="492"/>
      <c r="M77" s="492"/>
      <c r="N77" s="492"/>
      <c r="O77" s="492"/>
      <c r="P77" s="492"/>
      <c r="Q77" s="492"/>
      <c r="R77" s="492"/>
      <c r="S77" s="493"/>
      <c r="T77" s="494">
        <v>42829</v>
      </c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12"/>
        <v>5</v>
      </c>
      <c r="B78" s="490"/>
      <c r="C78" s="161" t="s">
        <v>62</v>
      </c>
      <c r="D78" s="161"/>
      <c r="E78" s="35" t="s">
        <v>58</v>
      </c>
      <c r="F78" s="490" t="s">
        <v>125</v>
      </c>
      <c r="G78" s="490"/>
      <c r="H78" s="490"/>
      <c r="I78" s="490"/>
      <c r="J78" s="490"/>
      <c r="K78" s="491" t="s">
        <v>61</v>
      </c>
      <c r="L78" s="492"/>
      <c r="M78" s="492"/>
      <c r="N78" s="492"/>
      <c r="O78" s="492"/>
      <c r="P78" s="492"/>
      <c r="Q78" s="492"/>
      <c r="R78" s="492"/>
      <c r="S78" s="493"/>
      <c r="T78" s="494">
        <v>42667</v>
      </c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12"/>
        <v>6</v>
      </c>
      <c r="B79" s="490"/>
      <c r="C79" s="161"/>
      <c r="D79" s="161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12"/>
        <v>7</v>
      </c>
      <c r="B80" s="490"/>
      <c r="C80" s="161"/>
      <c r="D80" s="161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12"/>
        <v>8</v>
      </c>
      <c r="B81" s="490"/>
      <c r="C81" s="161"/>
      <c r="D81" s="161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0" customHeight="1">
      <c r="A82" s="489">
        <f t="shared" si="12"/>
        <v>9</v>
      </c>
      <c r="B82" s="490"/>
      <c r="C82" s="161"/>
      <c r="D82" s="161"/>
      <c r="E82" s="35"/>
      <c r="F82" s="490"/>
      <c r="G82" s="490"/>
      <c r="H82" s="490"/>
      <c r="I82" s="490"/>
      <c r="J82" s="490"/>
      <c r="K82" s="491"/>
      <c r="L82" s="492"/>
      <c r="M82" s="492"/>
      <c r="N82" s="492"/>
      <c r="O82" s="492"/>
      <c r="P82" s="492"/>
      <c r="Q82" s="492"/>
      <c r="R82" s="492"/>
      <c r="S82" s="493"/>
      <c r="T82" s="494"/>
      <c r="U82" s="494"/>
      <c r="V82" s="494"/>
      <c r="W82" s="494"/>
      <c r="X82" s="495"/>
      <c r="Y82" s="495"/>
      <c r="Z82" s="495"/>
      <c r="AA82" s="495"/>
      <c r="AB82" s="495"/>
      <c r="AC82" s="495"/>
      <c r="AD82" s="496"/>
      <c r="AF82" s="53"/>
    </row>
    <row r="83" spans="1:32" ht="36" thickBot="1">
      <c r="A83" s="482" t="s">
        <v>291</v>
      </c>
      <c r="B83" s="482"/>
      <c r="C83" s="482"/>
      <c r="D83" s="482"/>
      <c r="E83" s="482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510" t="s">
        <v>37</v>
      </c>
      <c r="B84" s="511"/>
      <c r="C84" s="511" t="s">
        <v>53</v>
      </c>
      <c r="D84" s="511"/>
      <c r="E84" s="511" t="s">
        <v>54</v>
      </c>
      <c r="F84" s="511"/>
      <c r="G84" s="511"/>
      <c r="H84" s="511"/>
      <c r="I84" s="511"/>
      <c r="J84" s="511"/>
      <c r="K84" s="511" t="s">
        <v>55</v>
      </c>
      <c r="L84" s="511"/>
      <c r="M84" s="511"/>
      <c r="N84" s="511"/>
      <c r="O84" s="511"/>
      <c r="P84" s="511"/>
      <c r="Q84" s="511"/>
      <c r="R84" s="511"/>
      <c r="S84" s="511"/>
      <c r="T84" s="511" t="s">
        <v>56</v>
      </c>
      <c r="U84" s="511"/>
      <c r="V84" s="511" t="s">
        <v>57</v>
      </c>
      <c r="W84" s="511"/>
      <c r="X84" s="511"/>
      <c r="Y84" s="511" t="s">
        <v>52</v>
      </c>
      <c r="Z84" s="511"/>
      <c r="AA84" s="511"/>
      <c r="AB84" s="511"/>
      <c r="AC84" s="511"/>
      <c r="AD84" s="512"/>
      <c r="AF84" s="53"/>
    </row>
    <row r="85" spans="1:32" ht="30.75" customHeight="1">
      <c r="A85" s="513">
        <v>1</v>
      </c>
      <c r="B85" s="514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>
      <c r="A86" s="489">
        <v>2</v>
      </c>
      <c r="B86" s="490"/>
      <c r="C86" s="515"/>
      <c r="D86" s="515"/>
      <c r="E86" s="515"/>
      <c r="F86" s="515"/>
      <c r="G86" s="515"/>
      <c r="H86" s="515"/>
      <c r="I86" s="515"/>
      <c r="J86" s="515"/>
      <c r="K86" s="515"/>
      <c r="L86" s="515"/>
      <c r="M86" s="515"/>
      <c r="N86" s="515"/>
      <c r="O86" s="515"/>
      <c r="P86" s="515"/>
      <c r="Q86" s="515"/>
      <c r="R86" s="515"/>
      <c r="S86" s="515"/>
      <c r="T86" s="515"/>
      <c r="U86" s="515"/>
      <c r="V86" s="516"/>
      <c r="W86" s="516"/>
      <c r="X86" s="516"/>
      <c r="Y86" s="517"/>
      <c r="Z86" s="517"/>
      <c r="AA86" s="517"/>
      <c r="AB86" s="517"/>
      <c r="AC86" s="517"/>
      <c r="AD86" s="518"/>
      <c r="AF86" s="53"/>
    </row>
    <row r="87" spans="1:32" ht="30.75" customHeight="1" thickBot="1">
      <c r="A87" s="519">
        <v>3</v>
      </c>
      <c r="B87" s="520"/>
      <c r="C87" s="520"/>
      <c r="D87" s="520"/>
      <c r="E87" s="520"/>
      <c r="F87" s="520"/>
      <c r="G87" s="520"/>
      <c r="H87" s="520"/>
      <c r="I87" s="520"/>
      <c r="J87" s="520"/>
      <c r="K87" s="520"/>
      <c r="L87" s="520"/>
      <c r="M87" s="520"/>
      <c r="N87" s="520"/>
      <c r="O87" s="520"/>
      <c r="P87" s="520"/>
      <c r="Q87" s="520"/>
      <c r="R87" s="520"/>
      <c r="S87" s="520"/>
      <c r="T87" s="520"/>
      <c r="U87" s="520"/>
      <c r="V87" s="520"/>
      <c r="W87" s="520"/>
      <c r="X87" s="520"/>
      <c r="Y87" s="521"/>
      <c r="Z87" s="521"/>
      <c r="AA87" s="521"/>
      <c r="AB87" s="521"/>
      <c r="AC87" s="521"/>
      <c r="AD87" s="522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28" zoomScale="72" zoomScaleNormal="72" zoomScaleSheetLayoutView="70" workbookViewId="0">
      <selection activeCell="F79" sqref="F79:J7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292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174" t="s">
        <v>17</v>
      </c>
      <c r="L5" s="174" t="s">
        <v>18</v>
      </c>
      <c r="M5" s="174" t="s">
        <v>19</v>
      </c>
      <c r="N5" s="17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0.38516051454298222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127</v>
      </c>
      <c r="D7" s="55" t="s">
        <v>178</v>
      </c>
      <c r="E7" s="56" t="s">
        <v>179</v>
      </c>
      <c r="F7" s="12" t="s">
        <v>180</v>
      </c>
      <c r="G7" s="36">
        <v>2</v>
      </c>
      <c r="H7" s="38">
        <v>25</v>
      </c>
      <c r="I7" s="7">
        <v>40000</v>
      </c>
      <c r="J7" s="14">
        <v>3050</v>
      </c>
      <c r="K7" s="15">
        <f>L7+7596+10920+10616+10866</f>
        <v>43046</v>
      </c>
      <c r="L7" s="15">
        <f>1524*2</f>
        <v>3048</v>
      </c>
      <c r="M7" s="16">
        <f t="shared" si="0"/>
        <v>3048</v>
      </c>
      <c r="N7" s="16">
        <v>0</v>
      </c>
      <c r="O7" s="62">
        <f t="shared" si="1"/>
        <v>0</v>
      </c>
      <c r="P7" s="42">
        <f t="shared" si="2"/>
        <v>9</v>
      </c>
      <c r="Q7" s="43">
        <f t="shared" si="3"/>
        <v>15</v>
      </c>
      <c r="R7" s="7"/>
      <c r="S7" s="6"/>
      <c r="T7" s="17"/>
      <c r="U7" s="17"/>
      <c r="V7" s="18"/>
      <c r="W7" s="19">
        <v>15</v>
      </c>
      <c r="X7" s="17"/>
      <c r="Y7" s="20"/>
      <c r="Z7" s="20"/>
      <c r="AA7" s="21"/>
      <c r="AB7" s="8">
        <f t="shared" si="4"/>
        <v>0.999344262295082</v>
      </c>
      <c r="AC7" s="9">
        <f t="shared" si="5"/>
        <v>0.375</v>
      </c>
      <c r="AD7" s="10">
        <f t="shared" si="6"/>
        <v>0.37475409836065576</v>
      </c>
      <c r="AE7" s="39">
        <f t="shared" si="7"/>
        <v>0.38516051454298222</v>
      </c>
      <c r="AF7" s="94">
        <f>A7</f>
        <v>2</v>
      </c>
    </row>
    <row r="8" spans="1:32" ht="27" customHeight="1">
      <c r="A8" s="109">
        <v>3</v>
      </c>
      <c r="B8" s="11" t="s">
        <v>293</v>
      </c>
      <c r="C8" s="11" t="s">
        <v>127</v>
      </c>
      <c r="D8" s="55" t="s">
        <v>123</v>
      </c>
      <c r="E8" s="57" t="s">
        <v>164</v>
      </c>
      <c r="F8" s="12" t="s">
        <v>128</v>
      </c>
      <c r="G8" s="36">
        <v>1</v>
      </c>
      <c r="H8" s="38">
        <v>25</v>
      </c>
      <c r="I8" s="7">
        <v>30000</v>
      </c>
      <c r="J8" s="14">
        <v>5720</v>
      </c>
      <c r="K8" s="15">
        <f>L8+3518+5719</f>
        <v>14901</v>
      </c>
      <c r="L8" s="15">
        <f>2727+2937</f>
        <v>5664</v>
      </c>
      <c r="M8" s="16">
        <f t="shared" si="0"/>
        <v>5664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0.99020979020979016</v>
      </c>
      <c r="AC8" s="9">
        <f t="shared" si="5"/>
        <v>1</v>
      </c>
      <c r="AD8" s="10">
        <f t="shared" si="6"/>
        <v>0.99020979020979016</v>
      </c>
      <c r="AE8" s="39">
        <f t="shared" si="7"/>
        <v>0.38516051454298222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58</v>
      </c>
      <c r="E9" s="57" t="s">
        <v>133</v>
      </c>
      <c r="F9" s="12" t="s">
        <v>126</v>
      </c>
      <c r="G9" s="12">
        <v>1</v>
      </c>
      <c r="H9" s="13">
        <v>25</v>
      </c>
      <c r="I9" s="34">
        <v>27000</v>
      </c>
      <c r="J9" s="5">
        <v>3860</v>
      </c>
      <c r="K9" s="15">
        <f>L9+3312+5792+3396+5312+712+2220+3674</f>
        <v>28273</v>
      </c>
      <c r="L9" s="15">
        <f>1198+2657</f>
        <v>3855</v>
      </c>
      <c r="M9" s="16">
        <f t="shared" si="0"/>
        <v>3855</v>
      </c>
      <c r="N9" s="16">
        <v>0</v>
      </c>
      <c r="O9" s="62">
        <f t="shared" si="1"/>
        <v>0</v>
      </c>
      <c r="P9" s="42">
        <f t="shared" si="2"/>
        <v>20</v>
      </c>
      <c r="Q9" s="43">
        <f t="shared" si="3"/>
        <v>4</v>
      </c>
      <c r="R9" s="7"/>
      <c r="S9" s="6">
        <v>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0.99870466321243523</v>
      </c>
      <c r="AC9" s="9">
        <f t="shared" si="5"/>
        <v>0.83333333333333337</v>
      </c>
      <c r="AD9" s="10">
        <f t="shared" si="6"/>
        <v>0.83225388601036276</v>
      </c>
      <c r="AE9" s="39">
        <f t="shared" si="7"/>
        <v>0.38516051454298222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127</v>
      </c>
      <c r="D10" s="55" t="s">
        <v>58</v>
      </c>
      <c r="E10" s="57" t="s">
        <v>192</v>
      </c>
      <c r="F10" s="12" t="s">
        <v>193</v>
      </c>
      <c r="G10" s="12">
        <v>1</v>
      </c>
      <c r="H10" s="13">
        <v>25</v>
      </c>
      <c r="I10" s="34">
        <v>7000</v>
      </c>
      <c r="J10" s="14">
        <v>2690</v>
      </c>
      <c r="K10" s="15">
        <f>L10+2683</f>
        <v>2683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0.38516051454298222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294</v>
      </c>
      <c r="F11" s="12" t="s">
        <v>136</v>
      </c>
      <c r="G11" s="12">
        <v>1</v>
      </c>
      <c r="H11" s="13">
        <v>25</v>
      </c>
      <c r="I11" s="34">
        <v>12000</v>
      </c>
      <c r="J11" s="14">
        <v>10890</v>
      </c>
      <c r="K11" s="15">
        <f>L11</f>
        <v>10884</v>
      </c>
      <c r="L11" s="15">
        <f>3177*2+2265*2</f>
        <v>10884</v>
      </c>
      <c r="M11" s="16">
        <f t="shared" si="0"/>
        <v>10884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0.99944903581267219</v>
      </c>
      <c r="AC11" s="9">
        <f t="shared" si="5"/>
        <v>1</v>
      </c>
      <c r="AD11" s="10">
        <f t="shared" si="6"/>
        <v>0.99944903581267219</v>
      </c>
      <c r="AE11" s="39">
        <f t="shared" si="7"/>
        <v>0.38516051454298222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127</v>
      </c>
      <c r="D12" s="55" t="s">
        <v>123</v>
      </c>
      <c r="E12" s="57" t="s">
        <v>177</v>
      </c>
      <c r="F12" s="12" t="s">
        <v>173</v>
      </c>
      <c r="G12" s="12">
        <v>1</v>
      </c>
      <c r="H12" s="13">
        <v>25</v>
      </c>
      <c r="I12" s="34">
        <v>7000</v>
      </c>
      <c r="J12" s="5">
        <v>850</v>
      </c>
      <c r="K12" s="15">
        <f>L12+3669+4594+846</f>
        <v>9109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0.38516051454298222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262</v>
      </c>
      <c r="E13" s="57" t="s">
        <v>263</v>
      </c>
      <c r="F13" s="12" t="s">
        <v>230</v>
      </c>
      <c r="G13" s="12">
        <v>1</v>
      </c>
      <c r="H13" s="13">
        <v>25</v>
      </c>
      <c r="I13" s="7">
        <v>200</v>
      </c>
      <c r="J13" s="14">
        <v>221</v>
      </c>
      <c r="K13" s="15">
        <f>L13+221</f>
        <v>221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0.38516051454298222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127</v>
      </c>
      <c r="D14" s="55" t="s">
        <v>145</v>
      </c>
      <c r="E14" s="57" t="s">
        <v>150</v>
      </c>
      <c r="F14" s="33" t="s">
        <v>147</v>
      </c>
      <c r="G14" s="36">
        <v>1</v>
      </c>
      <c r="H14" s="38">
        <v>25</v>
      </c>
      <c r="I14" s="7">
        <v>10000</v>
      </c>
      <c r="J14" s="5">
        <v>4790</v>
      </c>
      <c r="K14" s="15">
        <f>L14+2472+5133+4788</f>
        <v>12393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0.38516051454298222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122</v>
      </c>
      <c r="D15" s="55" t="s">
        <v>143</v>
      </c>
      <c r="E15" s="57" t="s">
        <v>151</v>
      </c>
      <c r="F15" s="12">
        <v>8301</v>
      </c>
      <c r="G15" s="12">
        <v>1</v>
      </c>
      <c r="H15" s="13">
        <v>25</v>
      </c>
      <c r="I15" s="34">
        <v>2500</v>
      </c>
      <c r="J15" s="5">
        <v>3980</v>
      </c>
      <c r="K15" s="15">
        <f>L15+2138+3980</f>
        <v>6118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0.38516051454298222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127</v>
      </c>
      <c r="D16" s="55" t="s">
        <v>144</v>
      </c>
      <c r="E16" s="57" t="s">
        <v>153</v>
      </c>
      <c r="F16" s="12">
        <v>7301</v>
      </c>
      <c r="G16" s="36">
        <v>1</v>
      </c>
      <c r="H16" s="38">
        <v>25</v>
      </c>
      <c r="I16" s="7">
        <v>30000</v>
      </c>
      <c r="J16" s="14">
        <v>5610</v>
      </c>
      <c r="K16" s="15">
        <f>L16+2878+5819+5765+4332+5828+4680+5824+5603</f>
        <v>40729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0.38516051454298222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127</v>
      </c>
      <c r="D17" s="55" t="s">
        <v>171</v>
      </c>
      <c r="E17" s="56" t="s">
        <v>174</v>
      </c>
      <c r="F17" s="12" t="s">
        <v>136</v>
      </c>
      <c r="G17" s="12">
        <v>1</v>
      </c>
      <c r="H17" s="13">
        <v>25</v>
      </c>
      <c r="I17" s="34">
        <v>7000</v>
      </c>
      <c r="J17" s="5">
        <v>4740</v>
      </c>
      <c r="K17" s="15">
        <f>L17+5195+4740</f>
        <v>9935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0.38516051454298222</v>
      </c>
      <c r="AF17" s="94">
        <f t="shared" si="8"/>
        <v>12</v>
      </c>
    </row>
    <row r="18" spans="1:32" ht="27" customHeight="1">
      <c r="A18" s="110">
        <v>13</v>
      </c>
      <c r="B18" s="11" t="s">
        <v>293</v>
      </c>
      <c r="C18" s="37" t="s">
        <v>127</v>
      </c>
      <c r="D18" s="55" t="s">
        <v>58</v>
      </c>
      <c r="E18" s="57" t="s">
        <v>155</v>
      </c>
      <c r="F18" s="12" t="s">
        <v>156</v>
      </c>
      <c r="G18" s="12">
        <v>1</v>
      </c>
      <c r="H18" s="13">
        <v>25</v>
      </c>
      <c r="I18" s="34">
        <v>30000</v>
      </c>
      <c r="J18" s="5">
        <v>4640</v>
      </c>
      <c r="K18" s="15">
        <f>L18+3759</f>
        <v>8391</v>
      </c>
      <c r="L18" s="15">
        <f>1968+2664</f>
        <v>4632</v>
      </c>
      <c r="M18" s="16">
        <f t="shared" si="0"/>
        <v>4632</v>
      </c>
      <c r="N18" s="16">
        <v>0</v>
      </c>
      <c r="O18" s="62">
        <f t="shared" si="1"/>
        <v>0</v>
      </c>
      <c r="P18" s="42">
        <f t="shared" si="2"/>
        <v>22</v>
      </c>
      <c r="Q18" s="43">
        <f t="shared" si="3"/>
        <v>2</v>
      </c>
      <c r="R18" s="7"/>
      <c r="S18" s="6">
        <v>2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0.99827586206896557</v>
      </c>
      <c r="AC18" s="9">
        <f t="shared" si="5"/>
        <v>0.91666666666666663</v>
      </c>
      <c r="AD18" s="10">
        <f t="shared" si="6"/>
        <v>0.91508620689655173</v>
      </c>
      <c r="AE18" s="39">
        <f t="shared" si="7"/>
        <v>0.38516051454298222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254</v>
      </c>
      <c r="D19" s="55" t="s">
        <v>250</v>
      </c>
      <c r="E19" s="57" t="s">
        <v>266</v>
      </c>
      <c r="F19" s="33" t="s">
        <v>267</v>
      </c>
      <c r="G19" s="36">
        <v>2</v>
      </c>
      <c r="H19" s="38">
        <v>25</v>
      </c>
      <c r="I19" s="34">
        <v>12000</v>
      </c>
      <c r="J19" s="5">
        <v>6000</v>
      </c>
      <c r="K19" s="15">
        <f>L19+7278</f>
        <v>13270</v>
      </c>
      <c r="L19" s="15">
        <f>2444*2+552*2</f>
        <v>5992</v>
      </c>
      <c r="M19" s="16">
        <f t="shared" si="0"/>
        <v>5992</v>
      </c>
      <c r="N19" s="16">
        <v>0</v>
      </c>
      <c r="O19" s="62">
        <f t="shared" si="1"/>
        <v>0</v>
      </c>
      <c r="P19" s="42">
        <f t="shared" si="2"/>
        <v>16</v>
      </c>
      <c r="Q19" s="43">
        <f t="shared" si="3"/>
        <v>8</v>
      </c>
      <c r="R19" s="7"/>
      <c r="S19" s="6"/>
      <c r="T19" s="17"/>
      <c r="U19" s="17"/>
      <c r="V19" s="18"/>
      <c r="W19" s="19">
        <v>8</v>
      </c>
      <c r="X19" s="17"/>
      <c r="Y19" s="20"/>
      <c r="Z19" s="20"/>
      <c r="AA19" s="21"/>
      <c r="AB19" s="8">
        <f t="shared" si="4"/>
        <v>0.9986666666666667</v>
      </c>
      <c r="AC19" s="9">
        <f t="shared" si="5"/>
        <v>0.66666666666666663</v>
      </c>
      <c r="AD19" s="10">
        <f t="shared" si="6"/>
        <v>0.6657777777777778</v>
      </c>
      <c r="AE19" s="39">
        <f t="shared" si="7"/>
        <v>0.38516051454298222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268</v>
      </c>
      <c r="F20" s="12" t="s">
        <v>120</v>
      </c>
      <c r="G20" s="12">
        <v>4</v>
      </c>
      <c r="H20" s="38">
        <v>20</v>
      </c>
      <c r="I20" s="7">
        <v>100000</v>
      </c>
      <c r="J20" s="14">
        <v>48750</v>
      </c>
      <c r="K20" s="15">
        <f>L20+35332</f>
        <v>84076</v>
      </c>
      <c r="L20" s="15">
        <f>6003*4+6183*4</f>
        <v>48744</v>
      </c>
      <c r="M20" s="16">
        <f t="shared" si="0"/>
        <v>48744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0.99987692307692311</v>
      </c>
      <c r="AC20" s="9">
        <f t="shared" si="5"/>
        <v>1</v>
      </c>
      <c r="AD20" s="10">
        <f t="shared" si="6"/>
        <v>0.99987692307692311</v>
      </c>
      <c r="AE20" s="39">
        <f t="shared" si="7"/>
        <v>0.38516051454298222</v>
      </c>
      <c r="AF20" s="94">
        <f t="shared" si="8"/>
        <v>15</v>
      </c>
    </row>
    <row r="21" spans="1:32" ht="31.5" customHeight="1" thickBot="1">
      <c r="A21" s="430" t="s">
        <v>34</v>
      </c>
      <c r="B21" s="431"/>
      <c r="C21" s="431"/>
      <c r="D21" s="431"/>
      <c r="E21" s="431"/>
      <c r="F21" s="431"/>
      <c r="G21" s="431"/>
      <c r="H21" s="432"/>
      <c r="I21" s="25">
        <f t="shared" ref="I21:N21" si="10">SUM(I6:I20)</f>
        <v>318700</v>
      </c>
      <c r="J21" s="22">
        <f t="shared" si="10"/>
        <v>111931</v>
      </c>
      <c r="K21" s="23">
        <f t="shared" si="10"/>
        <v>290163</v>
      </c>
      <c r="L21" s="24">
        <f t="shared" si="10"/>
        <v>82819</v>
      </c>
      <c r="M21" s="23">
        <f t="shared" si="10"/>
        <v>82819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139</v>
      </c>
      <c r="Q21" s="46">
        <f t="shared" si="11"/>
        <v>221</v>
      </c>
      <c r="R21" s="26">
        <f t="shared" si="11"/>
        <v>0</v>
      </c>
      <c r="S21" s="27">
        <f t="shared" si="11"/>
        <v>6</v>
      </c>
      <c r="T21" s="27">
        <f t="shared" si="11"/>
        <v>0</v>
      </c>
      <c r="U21" s="27">
        <f t="shared" si="11"/>
        <v>0</v>
      </c>
      <c r="V21" s="28">
        <f t="shared" si="11"/>
        <v>0</v>
      </c>
      <c r="W21" s="29">
        <f t="shared" si="11"/>
        <v>215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0.4656351468895023</v>
      </c>
      <c r="AC21" s="4">
        <f>SUM(AC6:AC20)/15</f>
        <v>0.38611111111111113</v>
      </c>
      <c r="AD21" s="4">
        <f>SUM(AD6:AD20)/15</f>
        <v>0.38516051454298222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33" t="s">
        <v>46</v>
      </c>
      <c r="B48" s="433"/>
      <c r="C48" s="433"/>
      <c r="D48" s="433"/>
      <c r="E48" s="43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4" t="s">
        <v>295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6"/>
      <c r="N49" s="437" t="s">
        <v>299</v>
      </c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9"/>
    </row>
    <row r="50" spans="1:32" ht="27" customHeight="1">
      <c r="A50" s="440" t="s">
        <v>2</v>
      </c>
      <c r="B50" s="441"/>
      <c r="C50" s="173" t="s">
        <v>47</v>
      </c>
      <c r="D50" s="173" t="s">
        <v>48</v>
      </c>
      <c r="E50" s="173" t="s">
        <v>113</v>
      </c>
      <c r="F50" s="441" t="s">
        <v>112</v>
      </c>
      <c r="G50" s="441"/>
      <c r="H50" s="441"/>
      <c r="I50" s="441"/>
      <c r="J50" s="441"/>
      <c r="K50" s="441"/>
      <c r="L50" s="441"/>
      <c r="M50" s="442"/>
      <c r="N50" s="73" t="s">
        <v>117</v>
      </c>
      <c r="O50" s="173" t="s">
        <v>47</v>
      </c>
      <c r="P50" s="443" t="s">
        <v>48</v>
      </c>
      <c r="Q50" s="444"/>
      <c r="R50" s="443" t="s">
        <v>39</v>
      </c>
      <c r="S50" s="445"/>
      <c r="T50" s="445"/>
      <c r="U50" s="444"/>
      <c r="V50" s="443" t="s">
        <v>49</v>
      </c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57" t="s">
        <v>127</v>
      </c>
      <c r="B51" s="458"/>
      <c r="C51" s="172" t="s">
        <v>142</v>
      </c>
      <c r="D51" s="169" t="s">
        <v>58</v>
      </c>
      <c r="E51" s="172" t="s">
        <v>155</v>
      </c>
      <c r="F51" s="459" t="s">
        <v>270</v>
      </c>
      <c r="G51" s="459"/>
      <c r="H51" s="459"/>
      <c r="I51" s="459"/>
      <c r="J51" s="459"/>
      <c r="K51" s="459"/>
      <c r="L51" s="459"/>
      <c r="M51" s="460"/>
      <c r="N51" s="168" t="s">
        <v>254</v>
      </c>
      <c r="O51" s="74" t="s">
        <v>139</v>
      </c>
      <c r="P51" s="461" t="s">
        <v>300</v>
      </c>
      <c r="Q51" s="462"/>
      <c r="R51" s="463" t="s">
        <v>301</v>
      </c>
      <c r="S51" s="463"/>
      <c r="T51" s="463"/>
      <c r="U51" s="463"/>
      <c r="V51" s="459" t="s">
        <v>251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57" t="s">
        <v>122</v>
      </c>
      <c r="B52" s="458"/>
      <c r="C52" s="172" t="s">
        <v>132</v>
      </c>
      <c r="D52" s="169" t="s">
        <v>58</v>
      </c>
      <c r="E52" s="172" t="s">
        <v>133</v>
      </c>
      <c r="F52" s="459" t="s">
        <v>296</v>
      </c>
      <c r="G52" s="459"/>
      <c r="H52" s="459"/>
      <c r="I52" s="459"/>
      <c r="J52" s="459"/>
      <c r="K52" s="459"/>
      <c r="L52" s="459"/>
      <c r="M52" s="460"/>
      <c r="N52" s="168"/>
      <c r="O52" s="74"/>
      <c r="P52" s="461"/>
      <c r="Q52" s="462"/>
      <c r="R52" s="463"/>
      <c r="S52" s="463"/>
      <c r="T52" s="463"/>
      <c r="U52" s="463"/>
      <c r="V52" s="459"/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57" t="s">
        <v>278</v>
      </c>
      <c r="B53" s="458"/>
      <c r="C53" s="172" t="s">
        <v>297</v>
      </c>
      <c r="D53" s="169" t="s">
        <v>298</v>
      </c>
      <c r="E53" s="172" t="s">
        <v>294</v>
      </c>
      <c r="F53" s="459" t="s">
        <v>243</v>
      </c>
      <c r="G53" s="459"/>
      <c r="H53" s="459"/>
      <c r="I53" s="459"/>
      <c r="J53" s="459"/>
      <c r="K53" s="459"/>
      <c r="L53" s="459"/>
      <c r="M53" s="460"/>
      <c r="N53" s="168"/>
      <c r="O53" s="74"/>
      <c r="P53" s="461"/>
      <c r="Q53" s="462"/>
      <c r="R53" s="463"/>
      <c r="S53" s="463"/>
      <c r="T53" s="463"/>
      <c r="U53" s="463"/>
      <c r="V53" s="459"/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/>
      <c r="B54" s="458"/>
      <c r="C54" s="172"/>
      <c r="D54" s="169"/>
      <c r="E54" s="172"/>
      <c r="F54" s="459"/>
      <c r="G54" s="459"/>
      <c r="H54" s="459"/>
      <c r="I54" s="459"/>
      <c r="J54" s="459"/>
      <c r="K54" s="459"/>
      <c r="L54" s="459"/>
      <c r="M54" s="460"/>
      <c r="N54" s="168"/>
      <c r="O54" s="74"/>
      <c r="P54" s="461"/>
      <c r="Q54" s="462"/>
      <c r="R54" s="463"/>
      <c r="S54" s="463"/>
      <c r="T54" s="463"/>
      <c r="U54" s="463"/>
      <c r="V54" s="459"/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57"/>
      <c r="B55" s="458"/>
      <c r="C55" s="172"/>
      <c r="D55" s="169"/>
      <c r="E55" s="172"/>
      <c r="F55" s="459"/>
      <c r="G55" s="459"/>
      <c r="H55" s="459"/>
      <c r="I55" s="459"/>
      <c r="J55" s="459"/>
      <c r="K55" s="459"/>
      <c r="L55" s="459"/>
      <c r="M55" s="460"/>
      <c r="N55" s="168"/>
      <c r="O55" s="74"/>
      <c r="P55" s="461"/>
      <c r="Q55" s="462"/>
      <c r="R55" s="463"/>
      <c r="S55" s="463"/>
      <c r="T55" s="463"/>
      <c r="U55" s="463"/>
      <c r="V55" s="459"/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/>
      <c r="B56" s="463"/>
      <c r="C56" s="169"/>
      <c r="D56" s="169"/>
      <c r="E56" s="172"/>
      <c r="F56" s="459"/>
      <c r="G56" s="459"/>
      <c r="H56" s="459"/>
      <c r="I56" s="459"/>
      <c r="J56" s="459"/>
      <c r="K56" s="459"/>
      <c r="L56" s="459"/>
      <c r="M56" s="460"/>
      <c r="N56" s="168"/>
      <c r="O56" s="74"/>
      <c r="P56" s="463"/>
      <c r="Q56" s="463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169"/>
      <c r="D57" s="169"/>
      <c r="E57" s="172"/>
      <c r="F57" s="459"/>
      <c r="G57" s="459"/>
      <c r="H57" s="459"/>
      <c r="I57" s="459"/>
      <c r="J57" s="459"/>
      <c r="K57" s="459"/>
      <c r="L57" s="459"/>
      <c r="M57" s="460"/>
      <c r="N57" s="168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57"/>
      <c r="B58" s="458"/>
      <c r="C58" s="172"/>
      <c r="D58" s="169"/>
      <c r="E58" s="172"/>
      <c r="F58" s="459"/>
      <c r="G58" s="459"/>
      <c r="H58" s="459"/>
      <c r="I58" s="459"/>
      <c r="J58" s="459"/>
      <c r="K58" s="459"/>
      <c r="L58" s="459"/>
      <c r="M58" s="460"/>
      <c r="N58" s="168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169"/>
      <c r="D59" s="169"/>
      <c r="E59" s="169"/>
      <c r="F59" s="459"/>
      <c r="G59" s="459"/>
      <c r="H59" s="459"/>
      <c r="I59" s="459"/>
      <c r="J59" s="459"/>
      <c r="K59" s="459"/>
      <c r="L59" s="459"/>
      <c r="M59" s="460"/>
      <c r="N59" s="168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  <c r="AF59" s="94">
        <f>8*3000</f>
        <v>24000</v>
      </c>
    </row>
    <row r="60" spans="1:32" ht="27" customHeight="1" thickBot="1">
      <c r="A60" s="465"/>
      <c r="B60" s="466"/>
      <c r="C60" s="171"/>
      <c r="D60" s="171"/>
      <c r="E60" s="171"/>
      <c r="F60" s="467"/>
      <c r="G60" s="467"/>
      <c r="H60" s="467"/>
      <c r="I60" s="467"/>
      <c r="J60" s="467"/>
      <c r="K60" s="467"/>
      <c r="L60" s="467"/>
      <c r="M60" s="468"/>
      <c r="N60" s="170"/>
      <c r="O60" s="121"/>
      <c r="P60" s="466"/>
      <c r="Q60" s="466"/>
      <c r="R60" s="466"/>
      <c r="S60" s="466"/>
      <c r="T60" s="466"/>
      <c r="U60" s="466"/>
      <c r="V60" s="467"/>
      <c r="W60" s="467"/>
      <c r="X60" s="467"/>
      <c r="Y60" s="467"/>
      <c r="Z60" s="467"/>
      <c r="AA60" s="467"/>
      <c r="AB60" s="467"/>
      <c r="AC60" s="467"/>
      <c r="AD60" s="468"/>
      <c r="AF60" s="94">
        <f>16*3000</f>
        <v>48000</v>
      </c>
    </row>
    <row r="61" spans="1:32" ht="27.75" thickBot="1">
      <c r="A61" s="469" t="s">
        <v>302</v>
      </c>
      <c r="B61" s="469"/>
      <c r="C61" s="469"/>
      <c r="D61" s="469"/>
      <c r="E61" s="469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70" t="s">
        <v>118</v>
      </c>
      <c r="B62" s="471"/>
      <c r="C62" s="167" t="s">
        <v>2</v>
      </c>
      <c r="D62" s="167" t="s">
        <v>38</v>
      </c>
      <c r="E62" s="167" t="s">
        <v>3</v>
      </c>
      <c r="F62" s="471" t="s">
        <v>115</v>
      </c>
      <c r="G62" s="471"/>
      <c r="H62" s="471"/>
      <c r="I62" s="471"/>
      <c r="J62" s="471"/>
      <c r="K62" s="471" t="s">
        <v>40</v>
      </c>
      <c r="L62" s="471"/>
      <c r="M62" s="167" t="s">
        <v>41</v>
      </c>
      <c r="N62" s="471" t="s">
        <v>42</v>
      </c>
      <c r="O62" s="471"/>
      <c r="P62" s="472" t="s">
        <v>43</v>
      </c>
      <c r="Q62" s="473"/>
      <c r="R62" s="472" t="s">
        <v>44</v>
      </c>
      <c r="S62" s="474"/>
      <c r="T62" s="474"/>
      <c r="U62" s="474"/>
      <c r="V62" s="474"/>
      <c r="W62" s="474"/>
      <c r="X62" s="474"/>
      <c r="Y62" s="474"/>
      <c r="Z62" s="474"/>
      <c r="AA62" s="473"/>
      <c r="AB62" s="471" t="s">
        <v>45</v>
      </c>
      <c r="AC62" s="471"/>
      <c r="AD62" s="475"/>
      <c r="AF62" s="94">
        <f>SUM(AF59:AF61)</f>
        <v>96000</v>
      </c>
    </row>
    <row r="63" spans="1:32" ht="25.5" customHeight="1">
      <c r="A63" s="476">
        <v>1</v>
      </c>
      <c r="B63" s="477"/>
      <c r="C63" s="133" t="s">
        <v>62</v>
      </c>
      <c r="D63" s="163"/>
      <c r="E63" s="165" t="s">
        <v>303</v>
      </c>
      <c r="F63" s="478" t="s">
        <v>307</v>
      </c>
      <c r="G63" s="479"/>
      <c r="H63" s="479"/>
      <c r="I63" s="479"/>
      <c r="J63" s="479"/>
      <c r="K63" s="479" t="s">
        <v>305</v>
      </c>
      <c r="L63" s="479"/>
      <c r="M63" s="54" t="s">
        <v>306</v>
      </c>
      <c r="N63" s="479">
        <v>8</v>
      </c>
      <c r="O63" s="479"/>
      <c r="P63" s="480">
        <v>50</v>
      </c>
      <c r="Q63" s="480"/>
      <c r="R63" s="459"/>
      <c r="S63" s="459"/>
      <c r="T63" s="459"/>
      <c r="U63" s="459"/>
      <c r="V63" s="459"/>
      <c r="W63" s="459"/>
      <c r="X63" s="459"/>
      <c r="Y63" s="459"/>
      <c r="Z63" s="459"/>
      <c r="AA63" s="459"/>
      <c r="AB63" s="479"/>
      <c r="AC63" s="479"/>
      <c r="AD63" s="481"/>
      <c r="AF63" s="53"/>
    </row>
    <row r="64" spans="1:32" ht="25.5" customHeight="1">
      <c r="A64" s="476">
        <v>2</v>
      </c>
      <c r="B64" s="477"/>
      <c r="C64" s="133" t="s">
        <v>62</v>
      </c>
      <c r="D64" s="163"/>
      <c r="E64" s="165" t="s">
        <v>304</v>
      </c>
      <c r="F64" s="478" t="s">
        <v>308</v>
      </c>
      <c r="G64" s="479"/>
      <c r="H64" s="479"/>
      <c r="I64" s="479"/>
      <c r="J64" s="479"/>
      <c r="K64" s="479" t="s">
        <v>305</v>
      </c>
      <c r="L64" s="479"/>
      <c r="M64" s="54" t="s">
        <v>306</v>
      </c>
      <c r="N64" s="479">
        <v>8</v>
      </c>
      <c r="O64" s="479"/>
      <c r="P64" s="480">
        <v>50</v>
      </c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</row>
    <row r="65" spans="1:32" ht="25.5" customHeight="1">
      <c r="A65" s="476">
        <v>3</v>
      </c>
      <c r="B65" s="477"/>
      <c r="C65" s="133"/>
      <c r="D65" s="163"/>
      <c r="E65" s="165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4</v>
      </c>
      <c r="B66" s="477"/>
      <c r="C66" s="133"/>
      <c r="D66" s="163"/>
      <c r="E66" s="165"/>
      <c r="F66" s="479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5</v>
      </c>
      <c r="B67" s="477"/>
      <c r="C67" s="133"/>
      <c r="D67" s="163"/>
      <c r="E67" s="165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6</v>
      </c>
      <c r="B68" s="477"/>
      <c r="C68" s="133"/>
      <c r="D68" s="163"/>
      <c r="E68" s="165"/>
      <c r="F68" s="478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7</v>
      </c>
      <c r="B69" s="477"/>
      <c r="C69" s="133"/>
      <c r="D69" s="163"/>
      <c r="E69" s="165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8</v>
      </c>
      <c r="B70" s="477"/>
      <c r="C70" s="133"/>
      <c r="D70" s="163"/>
      <c r="E70" s="165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6.25" customHeight="1" thickBot="1">
      <c r="A71" s="482" t="s">
        <v>309</v>
      </c>
      <c r="B71" s="482"/>
      <c r="C71" s="482"/>
      <c r="D71" s="482"/>
      <c r="E71" s="48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83" t="s">
        <v>118</v>
      </c>
      <c r="B72" s="484"/>
      <c r="C72" s="166" t="s">
        <v>2</v>
      </c>
      <c r="D72" s="166" t="s">
        <v>38</v>
      </c>
      <c r="E72" s="166" t="s">
        <v>3</v>
      </c>
      <c r="F72" s="484" t="s">
        <v>39</v>
      </c>
      <c r="G72" s="484"/>
      <c r="H72" s="484"/>
      <c r="I72" s="484"/>
      <c r="J72" s="484"/>
      <c r="K72" s="485" t="s">
        <v>60</v>
      </c>
      <c r="L72" s="486"/>
      <c r="M72" s="486"/>
      <c r="N72" s="486"/>
      <c r="O72" s="486"/>
      <c r="P72" s="486"/>
      <c r="Q72" s="486"/>
      <c r="R72" s="486"/>
      <c r="S72" s="487"/>
      <c r="T72" s="484" t="s">
        <v>50</v>
      </c>
      <c r="U72" s="484"/>
      <c r="V72" s="485" t="s">
        <v>51</v>
      </c>
      <c r="W72" s="487"/>
      <c r="X72" s="486" t="s">
        <v>52</v>
      </c>
      <c r="Y72" s="486"/>
      <c r="Z72" s="486"/>
      <c r="AA72" s="486"/>
      <c r="AB72" s="486"/>
      <c r="AC72" s="486"/>
      <c r="AD72" s="488"/>
      <c r="AF72" s="53"/>
    </row>
    <row r="73" spans="1:32" ht="33.75" customHeight="1">
      <c r="A73" s="497">
        <v>1</v>
      </c>
      <c r="B73" s="498"/>
      <c r="C73" s="164" t="s">
        <v>62</v>
      </c>
      <c r="D73" s="164"/>
      <c r="E73" s="71" t="s">
        <v>58</v>
      </c>
      <c r="F73" s="499" t="s">
        <v>63</v>
      </c>
      <c r="G73" s="500"/>
      <c r="H73" s="500"/>
      <c r="I73" s="500"/>
      <c r="J73" s="501"/>
      <c r="K73" s="502" t="s">
        <v>61</v>
      </c>
      <c r="L73" s="503"/>
      <c r="M73" s="503"/>
      <c r="N73" s="503"/>
      <c r="O73" s="503"/>
      <c r="P73" s="503"/>
      <c r="Q73" s="503"/>
      <c r="R73" s="503"/>
      <c r="S73" s="504"/>
      <c r="T73" s="505">
        <v>41791</v>
      </c>
      <c r="U73" s="506"/>
      <c r="V73" s="507"/>
      <c r="W73" s="507"/>
      <c r="X73" s="508"/>
      <c r="Y73" s="508"/>
      <c r="Z73" s="508"/>
      <c r="AA73" s="508"/>
      <c r="AB73" s="508"/>
      <c r="AC73" s="508"/>
      <c r="AD73" s="509"/>
      <c r="AF73" s="53"/>
    </row>
    <row r="74" spans="1:32" ht="30" customHeight="1">
      <c r="A74" s="489">
        <f>A73+1</f>
        <v>2</v>
      </c>
      <c r="B74" s="490"/>
      <c r="C74" s="163" t="s">
        <v>127</v>
      </c>
      <c r="D74" s="163"/>
      <c r="E74" s="35" t="s">
        <v>121</v>
      </c>
      <c r="F74" s="490" t="s">
        <v>129</v>
      </c>
      <c r="G74" s="490"/>
      <c r="H74" s="490"/>
      <c r="I74" s="490"/>
      <c r="J74" s="490"/>
      <c r="K74" s="491" t="s">
        <v>61</v>
      </c>
      <c r="L74" s="492"/>
      <c r="M74" s="492"/>
      <c r="N74" s="492"/>
      <c r="O74" s="492"/>
      <c r="P74" s="492"/>
      <c r="Q74" s="492"/>
      <c r="R74" s="492"/>
      <c r="S74" s="493"/>
      <c r="T74" s="494">
        <v>42779</v>
      </c>
      <c r="U74" s="494"/>
      <c r="V74" s="494"/>
      <c r="W74" s="494"/>
      <c r="X74" s="495"/>
      <c r="Y74" s="495"/>
      <c r="Z74" s="495"/>
      <c r="AA74" s="495"/>
      <c r="AB74" s="495"/>
      <c r="AC74" s="495"/>
      <c r="AD74" s="496"/>
      <c r="AF74" s="53"/>
    </row>
    <row r="75" spans="1:32" ht="30" customHeight="1">
      <c r="A75" s="489">
        <f t="shared" ref="A75:A81" si="12">A74+1</f>
        <v>3</v>
      </c>
      <c r="B75" s="490"/>
      <c r="C75" s="163" t="s">
        <v>62</v>
      </c>
      <c r="D75" s="163"/>
      <c r="E75" s="35" t="s">
        <v>121</v>
      </c>
      <c r="F75" s="490" t="s">
        <v>124</v>
      </c>
      <c r="G75" s="490"/>
      <c r="H75" s="490"/>
      <c r="I75" s="490"/>
      <c r="J75" s="490"/>
      <c r="K75" s="491" t="s">
        <v>61</v>
      </c>
      <c r="L75" s="492"/>
      <c r="M75" s="492"/>
      <c r="N75" s="492"/>
      <c r="O75" s="492"/>
      <c r="P75" s="492"/>
      <c r="Q75" s="492"/>
      <c r="R75" s="492"/>
      <c r="S75" s="493"/>
      <c r="T75" s="494">
        <v>42667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si="12"/>
        <v>4</v>
      </c>
      <c r="B76" s="490"/>
      <c r="C76" s="163" t="s">
        <v>62</v>
      </c>
      <c r="D76" s="163"/>
      <c r="E76" s="35" t="s">
        <v>121</v>
      </c>
      <c r="F76" s="490" t="s">
        <v>140</v>
      </c>
      <c r="G76" s="490"/>
      <c r="H76" s="490"/>
      <c r="I76" s="490"/>
      <c r="J76" s="490"/>
      <c r="K76" s="491" t="s">
        <v>141</v>
      </c>
      <c r="L76" s="492"/>
      <c r="M76" s="492"/>
      <c r="N76" s="492"/>
      <c r="O76" s="492"/>
      <c r="P76" s="492"/>
      <c r="Q76" s="492"/>
      <c r="R76" s="492"/>
      <c r="S76" s="493"/>
      <c r="T76" s="494">
        <v>42829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12"/>
        <v>5</v>
      </c>
      <c r="B77" s="490"/>
      <c r="C77" s="163" t="s">
        <v>62</v>
      </c>
      <c r="D77" s="163"/>
      <c r="E77" s="35" t="s">
        <v>58</v>
      </c>
      <c r="F77" s="490" t="s">
        <v>125</v>
      </c>
      <c r="G77" s="490"/>
      <c r="H77" s="490"/>
      <c r="I77" s="490"/>
      <c r="J77" s="490"/>
      <c r="K77" s="491" t="s">
        <v>61</v>
      </c>
      <c r="L77" s="492"/>
      <c r="M77" s="492"/>
      <c r="N77" s="492"/>
      <c r="O77" s="492"/>
      <c r="P77" s="492"/>
      <c r="Q77" s="492"/>
      <c r="R77" s="492"/>
      <c r="S77" s="493"/>
      <c r="T77" s="494">
        <v>42667</v>
      </c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12"/>
        <v>6</v>
      </c>
      <c r="B78" s="490"/>
      <c r="C78" s="163"/>
      <c r="D78" s="163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12"/>
        <v>7</v>
      </c>
      <c r="B79" s="490"/>
      <c r="C79" s="163"/>
      <c r="D79" s="163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12"/>
        <v>8</v>
      </c>
      <c r="B80" s="490"/>
      <c r="C80" s="163"/>
      <c r="D80" s="163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12"/>
        <v>9</v>
      </c>
      <c r="B81" s="490"/>
      <c r="C81" s="163"/>
      <c r="D81" s="163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6" thickBot="1">
      <c r="A82" s="482" t="s">
        <v>310</v>
      </c>
      <c r="B82" s="482"/>
      <c r="C82" s="482"/>
      <c r="D82" s="482"/>
      <c r="E82" s="48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510" t="s">
        <v>37</v>
      </c>
      <c r="B83" s="511"/>
      <c r="C83" s="511" t="s">
        <v>53</v>
      </c>
      <c r="D83" s="511"/>
      <c r="E83" s="511" t="s">
        <v>54</v>
      </c>
      <c r="F83" s="511"/>
      <c r="G83" s="511"/>
      <c r="H83" s="511"/>
      <c r="I83" s="511"/>
      <c r="J83" s="511"/>
      <c r="K83" s="511" t="s">
        <v>55</v>
      </c>
      <c r="L83" s="511"/>
      <c r="M83" s="511"/>
      <c r="N83" s="511"/>
      <c r="O83" s="511"/>
      <c r="P83" s="511"/>
      <c r="Q83" s="511"/>
      <c r="R83" s="511"/>
      <c r="S83" s="511"/>
      <c r="T83" s="511" t="s">
        <v>56</v>
      </c>
      <c r="U83" s="511"/>
      <c r="V83" s="511" t="s">
        <v>57</v>
      </c>
      <c r="W83" s="511"/>
      <c r="X83" s="511"/>
      <c r="Y83" s="511" t="s">
        <v>52</v>
      </c>
      <c r="Z83" s="511"/>
      <c r="AA83" s="511"/>
      <c r="AB83" s="511"/>
      <c r="AC83" s="511"/>
      <c r="AD83" s="512"/>
      <c r="AF83" s="53"/>
    </row>
    <row r="84" spans="1:32" ht="30.75" customHeight="1">
      <c r="A84" s="513">
        <v>1</v>
      </c>
      <c r="B84" s="514"/>
      <c r="C84" s="515"/>
      <c r="D84" s="515"/>
      <c r="E84" s="515"/>
      <c r="F84" s="515"/>
      <c r="G84" s="515"/>
      <c r="H84" s="515"/>
      <c r="I84" s="515"/>
      <c r="J84" s="515"/>
      <c r="K84" s="515"/>
      <c r="L84" s="515"/>
      <c r="M84" s="515"/>
      <c r="N84" s="515"/>
      <c r="O84" s="515"/>
      <c r="P84" s="515"/>
      <c r="Q84" s="515"/>
      <c r="R84" s="515"/>
      <c r="S84" s="515"/>
      <c r="T84" s="515"/>
      <c r="U84" s="515"/>
      <c r="V84" s="516"/>
      <c r="W84" s="516"/>
      <c r="X84" s="516"/>
      <c r="Y84" s="517"/>
      <c r="Z84" s="517"/>
      <c r="AA84" s="517"/>
      <c r="AB84" s="517"/>
      <c r="AC84" s="517"/>
      <c r="AD84" s="518"/>
      <c r="AF84" s="53"/>
    </row>
    <row r="85" spans="1:32" ht="30.75" customHeight="1">
      <c r="A85" s="489">
        <v>2</v>
      </c>
      <c r="B85" s="490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 thickBot="1">
      <c r="A86" s="519">
        <v>3</v>
      </c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1"/>
      <c r="Z86" s="521"/>
      <c r="AA86" s="521"/>
      <c r="AB86" s="521"/>
      <c r="AC86" s="521"/>
      <c r="AD86" s="52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28"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311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175" t="s">
        <v>17</v>
      </c>
      <c r="L5" s="175" t="s">
        <v>18</v>
      </c>
      <c r="M5" s="175" t="s">
        <v>19</v>
      </c>
      <c r="N5" s="17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0.35092059028278122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127</v>
      </c>
      <c r="D7" s="55" t="s">
        <v>178</v>
      </c>
      <c r="E7" s="56" t="s">
        <v>179</v>
      </c>
      <c r="F7" s="12" t="s">
        <v>180</v>
      </c>
      <c r="G7" s="36">
        <v>2</v>
      </c>
      <c r="H7" s="38">
        <v>25</v>
      </c>
      <c r="I7" s="7">
        <v>40000</v>
      </c>
      <c r="J7" s="14">
        <v>3050</v>
      </c>
      <c r="K7" s="15">
        <f>L7+7596+10920+10616+10866+3048</f>
        <v>43046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0.35092059028278122</v>
      </c>
      <c r="AF7" s="94">
        <f>A7</f>
        <v>2</v>
      </c>
    </row>
    <row r="8" spans="1:32" ht="27" customHeight="1">
      <c r="A8" s="109">
        <v>3</v>
      </c>
      <c r="B8" s="11" t="s">
        <v>293</v>
      </c>
      <c r="C8" s="11" t="s">
        <v>127</v>
      </c>
      <c r="D8" s="55" t="s">
        <v>123</v>
      </c>
      <c r="E8" s="57" t="s">
        <v>164</v>
      </c>
      <c r="F8" s="12" t="s">
        <v>128</v>
      </c>
      <c r="G8" s="36">
        <v>1</v>
      </c>
      <c r="H8" s="38">
        <v>25</v>
      </c>
      <c r="I8" s="7">
        <v>30000</v>
      </c>
      <c r="J8" s="14">
        <v>5630</v>
      </c>
      <c r="K8" s="15">
        <f>L8+3518+5719+5664</f>
        <v>20527</v>
      </c>
      <c r="L8" s="15">
        <f>3262+2364</f>
        <v>5626</v>
      </c>
      <c r="M8" s="16">
        <f t="shared" si="0"/>
        <v>5626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0.99928952042628771</v>
      </c>
      <c r="AC8" s="9">
        <f t="shared" si="5"/>
        <v>1</v>
      </c>
      <c r="AD8" s="10">
        <f t="shared" si="6"/>
        <v>0.99928952042628771</v>
      </c>
      <c r="AE8" s="39">
        <f t="shared" si="7"/>
        <v>0.35092059028278122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58</v>
      </c>
      <c r="E9" s="57" t="s">
        <v>133</v>
      </c>
      <c r="F9" s="12" t="s">
        <v>126</v>
      </c>
      <c r="G9" s="12">
        <v>1</v>
      </c>
      <c r="H9" s="13">
        <v>25</v>
      </c>
      <c r="I9" s="34">
        <v>27000</v>
      </c>
      <c r="J9" s="5">
        <v>4870</v>
      </c>
      <c r="K9" s="15">
        <f>L9+3312+5792+3396+5312+712+2220+3674+3855</f>
        <v>33139</v>
      </c>
      <c r="L9" s="15">
        <f>3226+1640</f>
        <v>4866</v>
      </c>
      <c r="M9" s="16">
        <f t="shared" si="0"/>
        <v>4866</v>
      </c>
      <c r="N9" s="16">
        <v>0</v>
      </c>
      <c r="O9" s="62">
        <f t="shared" si="1"/>
        <v>0</v>
      </c>
      <c r="P9" s="42">
        <f t="shared" si="2"/>
        <v>22</v>
      </c>
      <c r="Q9" s="43">
        <f t="shared" si="3"/>
        <v>2</v>
      </c>
      <c r="R9" s="7"/>
      <c r="S9" s="6">
        <v>2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0.99917864476386042</v>
      </c>
      <c r="AC9" s="9">
        <f t="shared" si="5"/>
        <v>0.91666666666666663</v>
      </c>
      <c r="AD9" s="10">
        <f t="shared" si="6"/>
        <v>0.91591375770020533</v>
      </c>
      <c r="AE9" s="39">
        <f t="shared" si="7"/>
        <v>0.35092059028278122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127</v>
      </c>
      <c r="D10" s="55" t="s">
        <v>58</v>
      </c>
      <c r="E10" s="57" t="s">
        <v>192</v>
      </c>
      <c r="F10" s="12" t="s">
        <v>193</v>
      </c>
      <c r="G10" s="12">
        <v>1</v>
      </c>
      <c r="H10" s="13">
        <v>25</v>
      </c>
      <c r="I10" s="34">
        <v>7000</v>
      </c>
      <c r="J10" s="14">
        <v>2690</v>
      </c>
      <c r="K10" s="15">
        <f>L10+2683</f>
        <v>2683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0.35092059028278122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294</v>
      </c>
      <c r="F11" s="12" t="s">
        <v>136</v>
      </c>
      <c r="G11" s="12">
        <v>1</v>
      </c>
      <c r="H11" s="13">
        <v>25</v>
      </c>
      <c r="I11" s="34">
        <v>12000</v>
      </c>
      <c r="J11" s="14">
        <v>3370</v>
      </c>
      <c r="K11" s="15">
        <f>L11+10884</f>
        <v>14250</v>
      </c>
      <c r="L11" s="15">
        <f>1683*2</f>
        <v>3366</v>
      </c>
      <c r="M11" s="16">
        <f t="shared" si="0"/>
        <v>3366</v>
      </c>
      <c r="N11" s="16">
        <v>0</v>
      </c>
      <c r="O11" s="62">
        <f t="shared" si="1"/>
        <v>0</v>
      </c>
      <c r="P11" s="42">
        <f t="shared" si="2"/>
        <v>6</v>
      </c>
      <c r="Q11" s="43">
        <f t="shared" si="3"/>
        <v>18</v>
      </c>
      <c r="R11" s="7"/>
      <c r="S11" s="6"/>
      <c r="T11" s="17"/>
      <c r="U11" s="17"/>
      <c r="V11" s="18"/>
      <c r="W11" s="19">
        <v>18</v>
      </c>
      <c r="X11" s="17"/>
      <c r="Y11" s="20"/>
      <c r="Z11" s="20"/>
      <c r="AA11" s="21"/>
      <c r="AB11" s="8">
        <f t="shared" si="4"/>
        <v>0.99881305637982198</v>
      </c>
      <c r="AC11" s="9">
        <f t="shared" si="5"/>
        <v>0.25</v>
      </c>
      <c r="AD11" s="10">
        <f t="shared" si="6"/>
        <v>0.2497032640949555</v>
      </c>
      <c r="AE11" s="39">
        <f t="shared" si="7"/>
        <v>0.35092059028278122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127</v>
      </c>
      <c r="D12" s="55" t="s">
        <v>123</v>
      </c>
      <c r="E12" s="57" t="s">
        <v>177</v>
      </c>
      <c r="F12" s="12" t="s">
        <v>173</v>
      </c>
      <c r="G12" s="12">
        <v>1</v>
      </c>
      <c r="H12" s="13">
        <v>25</v>
      </c>
      <c r="I12" s="34">
        <v>7000</v>
      </c>
      <c r="J12" s="5">
        <v>850</v>
      </c>
      <c r="K12" s="15">
        <f>L12+3669+4594+846</f>
        <v>9109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0.35092059028278122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262</v>
      </c>
      <c r="E13" s="57" t="s">
        <v>263</v>
      </c>
      <c r="F13" s="12" t="s">
        <v>230</v>
      </c>
      <c r="G13" s="12">
        <v>1</v>
      </c>
      <c r="H13" s="13">
        <v>25</v>
      </c>
      <c r="I13" s="7">
        <v>200</v>
      </c>
      <c r="J13" s="14">
        <v>221</v>
      </c>
      <c r="K13" s="15">
        <f>L13+221</f>
        <v>221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0.35092059028278122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127</v>
      </c>
      <c r="D14" s="55" t="s">
        <v>145</v>
      </c>
      <c r="E14" s="57" t="s">
        <v>150</v>
      </c>
      <c r="F14" s="33" t="s">
        <v>147</v>
      </c>
      <c r="G14" s="36">
        <v>1</v>
      </c>
      <c r="H14" s="38">
        <v>25</v>
      </c>
      <c r="I14" s="7">
        <v>10000</v>
      </c>
      <c r="J14" s="5">
        <v>4790</v>
      </c>
      <c r="K14" s="15">
        <f>L14+2472+5133+4788</f>
        <v>12393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0.35092059028278122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122</v>
      </c>
      <c r="D15" s="55" t="s">
        <v>143</v>
      </c>
      <c r="E15" s="57" t="s">
        <v>151</v>
      </c>
      <c r="F15" s="12">
        <v>8301</v>
      </c>
      <c r="G15" s="12">
        <v>1</v>
      </c>
      <c r="H15" s="13">
        <v>25</v>
      </c>
      <c r="I15" s="34">
        <v>2500</v>
      </c>
      <c r="J15" s="5">
        <v>3980</v>
      </c>
      <c r="K15" s="15">
        <f>L15+2138+3980</f>
        <v>6118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0.35092059028278122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127</v>
      </c>
      <c r="D16" s="55" t="s">
        <v>144</v>
      </c>
      <c r="E16" s="57" t="s">
        <v>153</v>
      </c>
      <c r="F16" s="12">
        <v>7301</v>
      </c>
      <c r="G16" s="36">
        <v>1</v>
      </c>
      <c r="H16" s="38">
        <v>25</v>
      </c>
      <c r="I16" s="7">
        <v>30000</v>
      </c>
      <c r="J16" s="14">
        <v>5610</v>
      </c>
      <c r="K16" s="15">
        <f>L16+2878+5819+5765+4332+5828+4680+5824+5603</f>
        <v>40729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0.35092059028278122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127</v>
      </c>
      <c r="D17" s="55" t="s">
        <v>171</v>
      </c>
      <c r="E17" s="56" t="s">
        <v>174</v>
      </c>
      <c r="F17" s="12" t="s">
        <v>136</v>
      </c>
      <c r="G17" s="12">
        <v>1</v>
      </c>
      <c r="H17" s="13">
        <v>25</v>
      </c>
      <c r="I17" s="34">
        <v>7000</v>
      </c>
      <c r="J17" s="5">
        <v>4740</v>
      </c>
      <c r="K17" s="15">
        <f>L17+5195+4740</f>
        <v>9935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0.35092059028278122</v>
      </c>
      <c r="AF17" s="94">
        <f t="shared" si="8"/>
        <v>12</v>
      </c>
    </row>
    <row r="18" spans="1:32" ht="27" customHeight="1">
      <c r="A18" s="110">
        <v>13</v>
      </c>
      <c r="B18" s="11" t="s">
        <v>293</v>
      </c>
      <c r="C18" s="37" t="s">
        <v>127</v>
      </c>
      <c r="D18" s="55" t="s">
        <v>58</v>
      </c>
      <c r="E18" s="57" t="s">
        <v>155</v>
      </c>
      <c r="F18" s="12" t="s">
        <v>156</v>
      </c>
      <c r="G18" s="12">
        <v>1</v>
      </c>
      <c r="H18" s="13">
        <v>25</v>
      </c>
      <c r="I18" s="34">
        <v>30000</v>
      </c>
      <c r="J18" s="5">
        <v>4260</v>
      </c>
      <c r="K18" s="15">
        <f>L18+3759+4632</f>
        <v>12649</v>
      </c>
      <c r="L18" s="15">
        <f>2645+1613</f>
        <v>4258</v>
      </c>
      <c r="M18" s="16">
        <f t="shared" si="0"/>
        <v>4258</v>
      </c>
      <c r="N18" s="16">
        <v>0</v>
      </c>
      <c r="O18" s="62">
        <f t="shared" si="1"/>
        <v>0</v>
      </c>
      <c r="P18" s="42">
        <f t="shared" si="2"/>
        <v>22</v>
      </c>
      <c r="Q18" s="43">
        <f t="shared" si="3"/>
        <v>2</v>
      </c>
      <c r="R18" s="7"/>
      <c r="S18" s="6">
        <v>2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0.99953051643192492</v>
      </c>
      <c r="AC18" s="9">
        <f t="shared" si="5"/>
        <v>0.91666666666666663</v>
      </c>
      <c r="AD18" s="10">
        <f t="shared" si="6"/>
        <v>0.91623630672926448</v>
      </c>
      <c r="AE18" s="39">
        <f t="shared" si="7"/>
        <v>0.35092059028278122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254</v>
      </c>
      <c r="D19" s="55" t="s">
        <v>250</v>
      </c>
      <c r="E19" s="57" t="s">
        <v>312</v>
      </c>
      <c r="F19" s="33" t="s">
        <v>313</v>
      </c>
      <c r="G19" s="36">
        <v>2</v>
      </c>
      <c r="H19" s="38">
        <v>25</v>
      </c>
      <c r="I19" s="34">
        <v>12000</v>
      </c>
      <c r="J19" s="5">
        <v>6000</v>
      </c>
      <c r="K19" s="15">
        <f>L19</f>
        <v>8110</v>
      </c>
      <c r="L19" s="15">
        <f>1250*2+2805*2</f>
        <v>8110</v>
      </c>
      <c r="M19" s="16">
        <f t="shared" si="0"/>
        <v>8110</v>
      </c>
      <c r="N19" s="16">
        <v>0</v>
      </c>
      <c r="O19" s="62">
        <f t="shared" si="1"/>
        <v>0</v>
      </c>
      <c r="P19" s="42">
        <f t="shared" si="2"/>
        <v>21</v>
      </c>
      <c r="Q19" s="43">
        <f t="shared" si="3"/>
        <v>3</v>
      </c>
      <c r="R19" s="7"/>
      <c r="S19" s="6">
        <v>3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1.3516666666666666</v>
      </c>
      <c r="AC19" s="9">
        <f t="shared" si="5"/>
        <v>0.875</v>
      </c>
      <c r="AD19" s="10">
        <f t="shared" si="6"/>
        <v>1.1827083333333333</v>
      </c>
      <c r="AE19" s="39">
        <f t="shared" si="7"/>
        <v>0.35092059028278122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268</v>
      </c>
      <c r="F20" s="12" t="s">
        <v>120</v>
      </c>
      <c r="G20" s="12">
        <v>4</v>
      </c>
      <c r="H20" s="38">
        <v>20</v>
      </c>
      <c r="I20" s="7">
        <v>100000</v>
      </c>
      <c r="J20" s="14">
        <v>47250</v>
      </c>
      <c r="K20" s="15">
        <f>L20+35332+48744</f>
        <v>131324</v>
      </c>
      <c r="L20" s="15">
        <f>6858*4+4954*4</f>
        <v>47248</v>
      </c>
      <c r="M20" s="16">
        <f t="shared" si="0"/>
        <v>47248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0.99995767195767193</v>
      </c>
      <c r="AC20" s="9">
        <f t="shared" si="5"/>
        <v>1</v>
      </c>
      <c r="AD20" s="10">
        <f t="shared" si="6"/>
        <v>0.99995767195767193</v>
      </c>
      <c r="AE20" s="39">
        <f t="shared" si="7"/>
        <v>0.35092059028278122</v>
      </c>
      <c r="AF20" s="94">
        <f t="shared" si="8"/>
        <v>15</v>
      </c>
    </row>
    <row r="21" spans="1:32" ht="31.5" customHeight="1" thickBot="1">
      <c r="A21" s="430" t="s">
        <v>34</v>
      </c>
      <c r="B21" s="431"/>
      <c r="C21" s="431"/>
      <c r="D21" s="431"/>
      <c r="E21" s="431"/>
      <c r="F21" s="431"/>
      <c r="G21" s="431"/>
      <c r="H21" s="432"/>
      <c r="I21" s="25">
        <f t="shared" ref="I21:N21" si="10">SUM(I6:I20)</f>
        <v>318700</v>
      </c>
      <c r="J21" s="22">
        <f t="shared" si="10"/>
        <v>103451</v>
      </c>
      <c r="K21" s="23">
        <f t="shared" si="10"/>
        <v>350367</v>
      </c>
      <c r="L21" s="24">
        <f t="shared" si="10"/>
        <v>73474</v>
      </c>
      <c r="M21" s="23">
        <f t="shared" si="10"/>
        <v>73474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119</v>
      </c>
      <c r="Q21" s="46">
        <f t="shared" si="11"/>
        <v>241</v>
      </c>
      <c r="R21" s="26">
        <f t="shared" si="11"/>
        <v>0</v>
      </c>
      <c r="S21" s="27">
        <f t="shared" si="11"/>
        <v>7</v>
      </c>
      <c r="T21" s="27">
        <f t="shared" si="11"/>
        <v>0</v>
      </c>
      <c r="U21" s="27">
        <f t="shared" si="11"/>
        <v>0</v>
      </c>
      <c r="V21" s="28">
        <f t="shared" si="11"/>
        <v>0</v>
      </c>
      <c r="W21" s="29">
        <f t="shared" si="11"/>
        <v>234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0.42322907177508223</v>
      </c>
      <c r="AC21" s="4">
        <f>SUM(AC6:AC20)/15</f>
        <v>0.33055555555555555</v>
      </c>
      <c r="AD21" s="4">
        <f>SUM(AD6:AD20)/15</f>
        <v>0.35092059028278122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33" t="s">
        <v>46</v>
      </c>
      <c r="B48" s="433"/>
      <c r="C48" s="433"/>
      <c r="D48" s="433"/>
      <c r="E48" s="43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4" t="s">
        <v>314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6"/>
      <c r="N49" s="437" t="s">
        <v>318</v>
      </c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9"/>
    </row>
    <row r="50" spans="1:32" ht="27" customHeight="1">
      <c r="A50" s="440" t="s">
        <v>2</v>
      </c>
      <c r="B50" s="441"/>
      <c r="C50" s="176" t="s">
        <v>47</v>
      </c>
      <c r="D50" s="176" t="s">
        <v>48</v>
      </c>
      <c r="E50" s="176" t="s">
        <v>113</v>
      </c>
      <c r="F50" s="441" t="s">
        <v>112</v>
      </c>
      <c r="G50" s="441"/>
      <c r="H50" s="441"/>
      <c r="I50" s="441"/>
      <c r="J50" s="441"/>
      <c r="K50" s="441"/>
      <c r="L50" s="441"/>
      <c r="M50" s="442"/>
      <c r="N50" s="73" t="s">
        <v>117</v>
      </c>
      <c r="O50" s="176" t="s">
        <v>47</v>
      </c>
      <c r="P50" s="443" t="s">
        <v>48</v>
      </c>
      <c r="Q50" s="444"/>
      <c r="R50" s="443" t="s">
        <v>39</v>
      </c>
      <c r="S50" s="445"/>
      <c r="T50" s="445"/>
      <c r="U50" s="444"/>
      <c r="V50" s="443" t="s">
        <v>49</v>
      </c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57" t="s">
        <v>127</v>
      </c>
      <c r="B51" s="458"/>
      <c r="C51" s="177" t="s">
        <v>142</v>
      </c>
      <c r="D51" s="178" t="s">
        <v>58</v>
      </c>
      <c r="E51" s="177" t="s">
        <v>155</v>
      </c>
      <c r="F51" s="459" t="s">
        <v>270</v>
      </c>
      <c r="G51" s="459"/>
      <c r="H51" s="459"/>
      <c r="I51" s="459"/>
      <c r="J51" s="459"/>
      <c r="K51" s="459"/>
      <c r="L51" s="459"/>
      <c r="M51" s="460"/>
      <c r="N51" s="179"/>
      <c r="O51" s="74"/>
      <c r="P51" s="461"/>
      <c r="Q51" s="462"/>
      <c r="R51" s="463"/>
      <c r="S51" s="463"/>
      <c r="T51" s="463"/>
      <c r="U51" s="463"/>
      <c r="V51" s="459"/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57" t="s">
        <v>122</v>
      </c>
      <c r="B52" s="458"/>
      <c r="C52" s="177" t="s">
        <v>132</v>
      </c>
      <c r="D52" s="178" t="s">
        <v>58</v>
      </c>
      <c r="E52" s="177" t="s">
        <v>133</v>
      </c>
      <c r="F52" s="459" t="s">
        <v>317</v>
      </c>
      <c r="G52" s="459"/>
      <c r="H52" s="459"/>
      <c r="I52" s="459"/>
      <c r="J52" s="459"/>
      <c r="K52" s="459"/>
      <c r="L52" s="459"/>
      <c r="M52" s="460"/>
      <c r="N52" s="179"/>
      <c r="O52" s="74"/>
      <c r="P52" s="461"/>
      <c r="Q52" s="462"/>
      <c r="R52" s="463"/>
      <c r="S52" s="463"/>
      <c r="T52" s="463"/>
      <c r="U52" s="463"/>
      <c r="V52" s="459"/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57" t="s">
        <v>278</v>
      </c>
      <c r="B53" s="458"/>
      <c r="C53" s="177" t="s">
        <v>139</v>
      </c>
      <c r="D53" s="178" t="s">
        <v>315</v>
      </c>
      <c r="E53" s="177" t="s">
        <v>312</v>
      </c>
      <c r="F53" s="459" t="s">
        <v>316</v>
      </c>
      <c r="G53" s="459"/>
      <c r="H53" s="459"/>
      <c r="I53" s="459"/>
      <c r="J53" s="459"/>
      <c r="K53" s="459"/>
      <c r="L53" s="459"/>
      <c r="M53" s="460"/>
      <c r="N53" s="179"/>
      <c r="O53" s="74"/>
      <c r="P53" s="461"/>
      <c r="Q53" s="462"/>
      <c r="R53" s="463"/>
      <c r="S53" s="463"/>
      <c r="T53" s="463"/>
      <c r="U53" s="463"/>
      <c r="V53" s="459"/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/>
      <c r="B54" s="458"/>
      <c r="C54" s="177"/>
      <c r="D54" s="178"/>
      <c r="E54" s="177"/>
      <c r="F54" s="459"/>
      <c r="G54" s="459"/>
      <c r="H54" s="459"/>
      <c r="I54" s="459"/>
      <c r="J54" s="459"/>
      <c r="K54" s="459"/>
      <c r="L54" s="459"/>
      <c r="M54" s="460"/>
      <c r="N54" s="179"/>
      <c r="O54" s="74"/>
      <c r="P54" s="461"/>
      <c r="Q54" s="462"/>
      <c r="R54" s="463"/>
      <c r="S54" s="463"/>
      <c r="T54" s="463"/>
      <c r="U54" s="463"/>
      <c r="V54" s="459"/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57"/>
      <c r="B55" s="458"/>
      <c r="C55" s="177"/>
      <c r="D55" s="178"/>
      <c r="E55" s="177"/>
      <c r="F55" s="459"/>
      <c r="G55" s="459"/>
      <c r="H55" s="459"/>
      <c r="I55" s="459"/>
      <c r="J55" s="459"/>
      <c r="K55" s="459"/>
      <c r="L55" s="459"/>
      <c r="M55" s="460"/>
      <c r="N55" s="179"/>
      <c r="O55" s="74"/>
      <c r="P55" s="461"/>
      <c r="Q55" s="462"/>
      <c r="R55" s="463"/>
      <c r="S55" s="463"/>
      <c r="T55" s="463"/>
      <c r="U55" s="463"/>
      <c r="V55" s="459"/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/>
      <c r="B56" s="463"/>
      <c r="C56" s="178"/>
      <c r="D56" s="178"/>
      <c r="E56" s="177"/>
      <c r="F56" s="459"/>
      <c r="G56" s="459"/>
      <c r="H56" s="459"/>
      <c r="I56" s="459"/>
      <c r="J56" s="459"/>
      <c r="K56" s="459"/>
      <c r="L56" s="459"/>
      <c r="M56" s="460"/>
      <c r="N56" s="179"/>
      <c r="O56" s="74"/>
      <c r="P56" s="463"/>
      <c r="Q56" s="463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178"/>
      <c r="D57" s="178"/>
      <c r="E57" s="177"/>
      <c r="F57" s="459"/>
      <c r="G57" s="459"/>
      <c r="H57" s="459"/>
      <c r="I57" s="459"/>
      <c r="J57" s="459"/>
      <c r="K57" s="459"/>
      <c r="L57" s="459"/>
      <c r="M57" s="460"/>
      <c r="N57" s="179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57"/>
      <c r="B58" s="458"/>
      <c r="C58" s="177"/>
      <c r="D58" s="178"/>
      <c r="E58" s="177"/>
      <c r="F58" s="459"/>
      <c r="G58" s="459"/>
      <c r="H58" s="459"/>
      <c r="I58" s="459"/>
      <c r="J58" s="459"/>
      <c r="K58" s="459"/>
      <c r="L58" s="459"/>
      <c r="M58" s="460"/>
      <c r="N58" s="179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178"/>
      <c r="D59" s="178"/>
      <c r="E59" s="178"/>
      <c r="F59" s="459"/>
      <c r="G59" s="459"/>
      <c r="H59" s="459"/>
      <c r="I59" s="459"/>
      <c r="J59" s="459"/>
      <c r="K59" s="459"/>
      <c r="L59" s="459"/>
      <c r="M59" s="460"/>
      <c r="N59" s="179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  <c r="AF59" s="94">
        <f>8*3000</f>
        <v>24000</v>
      </c>
    </row>
    <row r="60" spans="1:32" ht="27" customHeight="1" thickBot="1">
      <c r="A60" s="465"/>
      <c r="B60" s="466"/>
      <c r="C60" s="181"/>
      <c r="D60" s="181"/>
      <c r="E60" s="181"/>
      <c r="F60" s="467"/>
      <c r="G60" s="467"/>
      <c r="H60" s="467"/>
      <c r="I60" s="467"/>
      <c r="J60" s="467"/>
      <c r="K60" s="467"/>
      <c r="L60" s="467"/>
      <c r="M60" s="468"/>
      <c r="N60" s="180"/>
      <c r="O60" s="121"/>
      <c r="P60" s="466"/>
      <c r="Q60" s="466"/>
      <c r="R60" s="466"/>
      <c r="S60" s="466"/>
      <c r="T60" s="466"/>
      <c r="U60" s="466"/>
      <c r="V60" s="467"/>
      <c r="W60" s="467"/>
      <c r="X60" s="467"/>
      <c r="Y60" s="467"/>
      <c r="Z60" s="467"/>
      <c r="AA60" s="467"/>
      <c r="AB60" s="467"/>
      <c r="AC60" s="467"/>
      <c r="AD60" s="468"/>
      <c r="AF60" s="94">
        <f>16*3000</f>
        <v>48000</v>
      </c>
    </row>
    <row r="61" spans="1:32" ht="27.75" thickBot="1">
      <c r="A61" s="469" t="s">
        <v>319</v>
      </c>
      <c r="B61" s="469"/>
      <c r="C61" s="469"/>
      <c r="D61" s="469"/>
      <c r="E61" s="469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70" t="s">
        <v>118</v>
      </c>
      <c r="B62" s="471"/>
      <c r="C62" s="182" t="s">
        <v>2</v>
      </c>
      <c r="D62" s="182" t="s">
        <v>38</v>
      </c>
      <c r="E62" s="182" t="s">
        <v>3</v>
      </c>
      <c r="F62" s="471" t="s">
        <v>115</v>
      </c>
      <c r="G62" s="471"/>
      <c r="H62" s="471"/>
      <c r="I62" s="471"/>
      <c r="J62" s="471"/>
      <c r="K62" s="471" t="s">
        <v>40</v>
      </c>
      <c r="L62" s="471"/>
      <c r="M62" s="182" t="s">
        <v>41</v>
      </c>
      <c r="N62" s="471" t="s">
        <v>42</v>
      </c>
      <c r="O62" s="471"/>
      <c r="P62" s="472" t="s">
        <v>43</v>
      </c>
      <c r="Q62" s="473"/>
      <c r="R62" s="472" t="s">
        <v>44</v>
      </c>
      <c r="S62" s="474"/>
      <c r="T62" s="474"/>
      <c r="U62" s="474"/>
      <c r="V62" s="474"/>
      <c r="W62" s="474"/>
      <c r="X62" s="474"/>
      <c r="Y62" s="474"/>
      <c r="Z62" s="474"/>
      <c r="AA62" s="473"/>
      <c r="AB62" s="471" t="s">
        <v>45</v>
      </c>
      <c r="AC62" s="471"/>
      <c r="AD62" s="475"/>
      <c r="AF62" s="94">
        <f>SUM(AF59:AF61)</f>
        <v>96000</v>
      </c>
    </row>
    <row r="63" spans="1:32" ht="25.5" customHeight="1">
      <c r="A63" s="476">
        <v>1</v>
      </c>
      <c r="B63" s="477"/>
      <c r="C63" s="133" t="s">
        <v>320</v>
      </c>
      <c r="D63" s="185"/>
      <c r="E63" s="183" t="s">
        <v>321</v>
      </c>
      <c r="F63" s="478" t="s">
        <v>322</v>
      </c>
      <c r="G63" s="479"/>
      <c r="H63" s="479"/>
      <c r="I63" s="479"/>
      <c r="J63" s="479"/>
      <c r="K63" s="479" t="s">
        <v>323</v>
      </c>
      <c r="L63" s="479"/>
      <c r="M63" s="54" t="s">
        <v>324</v>
      </c>
      <c r="N63" s="479">
        <v>7</v>
      </c>
      <c r="O63" s="479"/>
      <c r="P63" s="480">
        <v>50</v>
      </c>
      <c r="Q63" s="480"/>
      <c r="R63" s="459"/>
      <c r="S63" s="459"/>
      <c r="T63" s="459"/>
      <c r="U63" s="459"/>
      <c r="V63" s="459"/>
      <c r="W63" s="459"/>
      <c r="X63" s="459"/>
      <c r="Y63" s="459"/>
      <c r="Z63" s="459"/>
      <c r="AA63" s="459"/>
      <c r="AB63" s="479"/>
      <c r="AC63" s="479"/>
      <c r="AD63" s="481"/>
      <c r="AF63" s="53"/>
    </row>
    <row r="64" spans="1:32" ht="25.5" customHeight="1">
      <c r="A64" s="476">
        <v>2</v>
      </c>
      <c r="B64" s="477"/>
      <c r="C64" s="133"/>
      <c r="D64" s="185"/>
      <c r="E64" s="183"/>
      <c r="F64" s="478"/>
      <c r="G64" s="479"/>
      <c r="H64" s="479"/>
      <c r="I64" s="479"/>
      <c r="J64" s="479"/>
      <c r="K64" s="479"/>
      <c r="L64" s="479"/>
      <c r="M64" s="54"/>
      <c r="N64" s="479"/>
      <c r="O64" s="479"/>
      <c r="P64" s="480"/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</row>
    <row r="65" spans="1:32" ht="25.5" customHeight="1">
      <c r="A65" s="476">
        <v>3</v>
      </c>
      <c r="B65" s="477"/>
      <c r="C65" s="133"/>
      <c r="D65" s="185"/>
      <c r="E65" s="183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4</v>
      </c>
      <c r="B66" s="477"/>
      <c r="C66" s="133"/>
      <c r="D66" s="185"/>
      <c r="E66" s="183"/>
      <c r="F66" s="479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5</v>
      </c>
      <c r="B67" s="477"/>
      <c r="C67" s="133"/>
      <c r="D67" s="185"/>
      <c r="E67" s="183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6</v>
      </c>
      <c r="B68" s="477"/>
      <c r="C68" s="133"/>
      <c r="D68" s="185"/>
      <c r="E68" s="183"/>
      <c r="F68" s="478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7</v>
      </c>
      <c r="B69" s="477"/>
      <c r="C69" s="133"/>
      <c r="D69" s="185"/>
      <c r="E69" s="183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8</v>
      </c>
      <c r="B70" s="477"/>
      <c r="C70" s="133"/>
      <c r="D70" s="185"/>
      <c r="E70" s="183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6.25" customHeight="1" thickBot="1">
      <c r="A71" s="482" t="s">
        <v>325</v>
      </c>
      <c r="B71" s="482"/>
      <c r="C71" s="482"/>
      <c r="D71" s="482"/>
      <c r="E71" s="48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83" t="s">
        <v>118</v>
      </c>
      <c r="B72" s="484"/>
      <c r="C72" s="184" t="s">
        <v>2</v>
      </c>
      <c r="D72" s="184" t="s">
        <v>38</v>
      </c>
      <c r="E72" s="184" t="s">
        <v>3</v>
      </c>
      <c r="F72" s="484" t="s">
        <v>39</v>
      </c>
      <c r="G72" s="484"/>
      <c r="H72" s="484"/>
      <c r="I72" s="484"/>
      <c r="J72" s="484"/>
      <c r="K72" s="485" t="s">
        <v>60</v>
      </c>
      <c r="L72" s="486"/>
      <c r="M72" s="486"/>
      <c r="N72" s="486"/>
      <c r="O72" s="486"/>
      <c r="P72" s="486"/>
      <c r="Q72" s="486"/>
      <c r="R72" s="486"/>
      <c r="S72" s="487"/>
      <c r="T72" s="484" t="s">
        <v>50</v>
      </c>
      <c r="U72" s="484"/>
      <c r="V72" s="485" t="s">
        <v>51</v>
      </c>
      <c r="W72" s="487"/>
      <c r="X72" s="486" t="s">
        <v>52</v>
      </c>
      <c r="Y72" s="486"/>
      <c r="Z72" s="486"/>
      <c r="AA72" s="486"/>
      <c r="AB72" s="486"/>
      <c r="AC72" s="486"/>
      <c r="AD72" s="488"/>
      <c r="AF72" s="53"/>
    </row>
    <row r="73" spans="1:32" ht="33.75" customHeight="1">
      <c r="A73" s="497">
        <v>1</v>
      </c>
      <c r="B73" s="498"/>
      <c r="C73" s="186" t="s">
        <v>62</v>
      </c>
      <c r="D73" s="186"/>
      <c r="E73" s="71" t="s">
        <v>58</v>
      </c>
      <c r="F73" s="499" t="s">
        <v>63</v>
      </c>
      <c r="G73" s="500"/>
      <c r="H73" s="500"/>
      <c r="I73" s="500"/>
      <c r="J73" s="501"/>
      <c r="K73" s="502" t="s">
        <v>61</v>
      </c>
      <c r="L73" s="503"/>
      <c r="M73" s="503"/>
      <c r="N73" s="503"/>
      <c r="O73" s="503"/>
      <c r="P73" s="503"/>
      <c r="Q73" s="503"/>
      <c r="R73" s="503"/>
      <c r="S73" s="504"/>
      <c r="T73" s="505">
        <v>41791</v>
      </c>
      <c r="U73" s="506"/>
      <c r="V73" s="507"/>
      <c r="W73" s="507"/>
      <c r="X73" s="508"/>
      <c r="Y73" s="508"/>
      <c r="Z73" s="508"/>
      <c r="AA73" s="508"/>
      <c r="AB73" s="508"/>
      <c r="AC73" s="508"/>
      <c r="AD73" s="509"/>
      <c r="AF73" s="53"/>
    </row>
    <row r="74" spans="1:32" ht="30" customHeight="1">
      <c r="A74" s="489">
        <f>A73+1</f>
        <v>2</v>
      </c>
      <c r="B74" s="490"/>
      <c r="C74" s="185" t="s">
        <v>127</v>
      </c>
      <c r="D74" s="185"/>
      <c r="E74" s="35" t="s">
        <v>121</v>
      </c>
      <c r="F74" s="490" t="s">
        <v>129</v>
      </c>
      <c r="G74" s="490"/>
      <c r="H74" s="490"/>
      <c r="I74" s="490"/>
      <c r="J74" s="490"/>
      <c r="K74" s="491" t="s">
        <v>61</v>
      </c>
      <c r="L74" s="492"/>
      <c r="M74" s="492"/>
      <c r="N74" s="492"/>
      <c r="O74" s="492"/>
      <c r="P74" s="492"/>
      <c r="Q74" s="492"/>
      <c r="R74" s="492"/>
      <c r="S74" s="493"/>
      <c r="T74" s="494">
        <v>42779</v>
      </c>
      <c r="U74" s="494"/>
      <c r="V74" s="494"/>
      <c r="W74" s="494"/>
      <c r="X74" s="495"/>
      <c r="Y74" s="495"/>
      <c r="Z74" s="495"/>
      <c r="AA74" s="495"/>
      <c r="AB74" s="495"/>
      <c r="AC74" s="495"/>
      <c r="AD74" s="496"/>
      <c r="AF74" s="53"/>
    </row>
    <row r="75" spans="1:32" ht="30" customHeight="1">
      <c r="A75" s="489">
        <f t="shared" ref="A75:A81" si="12">A74+1</f>
        <v>3</v>
      </c>
      <c r="B75" s="490"/>
      <c r="C75" s="185" t="s">
        <v>62</v>
      </c>
      <c r="D75" s="185"/>
      <c r="E75" s="35" t="s">
        <v>121</v>
      </c>
      <c r="F75" s="490" t="s">
        <v>124</v>
      </c>
      <c r="G75" s="490"/>
      <c r="H75" s="490"/>
      <c r="I75" s="490"/>
      <c r="J75" s="490"/>
      <c r="K75" s="491" t="s">
        <v>61</v>
      </c>
      <c r="L75" s="492"/>
      <c r="M75" s="492"/>
      <c r="N75" s="492"/>
      <c r="O75" s="492"/>
      <c r="P75" s="492"/>
      <c r="Q75" s="492"/>
      <c r="R75" s="492"/>
      <c r="S75" s="493"/>
      <c r="T75" s="494">
        <v>42667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si="12"/>
        <v>4</v>
      </c>
      <c r="B76" s="490"/>
      <c r="C76" s="185" t="s">
        <v>62</v>
      </c>
      <c r="D76" s="185"/>
      <c r="E76" s="35" t="s">
        <v>121</v>
      </c>
      <c r="F76" s="490" t="s">
        <v>140</v>
      </c>
      <c r="G76" s="490"/>
      <c r="H76" s="490"/>
      <c r="I76" s="490"/>
      <c r="J76" s="490"/>
      <c r="K76" s="491" t="s">
        <v>141</v>
      </c>
      <c r="L76" s="492"/>
      <c r="M76" s="492"/>
      <c r="N76" s="492"/>
      <c r="O76" s="492"/>
      <c r="P76" s="492"/>
      <c r="Q76" s="492"/>
      <c r="R76" s="492"/>
      <c r="S76" s="493"/>
      <c r="T76" s="494">
        <v>42829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12"/>
        <v>5</v>
      </c>
      <c r="B77" s="490"/>
      <c r="C77" s="185" t="s">
        <v>62</v>
      </c>
      <c r="D77" s="185"/>
      <c r="E77" s="35" t="s">
        <v>58</v>
      </c>
      <c r="F77" s="490" t="s">
        <v>125</v>
      </c>
      <c r="G77" s="490"/>
      <c r="H77" s="490"/>
      <c r="I77" s="490"/>
      <c r="J77" s="490"/>
      <c r="K77" s="491" t="s">
        <v>61</v>
      </c>
      <c r="L77" s="492"/>
      <c r="M77" s="492"/>
      <c r="N77" s="492"/>
      <c r="O77" s="492"/>
      <c r="P77" s="492"/>
      <c r="Q77" s="492"/>
      <c r="R77" s="492"/>
      <c r="S77" s="493"/>
      <c r="T77" s="494">
        <v>42667</v>
      </c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12"/>
        <v>6</v>
      </c>
      <c r="B78" s="490"/>
      <c r="C78" s="185"/>
      <c r="D78" s="185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12"/>
        <v>7</v>
      </c>
      <c r="B79" s="490"/>
      <c r="C79" s="185"/>
      <c r="D79" s="185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12"/>
        <v>8</v>
      </c>
      <c r="B80" s="490"/>
      <c r="C80" s="185"/>
      <c r="D80" s="185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12"/>
        <v>9</v>
      </c>
      <c r="B81" s="490"/>
      <c r="C81" s="185"/>
      <c r="D81" s="185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6" thickBot="1">
      <c r="A82" s="482" t="s">
        <v>326</v>
      </c>
      <c r="B82" s="482"/>
      <c r="C82" s="482"/>
      <c r="D82" s="482"/>
      <c r="E82" s="48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510" t="s">
        <v>37</v>
      </c>
      <c r="B83" s="511"/>
      <c r="C83" s="511" t="s">
        <v>53</v>
      </c>
      <c r="D83" s="511"/>
      <c r="E83" s="511" t="s">
        <v>54</v>
      </c>
      <c r="F83" s="511"/>
      <c r="G83" s="511"/>
      <c r="H83" s="511"/>
      <c r="I83" s="511"/>
      <c r="J83" s="511"/>
      <c r="K83" s="511" t="s">
        <v>55</v>
      </c>
      <c r="L83" s="511"/>
      <c r="M83" s="511"/>
      <c r="N83" s="511"/>
      <c r="O83" s="511"/>
      <c r="P83" s="511"/>
      <c r="Q83" s="511"/>
      <c r="R83" s="511"/>
      <c r="S83" s="511"/>
      <c r="T83" s="511" t="s">
        <v>56</v>
      </c>
      <c r="U83" s="511"/>
      <c r="V83" s="511" t="s">
        <v>57</v>
      </c>
      <c r="W83" s="511"/>
      <c r="X83" s="511"/>
      <c r="Y83" s="511" t="s">
        <v>52</v>
      </c>
      <c r="Z83" s="511"/>
      <c r="AA83" s="511"/>
      <c r="AB83" s="511"/>
      <c r="AC83" s="511"/>
      <c r="AD83" s="512"/>
      <c r="AF83" s="53"/>
    </row>
    <row r="84" spans="1:32" ht="30.75" customHeight="1">
      <c r="A84" s="513">
        <v>1</v>
      </c>
      <c r="B84" s="514"/>
      <c r="C84" s="515"/>
      <c r="D84" s="515"/>
      <c r="E84" s="515"/>
      <c r="F84" s="515"/>
      <c r="G84" s="515"/>
      <c r="H84" s="515"/>
      <c r="I84" s="515"/>
      <c r="J84" s="515"/>
      <c r="K84" s="515"/>
      <c r="L84" s="515"/>
      <c r="M84" s="515"/>
      <c r="N84" s="515"/>
      <c r="O84" s="515"/>
      <c r="P84" s="515"/>
      <c r="Q84" s="515"/>
      <c r="R84" s="515"/>
      <c r="S84" s="515"/>
      <c r="T84" s="515"/>
      <c r="U84" s="515"/>
      <c r="V84" s="516"/>
      <c r="W84" s="516"/>
      <c r="X84" s="516"/>
      <c r="Y84" s="517"/>
      <c r="Z84" s="517"/>
      <c r="AA84" s="517"/>
      <c r="AB84" s="517"/>
      <c r="AC84" s="517"/>
      <c r="AD84" s="518"/>
      <c r="AF84" s="53"/>
    </row>
    <row r="85" spans="1:32" ht="30.75" customHeight="1">
      <c r="A85" s="489">
        <v>2</v>
      </c>
      <c r="B85" s="490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 thickBot="1">
      <c r="A86" s="519">
        <v>3</v>
      </c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1"/>
      <c r="Z86" s="521"/>
      <c r="AA86" s="521"/>
      <c r="AB86" s="521"/>
      <c r="AC86" s="521"/>
      <c r="AD86" s="522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37"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327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198" t="s">
        <v>17</v>
      </c>
      <c r="L5" s="198" t="s">
        <v>18</v>
      </c>
      <c r="M5" s="198" t="s">
        <v>19</v>
      </c>
      <c r="N5" s="19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9.4383377139644065E-2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127</v>
      </c>
      <c r="D7" s="55" t="s">
        <v>178</v>
      </c>
      <c r="E7" s="56" t="s">
        <v>179</v>
      </c>
      <c r="F7" s="12" t="s">
        <v>180</v>
      </c>
      <c r="G7" s="36">
        <v>2</v>
      </c>
      <c r="H7" s="38">
        <v>25</v>
      </c>
      <c r="I7" s="7">
        <v>40000</v>
      </c>
      <c r="J7" s="14">
        <v>3050</v>
      </c>
      <c r="K7" s="15">
        <f>L7+7596+10920+10616+10866+3048</f>
        <v>43046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9.4383377139644065E-2</v>
      </c>
      <c r="AF7" s="94">
        <f>A7</f>
        <v>2</v>
      </c>
    </row>
    <row r="8" spans="1:32" ht="27" customHeight="1">
      <c r="A8" s="109">
        <v>3</v>
      </c>
      <c r="B8" s="11" t="s">
        <v>293</v>
      </c>
      <c r="C8" s="11" t="s">
        <v>127</v>
      </c>
      <c r="D8" s="55" t="s">
        <v>123</v>
      </c>
      <c r="E8" s="57" t="s">
        <v>164</v>
      </c>
      <c r="F8" s="12" t="s">
        <v>128</v>
      </c>
      <c r="G8" s="36">
        <v>1</v>
      </c>
      <c r="H8" s="38">
        <v>25</v>
      </c>
      <c r="I8" s="7">
        <v>30000</v>
      </c>
      <c r="J8" s="14">
        <v>5630</v>
      </c>
      <c r="K8" s="15">
        <f>L8+3518+5719+5664+5626</f>
        <v>20527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>
        <v>24</v>
      </c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9.4383377139644065E-2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58</v>
      </c>
      <c r="E9" s="57" t="s">
        <v>133</v>
      </c>
      <c r="F9" s="12" t="s">
        <v>126</v>
      </c>
      <c r="G9" s="12">
        <v>1</v>
      </c>
      <c r="H9" s="13">
        <v>25</v>
      </c>
      <c r="I9" s="34">
        <v>27000</v>
      </c>
      <c r="J9" s="5">
        <v>5860</v>
      </c>
      <c r="K9" s="15">
        <f>L9+3312+5792+3396+5312+712+2220+3674+3855+4866</f>
        <v>38997</v>
      </c>
      <c r="L9" s="15">
        <f>2000+3858</f>
        <v>5858</v>
      </c>
      <c r="M9" s="16">
        <f t="shared" si="0"/>
        <v>5858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0.99965870307167237</v>
      </c>
      <c r="AC9" s="9">
        <f t="shared" si="5"/>
        <v>1</v>
      </c>
      <c r="AD9" s="10">
        <f t="shared" si="6"/>
        <v>0.99965870307167237</v>
      </c>
      <c r="AE9" s="39">
        <f t="shared" si="7"/>
        <v>9.4383377139644065E-2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127</v>
      </c>
      <c r="D10" s="55" t="s">
        <v>58</v>
      </c>
      <c r="E10" s="57" t="s">
        <v>192</v>
      </c>
      <c r="F10" s="12" t="s">
        <v>193</v>
      </c>
      <c r="G10" s="12">
        <v>1</v>
      </c>
      <c r="H10" s="13">
        <v>25</v>
      </c>
      <c r="I10" s="34">
        <v>7000</v>
      </c>
      <c r="J10" s="14">
        <v>2690</v>
      </c>
      <c r="K10" s="15">
        <f>L10+2683</f>
        <v>2683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9.4383377139644065E-2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294</v>
      </c>
      <c r="F11" s="12" t="s">
        <v>136</v>
      </c>
      <c r="G11" s="12">
        <v>1</v>
      </c>
      <c r="H11" s="13">
        <v>25</v>
      </c>
      <c r="I11" s="34">
        <v>12000</v>
      </c>
      <c r="J11" s="14">
        <v>3370</v>
      </c>
      <c r="K11" s="15">
        <f>L11+10884+3366</f>
        <v>14250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18</v>
      </c>
      <c r="R11" s="7"/>
      <c r="S11" s="6"/>
      <c r="T11" s="17"/>
      <c r="U11" s="17"/>
      <c r="V11" s="18"/>
      <c r="W11" s="19">
        <v>18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9.4383377139644065E-2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127</v>
      </c>
      <c r="D12" s="55" t="s">
        <v>123</v>
      </c>
      <c r="E12" s="57" t="s">
        <v>177</v>
      </c>
      <c r="F12" s="12" t="s">
        <v>173</v>
      </c>
      <c r="G12" s="12">
        <v>1</v>
      </c>
      <c r="H12" s="13">
        <v>25</v>
      </c>
      <c r="I12" s="34">
        <v>7000</v>
      </c>
      <c r="J12" s="5">
        <v>850</v>
      </c>
      <c r="K12" s="15">
        <f>L12+3669+4594+846</f>
        <v>9109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9.4383377139644065E-2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218</v>
      </c>
      <c r="E13" s="57" t="s">
        <v>263</v>
      </c>
      <c r="F13" s="12" t="s">
        <v>230</v>
      </c>
      <c r="G13" s="12">
        <v>1</v>
      </c>
      <c r="H13" s="13">
        <v>25</v>
      </c>
      <c r="I13" s="7">
        <v>200</v>
      </c>
      <c r="J13" s="14">
        <v>221</v>
      </c>
      <c r="K13" s="15">
        <f>L13+221</f>
        <v>221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9.4383377139644065E-2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127</v>
      </c>
      <c r="D14" s="55" t="s">
        <v>145</v>
      </c>
      <c r="E14" s="57" t="s">
        <v>150</v>
      </c>
      <c r="F14" s="33" t="s">
        <v>147</v>
      </c>
      <c r="G14" s="36">
        <v>1</v>
      </c>
      <c r="H14" s="38">
        <v>25</v>
      </c>
      <c r="I14" s="7">
        <v>10000</v>
      </c>
      <c r="J14" s="5">
        <v>4790</v>
      </c>
      <c r="K14" s="15">
        <f>L14+2472+5133+4788</f>
        <v>12393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9.4383377139644065E-2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122</v>
      </c>
      <c r="D15" s="55" t="s">
        <v>143</v>
      </c>
      <c r="E15" s="57" t="s">
        <v>151</v>
      </c>
      <c r="F15" s="12">
        <v>8301</v>
      </c>
      <c r="G15" s="12">
        <v>1</v>
      </c>
      <c r="H15" s="13">
        <v>25</v>
      </c>
      <c r="I15" s="34">
        <v>2500</v>
      </c>
      <c r="J15" s="5">
        <v>3980</v>
      </c>
      <c r="K15" s="15">
        <f>L15+2138+3980</f>
        <v>6118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9.4383377139644065E-2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127</v>
      </c>
      <c r="D16" s="55" t="s">
        <v>144</v>
      </c>
      <c r="E16" s="57" t="s">
        <v>153</v>
      </c>
      <c r="F16" s="12">
        <v>7301</v>
      </c>
      <c r="G16" s="36">
        <v>1</v>
      </c>
      <c r="H16" s="38">
        <v>25</v>
      </c>
      <c r="I16" s="7">
        <v>30000</v>
      </c>
      <c r="J16" s="14">
        <v>5610</v>
      </c>
      <c r="K16" s="15">
        <f>L16+2878+5819+5765+4332+5828+4680+5824+5603</f>
        <v>40729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9.4383377139644065E-2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127</v>
      </c>
      <c r="D17" s="55" t="s">
        <v>171</v>
      </c>
      <c r="E17" s="56" t="s">
        <v>174</v>
      </c>
      <c r="F17" s="12" t="s">
        <v>136</v>
      </c>
      <c r="G17" s="12">
        <v>1</v>
      </c>
      <c r="H17" s="13">
        <v>25</v>
      </c>
      <c r="I17" s="34">
        <v>7000</v>
      </c>
      <c r="J17" s="5">
        <v>4740</v>
      </c>
      <c r="K17" s="15">
        <f>L17+5195+4740</f>
        <v>9935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9.4383377139644065E-2</v>
      </c>
      <c r="AF17" s="94">
        <f t="shared" si="8"/>
        <v>12</v>
      </c>
    </row>
    <row r="18" spans="1:32" ht="27" customHeight="1">
      <c r="A18" s="110">
        <v>13</v>
      </c>
      <c r="B18" s="11" t="s">
        <v>293</v>
      </c>
      <c r="C18" s="37" t="s">
        <v>127</v>
      </c>
      <c r="D18" s="55" t="s">
        <v>58</v>
      </c>
      <c r="E18" s="57" t="s">
        <v>155</v>
      </c>
      <c r="F18" s="12" t="s">
        <v>156</v>
      </c>
      <c r="G18" s="12">
        <v>1</v>
      </c>
      <c r="H18" s="13">
        <v>25</v>
      </c>
      <c r="I18" s="34">
        <v>30000</v>
      </c>
      <c r="J18" s="5">
        <v>4260</v>
      </c>
      <c r="K18" s="15">
        <f>L18+3759+4632+4258</f>
        <v>12649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>
        <v>24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9.4383377139644065E-2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254</v>
      </c>
      <c r="D19" s="55" t="s">
        <v>250</v>
      </c>
      <c r="E19" s="57" t="s">
        <v>312</v>
      </c>
      <c r="F19" s="33" t="s">
        <v>313</v>
      </c>
      <c r="G19" s="36">
        <v>2</v>
      </c>
      <c r="H19" s="38">
        <v>25</v>
      </c>
      <c r="I19" s="34">
        <v>12000</v>
      </c>
      <c r="J19" s="5">
        <v>4350</v>
      </c>
      <c r="K19" s="15">
        <f>L19+8110</f>
        <v>12454</v>
      </c>
      <c r="L19" s="15">
        <f>2172*2</f>
        <v>4344</v>
      </c>
      <c r="M19" s="16">
        <f t="shared" si="0"/>
        <v>4344</v>
      </c>
      <c r="N19" s="16">
        <v>0</v>
      </c>
      <c r="O19" s="62">
        <f t="shared" si="1"/>
        <v>0</v>
      </c>
      <c r="P19" s="42">
        <f t="shared" si="2"/>
        <v>10</v>
      </c>
      <c r="Q19" s="43">
        <f t="shared" si="3"/>
        <v>14</v>
      </c>
      <c r="R19" s="7"/>
      <c r="S19" s="6"/>
      <c r="T19" s="17"/>
      <c r="U19" s="17"/>
      <c r="V19" s="18"/>
      <c r="W19" s="19">
        <v>14</v>
      </c>
      <c r="X19" s="17"/>
      <c r="Y19" s="20"/>
      <c r="Z19" s="20"/>
      <c r="AA19" s="21"/>
      <c r="AB19" s="8">
        <f t="shared" si="4"/>
        <v>0.99862068965517237</v>
      </c>
      <c r="AC19" s="9">
        <f t="shared" si="5"/>
        <v>0.41666666666666669</v>
      </c>
      <c r="AD19" s="10">
        <f t="shared" si="6"/>
        <v>0.41609195402298849</v>
      </c>
      <c r="AE19" s="39">
        <f t="shared" si="7"/>
        <v>9.4383377139644065E-2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268</v>
      </c>
      <c r="F20" s="12" t="s">
        <v>120</v>
      </c>
      <c r="G20" s="12">
        <v>4</v>
      </c>
      <c r="H20" s="38">
        <v>20</v>
      </c>
      <c r="I20" s="7">
        <v>100000</v>
      </c>
      <c r="J20" s="14">
        <v>47250</v>
      </c>
      <c r="K20" s="15">
        <f>L20+35332+48744+47248</f>
        <v>131324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9.4383377139644065E-2</v>
      </c>
      <c r="AF20" s="94">
        <f t="shared" si="8"/>
        <v>15</v>
      </c>
    </row>
    <row r="21" spans="1:32" ht="31.5" customHeight="1" thickBot="1">
      <c r="A21" s="430" t="s">
        <v>34</v>
      </c>
      <c r="B21" s="431"/>
      <c r="C21" s="431"/>
      <c r="D21" s="431"/>
      <c r="E21" s="431"/>
      <c r="F21" s="431"/>
      <c r="G21" s="431"/>
      <c r="H21" s="432"/>
      <c r="I21" s="25">
        <f t="shared" ref="I21:N21" si="10">SUM(I6:I20)</f>
        <v>318700</v>
      </c>
      <c r="J21" s="22">
        <f t="shared" si="10"/>
        <v>102791</v>
      </c>
      <c r="K21" s="23">
        <f t="shared" si="10"/>
        <v>360569</v>
      </c>
      <c r="L21" s="24">
        <f t="shared" si="10"/>
        <v>10202</v>
      </c>
      <c r="M21" s="23">
        <f t="shared" si="10"/>
        <v>10202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34</v>
      </c>
      <c r="Q21" s="46">
        <f t="shared" si="11"/>
        <v>320</v>
      </c>
      <c r="R21" s="26">
        <f t="shared" si="11"/>
        <v>0</v>
      </c>
      <c r="S21" s="27">
        <f t="shared" si="11"/>
        <v>24</v>
      </c>
      <c r="T21" s="27">
        <f t="shared" si="11"/>
        <v>0</v>
      </c>
      <c r="U21" s="27">
        <f t="shared" si="11"/>
        <v>0</v>
      </c>
      <c r="V21" s="28">
        <f t="shared" si="11"/>
        <v>24</v>
      </c>
      <c r="W21" s="29">
        <f t="shared" si="11"/>
        <v>272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0.13321862618178965</v>
      </c>
      <c r="AC21" s="4">
        <f>SUM(AC6:AC20)/15</f>
        <v>9.4444444444444456E-2</v>
      </c>
      <c r="AD21" s="4">
        <f>SUM(AD6:AD20)/15</f>
        <v>9.4383377139644065E-2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33" t="s">
        <v>46</v>
      </c>
      <c r="B48" s="433"/>
      <c r="C48" s="433"/>
      <c r="D48" s="433"/>
      <c r="E48" s="43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4" t="s">
        <v>328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6"/>
      <c r="N49" s="437" t="s">
        <v>329</v>
      </c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9"/>
    </row>
    <row r="50" spans="1:32" ht="27" customHeight="1">
      <c r="A50" s="440" t="s">
        <v>2</v>
      </c>
      <c r="B50" s="441"/>
      <c r="C50" s="197" t="s">
        <v>47</v>
      </c>
      <c r="D50" s="197" t="s">
        <v>48</v>
      </c>
      <c r="E50" s="197" t="s">
        <v>113</v>
      </c>
      <c r="F50" s="441" t="s">
        <v>112</v>
      </c>
      <c r="G50" s="441"/>
      <c r="H50" s="441"/>
      <c r="I50" s="441"/>
      <c r="J50" s="441"/>
      <c r="K50" s="441"/>
      <c r="L50" s="441"/>
      <c r="M50" s="442"/>
      <c r="N50" s="73" t="s">
        <v>117</v>
      </c>
      <c r="O50" s="197" t="s">
        <v>47</v>
      </c>
      <c r="P50" s="443" t="s">
        <v>48</v>
      </c>
      <c r="Q50" s="444"/>
      <c r="R50" s="443" t="s">
        <v>39</v>
      </c>
      <c r="S50" s="445"/>
      <c r="T50" s="445"/>
      <c r="U50" s="444"/>
      <c r="V50" s="443" t="s">
        <v>49</v>
      </c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57"/>
      <c r="B51" s="458"/>
      <c r="C51" s="196"/>
      <c r="D51" s="193"/>
      <c r="E51" s="196"/>
      <c r="F51" s="459"/>
      <c r="G51" s="459"/>
      <c r="H51" s="459"/>
      <c r="I51" s="459"/>
      <c r="J51" s="459"/>
      <c r="K51" s="459"/>
      <c r="L51" s="459"/>
      <c r="M51" s="460"/>
      <c r="N51" s="192"/>
      <c r="O51" s="74"/>
      <c r="P51" s="461"/>
      <c r="Q51" s="462"/>
      <c r="R51" s="463"/>
      <c r="S51" s="463"/>
      <c r="T51" s="463"/>
      <c r="U51" s="463"/>
      <c r="V51" s="459"/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57"/>
      <c r="B52" s="458"/>
      <c r="C52" s="196"/>
      <c r="D52" s="193"/>
      <c r="E52" s="196"/>
      <c r="F52" s="459"/>
      <c r="G52" s="459"/>
      <c r="H52" s="459"/>
      <c r="I52" s="459"/>
      <c r="J52" s="459"/>
      <c r="K52" s="459"/>
      <c r="L52" s="459"/>
      <c r="M52" s="460"/>
      <c r="N52" s="192"/>
      <c r="O52" s="74"/>
      <c r="P52" s="461"/>
      <c r="Q52" s="462"/>
      <c r="R52" s="463"/>
      <c r="S52" s="463"/>
      <c r="T52" s="463"/>
      <c r="U52" s="463"/>
      <c r="V52" s="459"/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57"/>
      <c r="B53" s="458"/>
      <c r="C53" s="196"/>
      <c r="D53" s="193"/>
      <c r="E53" s="196"/>
      <c r="F53" s="459"/>
      <c r="G53" s="459"/>
      <c r="H53" s="459"/>
      <c r="I53" s="459"/>
      <c r="J53" s="459"/>
      <c r="K53" s="459"/>
      <c r="L53" s="459"/>
      <c r="M53" s="460"/>
      <c r="N53" s="192"/>
      <c r="O53" s="74"/>
      <c r="P53" s="461"/>
      <c r="Q53" s="462"/>
      <c r="R53" s="463"/>
      <c r="S53" s="463"/>
      <c r="T53" s="463"/>
      <c r="U53" s="463"/>
      <c r="V53" s="459"/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/>
      <c r="B54" s="458"/>
      <c r="C54" s="196"/>
      <c r="D54" s="193"/>
      <c r="E54" s="196"/>
      <c r="F54" s="459"/>
      <c r="G54" s="459"/>
      <c r="H54" s="459"/>
      <c r="I54" s="459"/>
      <c r="J54" s="459"/>
      <c r="K54" s="459"/>
      <c r="L54" s="459"/>
      <c r="M54" s="460"/>
      <c r="N54" s="192"/>
      <c r="O54" s="74"/>
      <c r="P54" s="461"/>
      <c r="Q54" s="462"/>
      <c r="R54" s="463"/>
      <c r="S54" s="463"/>
      <c r="T54" s="463"/>
      <c r="U54" s="463"/>
      <c r="V54" s="459"/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57"/>
      <c r="B55" s="458"/>
      <c r="C55" s="196"/>
      <c r="D55" s="193"/>
      <c r="E55" s="196"/>
      <c r="F55" s="459"/>
      <c r="G55" s="459"/>
      <c r="H55" s="459"/>
      <c r="I55" s="459"/>
      <c r="J55" s="459"/>
      <c r="K55" s="459"/>
      <c r="L55" s="459"/>
      <c r="M55" s="460"/>
      <c r="N55" s="192"/>
      <c r="O55" s="74"/>
      <c r="P55" s="461"/>
      <c r="Q55" s="462"/>
      <c r="R55" s="463"/>
      <c r="S55" s="463"/>
      <c r="T55" s="463"/>
      <c r="U55" s="463"/>
      <c r="V55" s="459"/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/>
      <c r="B56" s="463"/>
      <c r="C56" s="193"/>
      <c r="D56" s="193"/>
      <c r="E56" s="196"/>
      <c r="F56" s="459"/>
      <c r="G56" s="459"/>
      <c r="H56" s="459"/>
      <c r="I56" s="459"/>
      <c r="J56" s="459"/>
      <c r="K56" s="459"/>
      <c r="L56" s="459"/>
      <c r="M56" s="460"/>
      <c r="N56" s="192"/>
      <c r="O56" s="74"/>
      <c r="P56" s="463"/>
      <c r="Q56" s="463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193"/>
      <c r="D57" s="193"/>
      <c r="E57" s="196"/>
      <c r="F57" s="459"/>
      <c r="G57" s="459"/>
      <c r="H57" s="459"/>
      <c r="I57" s="459"/>
      <c r="J57" s="459"/>
      <c r="K57" s="459"/>
      <c r="L57" s="459"/>
      <c r="M57" s="460"/>
      <c r="N57" s="192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57"/>
      <c r="B58" s="458"/>
      <c r="C58" s="196"/>
      <c r="D58" s="193"/>
      <c r="E58" s="196"/>
      <c r="F58" s="459"/>
      <c r="G58" s="459"/>
      <c r="H58" s="459"/>
      <c r="I58" s="459"/>
      <c r="J58" s="459"/>
      <c r="K58" s="459"/>
      <c r="L58" s="459"/>
      <c r="M58" s="460"/>
      <c r="N58" s="192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193"/>
      <c r="D59" s="193"/>
      <c r="E59" s="193"/>
      <c r="F59" s="459"/>
      <c r="G59" s="459"/>
      <c r="H59" s="459"/>
      <c r="I59" s="459"/>
      <c r="J59" s="459"/>
      <c r="K59" s="459"/>
      <c r="L59" s="459"/>
      <c r="M59" s="460"/>
      <c r="N59" s="192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  <c r="AF59" s="94">
        <f>8*3000</f>
        <v>24000</v>
      </c>
    </row>
    <row r="60" spans="1:32" ht="27" customHeight="1" thickBot="1">
      <c r="A60" s="465"/>
      <c r="B60" s="466"/>
      <c r="C60" s="195"/>
      <c r="D60" s="195"/>
      <c r="E60" s="195"/>
      <c r="F60" s="467"/>
      <c r="G60" s="467"/>
      <c r="H60" s="467"/>
      <c r="I60" s="467"/>
      <c r="J60" s="467"/>
      <c r="K60" s="467"/>
      <c r="L60" s="467"/>
      <c r="M60" s="468"/>
      <c r="N60" s="194"/>
      <c r="O60" s="121"/>
      <c r="P60" s="466"/>
      <c r="Q60" s="466"/>
      <c r="R60" s="466"/>
      <c r="S60" s="466"/>
      <c r="T60" s="466"/>
      <c r="U60" s="466"/>
      <c r="V60" s="467"/>
      <c r="W60" s="467"/>
      <c r="X60" s="467"/>
      <c r="Y60" s="467"/>
      <c r="Z60" s="467"/>
      <c r="AA60" s="467"/>
      <c r="AB60" s="467"/>
      <c r="AC60" s="467"/>
      <c r="AD60" s="468"/>
      <c r="AF60" s="94">
        <f>16*3000</f>
        <v>48000</v>
      </c>
    </row>
    <row r="61" spans="1:32" ht="27.75" thickBot="1">
      <c r="A61" s="469" t="s">
        <v>330</v>
      </c>
      <c r="B61" s="469"/>
      <c r="C61" s="469"/>
      <c r="D61" s="469"/>
      <c r="E61" s="469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70" t="s">
        <v>118</v>
      </c>
      <c r="B62" s="471"/>
      <c r="C62" s="191" t="s">
        <v>2</v>
      </c>
      <c r="D62" s="191" t="s">
        <v>38</v>
      </c>
      <c r="E62" s="191" t="s">
        <v>3</v>
      </c>
      <c r="F62" s="471" t="s">
        <v>115</v>
      </c>
      <c r="G62" s="471"/>
      <c r="H62" s="471"/>
      <c r="I62" s="471"/>
      <c r="J62" s="471"/>
      <c r="K62" s="471" t="s">
        <v>40</v>
      </c>
      <c r="L62" s="471"/>
      <c r="M62" s="191" t="s">
        <v>41</v>
      </c>
      <c r="N62" s="471" t="s">
        <v>42</v>
      </c>
      <c r="O62" s="471"/>
      <c r="P62" s="472" t="s">
        <v>43</v>
      </c>
      <c r="Q62" s="473"/>
      <c r="R62" s="472" t="s">
        <v>44</v>
      </c>
      <c r="S62" s="474"/>
      <c r="T62" s="474"/>
      <c r="U62" s="474"/>
      <c r="V62" s="474"/>
      <c r="W62" s="474"/>
      <c r="X62" s="474"/>
      <c r="Y62" s="474"/>
      <c r="Z62" s="474"/>
      <c r="AA62" s="473"/>
      <c r="AB62" s="471" t="s">
        <v>45</v>
      </c>
      <c r="AC62" s="471"/>
      <c r="AD62" s="475"/>
      <c r="AF62" s="94">
        <f>SUM(AF59:AF61)</f>
        <v>96000</v>
      </c>
    </row>
    <row r="63" spans="1:32" ht="25.5" customHeight="1">
      <c r="A63" s="476">
        <v>1</v>
      </c>
      <c r="B63" s="477"/>
      <c r="C63" s="133"/>
      <c r="D63" s="187"/>
      <c r="E63" s="189"/>
      <c r="F63" s="478"/>
      <c r="G63" s="479"/>
      <c r="H63" s="479"/>
      <c r="I63" s="479"/>
      <c r="J63" s="479"/>
      <c r="K63" s="479"/>
      <c r="L63" s="479"/>
      <c r="M63" s="54"/>
      <c r="N63" s="479"/>
      <c r="O63" s="479"/>
      <c r="P63" s="480"/>
      <c r="Q63" s="480"/>
      <c r="R63" s="459"/>
      <c r="S63" s="459"/>
      <c r="T63" s="459"/>
      <c r="U63" s="459"/>
      <c r="V63" s="459"/>
      <c r="W63" s="459"/>
      <c r="X63" s="459"/>
      <c r="Y63" s="459"/>
      <c r="Z63" s="459"/>
      <c r="AA63" s="459"/>
      <c r="AB63" s="479"/>
      <c r="AC63" s="479"/>
      <c r="AD63" s="481"/>
      <c r="AF63" s="53"/>
    </row>
    <row r="64" spans="1:32" ht="25.5" customHeight="1">
      <c r="A64" s="476">
        <v>2</v>
      </c>
      <c r="B64" s="477"/>
      <c r="C64" s="133"/>
      <c r="D64" s="187"/>
      <c r="E64" s="189"/>
      <c r="F64" s="478"/>
      <c r="G64" s="479"/>
      <c r="H64" s="479"/>
      <c r="I64" s="479"/>
      <c r="J64" s="479"/>
      <c r="K64" s="479"/>
      <c r="L64" s="479"/>
      <c r="M64" s="54"/>
      <c r="N64" s="479"/>
      <c r="O64" s="479"/>
      <c r="P64" s="480"/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</row>
    <row r="65" spans="1:32" ht="25.5" customHeight="1">
      <c r="A65" s="476">
        <v>3</v>
      </c>
      <c r="B65" s="477"/>
      <c r="C65" s="133"/>
      <c r="D65" s="187"/>
      <c r="E65" s="189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4</v>
      </c>
      <c r="B66" s="477"/>
      <c r="C66" s="133"/>
      <c r="D66" s="187"/>
      <c r="E66" s="189"/>
      <c r="F66" s="479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5</v>
      </c>
      <c r="B67" s="477"/>
      <c r="C67" s="133"/>
      <c r="D67" s="187"/>
      <c r="E67" s="189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6</v>
      </c>
      <c r="B68" s="477"/>
      <c r="C68" s="133"/>
      <c r="D68" s="187"/>
      <c r="E68" s="189"/>
      <c r="F68" s="478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7</v>
      </c>
      <c r="B69" s="477"/>
      <c r="C69" s="133"/>
      <c r="D69" s="187"/>
      <c r="E69" s="189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8</v>
      </c>
      <c r="B70" s="477"/>
      <c r="C70" s="133"/>
      <c r="D70" s="187"/>
      <c r="E70" s="189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6.25" customHeight="1" thickBot="1">
      <c r="A71" s="482" t="s">
        <v>331</v>
      </c>
      <c r="B71" s="482"/>
      <c r="C71" s="482"/>
      <c r="D71" s="482"/>
      <c r="E71" s="48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83" t="s">
        <v>118</v>
      </c>
      <c r="B72" s="484"/>
      <c r="C72" s="190" t="s">
        <v>2</v>
      </c>
      <c r="D72" s="190" t="s">
        <v>38</v>
      </c>
      <c r="E72" s="190" t="s">
        <v>3</v>
      </c>
      <c r="F72" s="484" t="s">
        <v>39</v>
      </c>
      <c r="G72" s="484"/>
      <c r="H72" s="484"/>
      <c r="I72" s="484"/>
      <c r="J72" s="484"/>
      <c r="K72" s="485" t="s">
        <v>60</v>
      </c>
      <c r="L72" s="486"/>
      <c r="M72" s="486"/>
      <c r="N72" s="486"/>
      <c r="O72" s="486"/>
      <c r="P72" s="486"/>
      <c r="Q72" s="486"/>
      <c r="R72" s="486"/>
      <c r="S72" s="487"/>
      <c r="T72" s="484" t="s">
        <v>50</v>
      </c>
      <c r="U72" s="484"/>
      <c r="V72" s="485" t="s">
        <v>51</v>
      </c>
      <c r="W72" s="487"/>
      <c r="X72" s="486" t="s">
        <v>52</v>
      </c>
      <c r="Y72" s="486"/>
      <c r="Z72" s="486"/>
      <c r="AA72" s="486"/>
      <c r="AB72" s="486"/>
      <c r="AC72" s="486"/>
      <c r="AD72" s="488"/>
      <c r="AF72" s="53"/>
    </row>
    <row r="73" spans="1:32" ht="33.75" customHeight="1">
      <c r="A73" s="497">
        <v>1</v>
      </c>
      <c r="B73" s="498"/>
      <c r="C73" s="188" t="s">
        <v>62</v>
      </c>
      <c r="D73" s="188"/>
      <c r="E73" s="71" t="s">
        <v>58</v>
      </c>
      <c r="F73" s="499" t="s">
        <v>63</v>
      </c>
      <c r="G73" s="500"/>
      <c r="H73" s="500"/>
      <c r="I73" s="500"/>
      <c r="J73" s="501"/>
      <c r="K73" s="502" t="s">
        <v>61</v>
      </c>
      <c r="L73" s="503"/>
      <c r="M73" s="503"/>
      <c r="N73" s="503"/>
      <c r="O73" s="503"/>
      <c r="P73" s="503"/>
      <c r="Q73" s="503"/>
      <c r="R73" s="503"/>
      <c r="S73" s="504"/>
      <c r="T73" s="505">
        <v>41791</v>
      </c>
      <c r="U73" s="506"/>
      <c r="V73" s="507"/>
      <c r="W73" s="507"/>
      <c r="X73" s="508"/>
      <c r="Y73" s="508"/>
      <c r="Z73" s="508"/>
      <c r="AA73" s="508"/>
      <c r="AB73" s="508"/>
      <c r="AC73" s="508"/>
      <c r="AD73" s="509"/>
      <c r="AF73" s="53"/>
    </row>
    <row r="74" spans="1:32" ht="30" customHeight="1">
      <c r="A74" s="489">
        <f>A73+1</f>
        <v>2</v>
      </c>
      <c r="B74" s="490"/>
      <c r="C74" s="187" t="s">
        <v>127</v>
      </c>
      <c r="D74" s="187"/>
      <c r="E74" s="35" t="s">
        <v>121</v>
      </c>
      <c r="F74" s="490" t="s">
        <v>129</v>
      </c>
      <c r="G74" s="490"/>
      <c r="H74" s="490"/>
      <c r="I74" s="490"/>
      <c r="J74" s="490"/>
      <c r="K74" s="491" t="s">
        <v>61</v>
      </c>
      <c r="L74" s="492"/>
      <c r="M74" s="492"/>
      <c r="N74" s="492"/>
      <c r="O74" s="492"/>
      <c r="P74" s="492"/>
      <c r="Q74" s="492"/>
      <c r="R74" s="492"/>
      <c r="S74" s="493"/>
      <c r="T74" s="494">
        <v>42779</v>
      </c>
      <c r="U74" s="494"/>
      <c r="V74" s="494"/>
      <c r="W74" s="494"/>
      <c r="X74" s="495"/>
      <c r="Y74" s="495"/>
      <c r="Z74" s="495"/>
      <c r="AA74" s="495"/>
      <c r="AB74" s="495"/>
      <c r="AC74" s="495"/>
      <c r="AD74" s="496"/>
      <c r="AF74" s="53"/>
    </row>
    <row r="75" spans="1:32" ht="30" customHeight="1">
      <c r="A75" s="489">
        <f t="shared" ref="A75:A81" si="12">A74+1</f>
        <v>3</v>
      </c>
      <c r="B75" s="490"/>
      <c r="C75" s="187" t="s">
        <v>62</v>
      </c>
      <c r="D75" s="187"/>
      <c r="E75" s="35" t="s">
        <v>121</v>
      </c>
      <c r="F75" s="490" t="s">
        <v>124</v>
      </c>
      <c r="G75" s="490"/>
      <c r="H75" s="490"/>
      <c r="I75" s="490"/>
      <c r="J75" s="490"/>
      <c r="K75" s="491" t="s">
        <v>61</v>
      </c>
      <c r="L75" s="492"/>
      <c r="M75" s="492"/>
      <c r="N75" s="492"/>
      <c r="O75" s="492"/>
      <c r="P75" s="492"/>
      <c r="Q75" s="492"/>
      <c r="R75" s="492"/>
      <c r="S75" s="493"/>
      <c r="T75" s="494">
        <v>42667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si="12"/>
        <v>4</v>
      </c>
      <c r="B76" s="490"/>
      <c r="C76" s="187" t="s">
        <v>62</v>
      </c>
      <c r="D76" s="187"/>
      <c r="E76" s="35" t="s">
        <v>121</v>
      </c>
      <c r="F76" s="490" t="s">
        <v>140</v>
      </c>
      <c r="G76" s="490"/>
      <c r="H76" s="490"/>
      <c r="I76" s="490"/>
      <c r="J76" s="490"/>
      <c r="K76" s="491" t="s">
        <v>141</v>
      </c>
      <c r="L76" s="492"/>
      <c r="M76" s="492"/>
      <c r="N76" s="492"/>
      <c r="O76" s="492"/>
      <c r="P76" s="492"/>
      <c r="Q76" s="492"/>
      <c r="R76" s="492"/>
      <c r="S76" s="493"/>
      <c r="T76" s="494">
        <v>42829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12"/>
        <v>5</v>
      </c>
      <c r="B77" s="490"/>
      <c r="C77" s="187" t="s">
        <v>62</v>
      </c>
      <c r="D77" s="187"/>
      <c r="E77" s="35" t="s">
        <v>58</v>
      </c>
      <c r="F77" s="490" t="s">
        <v>125</v>
      </c>
      <c r="G77" s="490"/>
      <c r="H77" s="490"/>
      <c r="I77" s="490"/>
      <c r="J77" s="490"/>
      <c r="K77" s="491" t="s">
        <v>61</v>
      </c>
      <c r="L77" s="492"/>
      <c r="M77" s="492"/>
      <c r="N77" s="492"/>
      <c r="O77" s="492"/>
      <c r="P77" s="492"/>
      <c r="Q77" s="492"/>
      <c r="R77" s="492"/>
      <c r="S77" s="493"/>
      <c r="T77" s="494">
        <v>42667</v>
      </c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12"/>
        <v>6</v>
      </c>
      <c r="B78" s="490"/>
      <c r="C78" s="187"/>
      <c r="D78" s="187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12"/>
        <v>7</v>
      </c>
      <c r="B79" s="490"/>
      <c r="C79" s="187"/>
      <c r="D79" s="187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12"/>
        <v>8</v>
      </c>
      <c r="B80" s="490"/>
      <c r="C80" s="187"/>
      <c r="D80" s="187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12"/>
        <v>9</v>
      </c>
      <c r="B81" s="490"/>
      <c r="C81" s="187"/>
      <c r="D81" s="187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6" thickBot="1">
      <c r="A82" s="482" t="s">
        <v>332</v>
      </c>
      <c r="B82" s="482"/>
      <c r="C82" s="482"/>
      <c r="D82" s="482"/>
      <c r="E82" s="48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510" t="s">
        <v>37</v>
      </c>
      <c r="B83" s="511"/>
      <c r="C83" s="511" t="s">
        <v>53</v>
      </c>
      <c r="D83" s="511"/>
      <c r="E83" s="511" t="s">
        <v>54</v>
      </c>
      <c r="F83" s="511"/>
      <c r="G83" s="511"/>
      <c r="H83" s="511"/>
      <c r="I83" s="511"/>
      <c r="J83" s="511"/>
      <c r="K83" s="511" t="s">
        <v>55</v>
      </c>
      <c r="L83" s="511"/>
      <c r="M83" s="511"/>
      <c r="N83" s="511"/>
      <c r="O83" s="511"/>
      <c r="P83" s="511"/>
      <c r="Q83" s="511"/>
      <c r="R83" s="511"/>
      <c r="S83" s="511"/>
      <c r="T83" s="511" t="s">
        <v>56</v>
      </c>
      <c r="U83" s="511"/>
      <c r="V83" s="511" t="s">
        <v>57</v>
      </c>
      <c r="W83" s="511"/>
      <c r="X83" s="511"/>
      <c r="Y83" s="511" t="s">
        <v>52</v>
      </c>
      <c r="Z83" s="511"/>
      <c r="AA83" s="511"/>
      <c r="AB83" s="511"/>
      <c r="AC83" s="511"/>
      <c r="AD83" s="512"/>
      <c r="AF83" s="53"/>
    </row>
    <row r="84" spans="1:32" ht="30.75" customHeight="1">
      <c r="A84" s="513">
        <v>1</v>
      </c>
      <c r="B84" s="514"/>
      <c r="C84" s="515"/>
      <c r="D84" s="515"/>
      <c r="E84" s="515"/>
      <c r="F84" s="515"/>
      <c r="G84" s="515"/>
      <c r="H84" s="515"/>
      <c r="I84" s="515"/>
      <c r="J84" s="515"/>
      <c r="K84" s="515"/>
      <c r="L84" s="515"/>
      <c r="M84" s="515"/>
      <c r="N84" s="515"/>
      <c r="O84" s="515"/>
      <c r="P84" s="515"/>
      <c r="Q84" s="515"/>
      <c r="R84" s="515"/>
      <c r="S84" s="515"/>
      <c r="T84" s="515"/>
      <c r="U84" s="515"/>
      <c r="V84" s="516"/>
      <c r="W84" s="516"/>
      <c r="X84" s="516"/>
      <c r="Y84" s="517"/>
      <c r="Z84" s="517"/>
      <c r="AA84" s="517"/>
      <c r="AB84" s="517"/>
      <c r="AC84" s="517"/>
      <c r="AD84" s="518"/>
      <c r="AF84" s="53"/>
    </row>
    <row r="85" spans="1:32" ht="30.75" customHeight="1">
      <c r="A85" s="489">
        <v>2</v>
      </c>
      <c r="B85" s="490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 thickBot="1">
      <c r="A86" s="519">
        <v>3</v>
      </c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1"/>
      <c r="Z86" s="521"/>
      <c r="AA86" s="521"/>
      <c r="AB86" s="521"/>
      <c r="AC86" s="521"/>
      <c r="AD86" s="52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9"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333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198" t="s">
        <v>17</v>
      </c>
      <c r="L5" s="198" t="s">
        <v>18</v>
      </c>
      <c r="M5" s="198" t="s">
        <v>19</v>
      </c>
      <c r="N5" s="19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1.9414062499999999E-2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127</v>
      </c>
      <c r="D7" s="55" t="s">
        <v>178</v>
      </c>
      <c r="E7" s="56" t="s">
        <v>179</v>
      </c>
      <c r="F7" s="12" t="s">
        <v>180</v>
      </c>
      <c r="G7" s="36">
        <v>2</v>
      </c>
      <c r="H7" s="38">
        <v>25</v>
      </c>
      <c r="I7" s="7">
        <v>40000</v>
      </c>
      <c r="J7" s="14">
        <v>3050</v>
      </c>
      <c r="K7" s="15">
        <f>L7+7596+10920+10616+10866+3048</f>
        <v>43046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1.9414062499999999E-2</v>
      </c>
      <c r="AF7" s="94">
        <f>A7</f>
        <v>2</v>
      </c>
    </row>
    <row r="8" spans="1:32" ht="27" customHeight="1">
      <c r="A8" s="109">
        <v>3</v>
      </c>
      <c r="B8" s="11" t="s">
        <v>293</v>
      </c>
      <c r="C8" s="11" t="s">
        <v>127</v>
      </c>
      <c r="D8" s="55" t="s">
        <v>123</v>
      </c>
      <c r="E8" s="57" t="s">
        <v>164</v>
      </c>
      <c r="F8" s="12" t="s">
        <v>128</v>
      </c>
      <c r="G8" s="36">
        <v>1</v>
      </c>
      <c r="H8" s="38">
        <v>25</v>
      </c>
      <c r="I8" s="7">
        <v>30000</v>
      </c>
      <c r="J8" s="14">
        <v>5630</v>
      </c>
      <c r="K8" s="15">
        <f>L8+3518+5719+5664+5626</f>
        <v>20527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>
        <v>24</v>
      </c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1.9414062499999999E-2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58</v>
      </c>
      <c r="E9" s="57" t="s">
        <v>133</v>
      </c>
      <c r="F9" s="12" t="s">
        <v>126</v>
      </c>
      <c r="G9" s="12">
        <v>1</v>
      </c>
      <c r="H9" s="13">
        <v>25</v>
      </c>
      <c r="I9" s="34">
        <v>27000</v>
      </c>
      <c r="J9" s="5">
        <v>1280</v>
      </c>
      <c r="K9" s="15">
        <f>L9+3312+5792+3396+5312+712+2220+3674+3855+4866+5858</f>
        <v>40275</v>
      </c>
      <c r="L9" s="15">
        <v>1278</v>
      </c>
      <c r="M9" s="16">
        <f t="shared" si="0"/>
        <v>1278</v>
      </c>
      <c r="N9" s="16">
        <v>0</v>
      </c>
      <c r="O9" s="62">
        <f t="shared" si="1"/>
        <v>0</v>
      </c>
      <c r="P9" s="42">
        <f t="shared" si="2"/>
        <v>7</v>
      </c>
      <c r="Q9" s="43">
        <f t="shared" si="3"/>
        <v>17</v>
      </c>
      <c r="R9" s="7"/>
      <c r="S9" s="6"/>
      <c r="T9" s="17"/>
      <c r="U9" s="17"/>
      <c r="V9" s="18"/>
      <c r="W9" s="19">
        <v>17</v>
      </c>
      <c r="X9" s="17"/>
      <c r="Y9" s="20"/>
      <c r="Z9" s="20"/>
      <c r="AA9" s="21"/>
      <c r="AB9" s="8">
        <f t="shared" si="4"/>
        <v>0.99843749999999998</v>
      </c>
      <c r="AC9" s="9">
        <f t="shared" si="5"/>
        <v>0.29166666666666669</v>
      </c>
      <c r="AD9" s="10">
        <f t="shared" si="6"/>
        <v>0.29121093749999999</v>
      </c>
      <c r="AE9" s="39">
        <f t="shared" si="7"/>
        <v>1.9414062499999999E-2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127</v>
      </c>
      <c r="D10" s="55" t="s">
        <v>58</v>
      </c>
      <c r="E10" s="57" t="s">
        <v>192</v>
      </c>
      <c r="F10" s="12" t="s">
        <v>193</v>
      </c>
      <c r="G10" s="12">
        <v>1</v>
      </c>
      <c r="H10" s="13">
        <v>25</v>
      </c>
      <c r="I10" s="34">
        <v>7000</v>
      </c>
      <c r="J10" s="14">
        <v>2690</v>
      </c>
      <c r="K10" s="15">
        <f>L10+2683</f>
        <v>2683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1.9414062499999999E-2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294</v>
      </c>
      <c r="F11" s="12" t="s">
        <v>136</v>
      </c>
      <c r="G11" s="12">
        <v>1</v>
      </c>
      <c r="H11" s="13">
        <v>25</v>
      </c>
      <c r="I11" s="34">
        <v>12000</v>
      </c>
      <c r="J11" s="14">
        <v>3370</v>
      </c>
      <c r="K11" s="15">
        <f>L11+10884+3366</f>
        <v>14250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18</v>
      </c>
      <c r="R11" s="7"/>
      <c r="S11" s="6"/>
      <c r="T11" s="17"/>
      <c r="U11" s="17"/>
      <c r="V11" s="18"/>
      <c r="W11" s="19">
        <v>18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1.9414062499999999E-2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127</v>
      </c>
      <c r="D12" s="55" t="s">
        <v>123</v>
      </c>
      <c r="E12" s="57" t="s">
        <v>177</v>
      </c>
      <c r="F12" s="12" t="s">
        <v>173</v>
      </c>
      <c r="G12" s="12">
        <v>1</v>
      </c>
      <c r="H12" s="13">
        <v>25</v>
      </c>
      <c r="I12" s="34">
        <v>7000</v>
      </c>
      <c r="J12" s="5">
        <v>850</v>
      </c>
      <c r="K12" s="15">
        <f>L12+3669+4594+846</f>
        <v>9109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1.9414062499999999E-2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218</v>
      </c>
      <c r="E13" s="57" t="s">
        <v>263</v>
      </c>
      <c r="F13" s="12" t="s">
        <v>230</v>
      </c>
      <c r="G13" s="12">
        <v>1</v>
      </c>
      <c r="H13" s="13">
        <v>25</v>
      </c>
      <c r="I13" s="7">
        <v>200</v>
      </c>
      <c r="J13" s="14">
        <v>221</v>
      </c>
      <c r="K13" s="15">
        <f>L13+221</f>
        <v>221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1.9414062499999999E-2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127</v>
      </c>
      <c r="D14" s="55" t="s">
        <v>145</v>
      </c>
      <c r="E14" s="57" t="s">
        <v>150</v>
      </c>
      <c r="F14" s="33" t="s">
        <v>147</v>
      </c>
      <c r="G14" s="36">
        <v>1</v>
      </c>
      <c r="H14" s="38">
        <v>25</v>
      </c>
      <c r="I14" s="7">
        <v>10000</v>
      </c>
      <c r="J14" s="5">
        <v>4790</v>
      </c>
      <c r="K14" s="15">
        <f>L14+2472+5133+4788</f>
        <v>12393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1.9414062499999999E-2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122</v>
      </c>
      <c r="D15" s="55" t="s">
        <v>143</v>
      </c>
      <c r="E15" s="57" t="s">
        <v>151</v>
      </c>
      <c r="F15" s="12">
        <v>8301</v>
      </c>
      <c r="G15" s="12">
        <v>1</v>
      </c>
      <c r="H15" s="13">
        <v>25</v>
      </c>
      <c r="I15" s="34">
        <v>2500</v>
      </c>
      <c r="J15" s="5">
        <v>3980</v>
      </c>
      <c r="K15" s="15">
        <f>L15+2138+3980</f>
        <v>6118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1.9414062499999999E-2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127</v>
      </c>
      <c r="D16" s="55" t="s">
        <v>144</v>
      </c>
      <c r="E16" s="57" t="s">
        <v>153</v>
      </c>
      <c r="F16" s="12">
        <v>7301</v>
      </c>
      <c r="G16" s="36">
        <v>1</v>
      </c>
      <c r="H16" s="38">
        <v>25</v>
      </c>
      <c r="I16" s="7">
        <v>30000</v>
      </c>
      <c r="J16" s="14">
        <v>5610</v>
      </c>
      <c r="K16" s="15">
        <f>L16+2878+5819+5765+4332+5828+4680+5824+5603</f>
        <v>40729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1.9414062499999999E-2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127</v>
      </c>
      <c r="D17" s="55" t="s">
        <v>171</v>
      </c>
      <c r="E17" s="56" t="s">
        <v>174</v>
      </c>
      <c r="F17" s="12" t="s">
        <v>136</v>
      </c>
      <c r="G17" s="12">
        <v>1</v>
      </c>
      <c r="H17" s="13">
        <v>25</v>
      </c>
      <c r="I17" s="34">
        <v>7000</v>
      </c>
      <c r="J17" s="5">
        <v>4740</v>
      </c>
      <c r="K17" s="15">
        <f>L17+5195+4740</f>
        <v>9935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1.9414062499999999E-2</v>
      </c>
      <c r="AF17" s="94">
        <f t="shared" si="8"/>
        <v>12</v>
      </c>
    </row>
    <row r="18" spans="1:32" ht="27" customHeight="1">
      <c r="A18" s="110">
        <v>13</v>
      </c>
      <c r="B18" s="11" t="s">
        <v>293</v>
      </c>
      <c r="C18" s="37" t="s">
        <v>127</v>
      </c>
      <c r="D18" s="55" t="s">
        <v>58</v>
      </c>
      <c r="E18" s="57" t="s">
        <v>155</v>
      </c>
      <c r="F18" s="12" t="s">
        <v>156</v>
      </c>
      <c r="G18" s="12">
        <v>1</v>
      </c>
      <c r="H18" s="13">
        <v>25</v>
      </c>
      <c r="I18" s="34">
        <v>30000</v>
      </c>
      <c r="J18" s="5">
        <v>4260</v>
      </c>
      <c r="K18" s="15">
        <f>L18+3759+4632+4258</f>
        <v>12649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>
        <v>24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1.9414062499999999E-2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254</v>
      </c>
      <c r="D19" s="55" t="s">
        <v>250</v>
      </c>
      <c r="E19" s="57" t="s">
        <v>312</v>
      </c>
      <c r="F19" s="33" t="s">
        <v>313</v>
      </c>
      <c r="G19" s="36">
        <v>2</v>
      </c>
      <c r="H19" s="38">
        <v>25</v>
      </c>
      <c r="I19" s="34">
        <v>12000</v>
      </c>
      <c r="J19" s="5">
        <v>4350</v>
      </c>
      <c r="K19" s="15">
        <f>L19+8110+4344</f>
        <v>12454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1.9414062499999999E-2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268</v>
      </c>
      <c r="F20" s="12" t="s">
        <v>120</v>
      </c>
      <c r="G20" s="12">
        <v>4</v>
      </c>
      <c r="H20" s="38">
        <v>20</v>
      </c>
      <c r="I20" s="7">
        <v>100000</v>
      </c>
      <c r="J20" s="14">
        <v>47250</v>
      </c>
      <c r="K20" s="15">
        <f>L20+35332+48744+47248</f>
        <v>131324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1.9414062499999999E-2</v>
      </c>
      <c r="AF20" s="94">
        <f t="shared" si="8"/>
        <v>15</v>
      </c>
    </row>
    <row r="21" spans="1:32" ht="31.5" customHeight="1" thickBot="1">
      <c r="A21" s="430" t="s">
        <v>34</v>
      </c>
      <c r="B21" s="431"/>
      <c r="C21" s="431"/>
      <c r="D21" s="431"/>
      <c r="E21" s="431"/>
      <c r="F21" s="431"/>
      <c r="G21" s="431"/>
      <c r="H21" s="432"/>
      <c r="I21" s="25">
        <f t="shared" ref="I21:N21" si="10">SUM(I6:I20)</f>
        <v>318700</v>
      </c>
      <c r="J21" s="22">
        <f t="shared" si="10"/>
        <v>98211</v>
      </c>
      <c r="K21" s="23">
        <f t="shared" si="10"/>
        <v>361847</v>
      </c>
      <c r="L21" s="24">
        <f t="shared" si="10"/>
        <v>1278</v>
      </c>
      <c r="M21" s="23">
        <f t="shared" si="10"/>
        <v>1278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7</v>
      </c>
      <c r="Q21" s="46">
        <f t="shared" si="11"/>
        <v>347</v>
      </c>
      <c r="R21" s="26">
        <f t="shared" si="11"/>
        <v>0</v>
      </c>
      <c r="S21" s="27">
        <f t="shared" si="11"/>
        <v>24</v>
      </c>
      <c r="T21" s="27">
        <f t="shared" si="11"/>
        <v>0</v>
      </c>
      <c r="U21" s="27">
        <f t="shared" si="11"/>
        <v>0</v>
      </c>
      <c r="V21" s="28">
        <f t="shared" si="11"/>
        <v>24</v>
      </c>
      <c r="W21" s="29">
        <f t="shared" si="11"/>
        <v>299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6.6562499999999997E-2</v>
      </c>
      <c r="AC21" s="4">
        <f>SUM(AC6:AC20)/15</f>
        <v>1.9444444444444445E-2</v>
      </c>
      <c r="AD21" s="4">
        <f>SUM(AD6:AD20)/15</f>
        <v>1.9414062499999999E-2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33" t="s">
        <v>46</v>
      </c>
      <c r="B48" s="433"/>
      <c r="C48" s="433"/>
      <c r="D48" s="433"/>
      <c r="E48" s="43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4" t="s">
        <v>334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6"/>
      <c r="N49" s="437" t="s">
        <v>335</v>
      </c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9"/>
    </row>
    <row r="50" spans="1:32" ht="27" customHeight="1">
      <c r="A50" s="440" t="s">
        <v>2</v>
      </c>
      <c r="B50" s="441"/>
      <c r="C50" s="197" t="s">
        <v>47</v>
      </c>
      <c r="D50" s="197" t="s">
        <v>48</v>
      </c>
      <c r="E50" s="197" t="s">
        <v>113</v>
      </c>
      <c r="F50" s="441" t="s">
        <v>112</v>
      </c>
      <c r="G50" s="441"/>
      <c r="H50" s="441"/>
      <c r="I50" s="441"/>
      <c r="J50" s="441"/>
      <c r="K50" s="441"/>
      <c r="L50" s="441"/>
      <c r="M50" s="442"/>
      <c r="N50" s="73" t="s">
        <v>117</v>
      </c>
      <c r="O50" s="197" t="s">
        <v>47</v>
      </c>
      <c r="P50" s="443" t="s">
        <v>48</v>
      </c>
      <c r="Q50" s="444"/>
      <c r="R50" s="443" t="s">
        <v>39</v>
      </c>
      <c r="S50" s="445"/>
      <c r="T50" s="445"/>
      <c r="U50" s="444"/>
      <c r="V50" s="443" t="s">
        <v>49</v>
      </c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57"/>
      <c r="B51" s="458"/>
      <c r="C51" s="196"/>
      <c r="D51" s="193"/>
      <c r="E51" s="196"/>
      <c r="F51" s="459"/>
      <c r="G51" s="459"/>
      <c r="H51" s="459"/>
      <c r="I51" s="459"/>
      <c r="J51" s="459"/>
      <c r="K51" s="459"/>
      <c r="L51" s="459"/>
      <c r="M51" s="460"/>
      <c r="N51" s="192" t="s">
        <v>336</v>
      </c>
      <c r="O51" s="74" t="s">
        <v>337</v>
      </c>
      <c r="P51" s="461" t="s">
        <v>338</v>
      </c>
      <c r="Q51" s="462"/>
      <c r="R51" s="463" t="s">
        <v>339</v>
      </c>
      <c r="S51" s="463"/>
      <c r="T51" s="463"/>
      <c r="U51" s="463"/>
      <c r="V51" s="459" t="s">
        <v>340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57"/>
      <c r="B52" s="458"/>
      <c r="C52" s="196"/>
      <c r="D52" s="193"/>
      <c r="E52" s="196"/>
      <c r="F52" s="459"/>
      <c r="G52" s="459"/>
      <c r="H52" s="459"/>
      <c r="I52" s="459"/>
      <c r="J52" s="459"/>
      <c r="K52" s="459"/>
      <c r="L52" s="459"/>
      <c r="M52" s="460"/>
      <c r="N52" s="192" t="s">
        <v>341</v>
      </c>
      <c r="O52" s="74" t="s">
        <v>342</v>
      </c>
      <c r="P52" s="461" t="s">
        <v>343</v>
      </c>
      <c r="Q52" s="462"/>
      <c r="R52" s="463" t="s">
        <v>344</v>
      </c>
      <c r="S52" s="463"/>
      <c r="T52" s="463"/>
      <c r="U52" s="463"/>
      <c r="V52" s="459" t="s">
        <v>345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57"/>
      <c r="B53" s="458"/>
      <c r="C53" s="196"/>
      <c r="D53" s="193"/>
      <c r="E53" s="196"/>
      <c r="F53" s="459"/>
      <c r="G53" s="459"/>
      <c r="H53" s="459"/>
      <c r="I53" s="459"/>
      <c r="J53" s="459"/>
      <c r="K53" s="459"/>
      <c r="L53" s="459"/>
      <c r="M53" s="460"/>
      <c r="N53" s="192" t="s">
        <v>152</v>
      </c>
      <c r="O53" s="74" t="s">
        <v>346</v>
      </c>
      <c r="P53" s="461" t="s">
        <v>347</v>
      </c>
      <c r="Q53" s="462"/>
      <c r="R53" s="463" t="s">
        <v>348</v>
      </c>
      <c r="S53" s="463"/>
      <c r="T53" s="463"/>
      <c r="U53" s="463"/>
      <c r="V53" s="459" t="s">
        <v>349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/>
      <c r="B54" s="458"/>
      <c r="C54" s="196"/>
      <c r="D54" s="193"/>
      <c r="E54" s="196"/>
      <c r="F54" s="459"/>
      <c r="G54" s="459"/>
      <c r="H54" s="459"/>
      <c r="I54" s="459"/>
      <c r="J54" s="459"/>
      <c r="K54" s="459"/>
      <c r="L54" s="459"/>
      <c r="M54" s="460"/>
      <c r="N54" s="192"/>
      <c r="O54" s="74"/>
      <c r="P54" s="461"/>
      <c r="Q54" s="462"/>
      <c r="R54" s="463"/>
      <c r="S54" s="463"/>
      <c r="T54" s="463"/>
      <c r="U54" s="463"/>
      <c r="V54" s="459"/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57"/>
      <c r="B55" s="458"/>
      <c r="C55" s="196"/>
      <c r="D55" s="193"/>
      <c r="E55" s="196"/>
      <c r="F55" s="459"/>
      <c r="G55" s="459"/>
      <c r="H55" s="459"/>
      <c r="I55" s="459"/>
      <c r="J55" s="459"/>
      <c r="K55" s="459"/>
      <c r="L55" s="459"/>
      <c r="M55" s="460"/>
      <c r="N55" s="192"/>
      <c r="O55" s="74"/>
      <c r="P55" s="461"/>
      <c r="Q55" s="462"/>
      <c r="R55" s="463"/>
      <c r="S55" s="463"/>
      <c r="T55" s="463"/>
      <c r="U55" s="463"/>
      <c r="V55" s="459"/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/>
      <c r="B56" s="463"/>
      <c r="C56" s="193"/>
      <c r="D56" s="193"/>
      <c r="E56" s="196"/>
      <c r="F56" s="459"/>
      <c r="G56" s="459"/>
      <c r="H56" s="459"/>
      <c r="I56" s="459"/>
      <c r="J56" s="459"/>
      <c r="K56" s="459"/>
      <c r="L56" s="459"/>
      <c r="M56" s="460"/>
      <c r="N56" s="192"/>
      <c r="O56" s="74"/>
      <c r="P56" s="463"/>
      <c r="Q56" s="463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193"/>
      <c r="D57" s="193"/>
      <c r="E57" s="196"/>
      <c r="F57" s="459"/>
      <c r="G57" s="459"/>
      <c r="H57" s="459"/>
      <c r="I57" s="459"/>
      <c r="J57" s="459"/>
      <c r="K57" s="459"/>
      <c r="L57" s="459"/>
      <c r="M57" s="460"/>
      <c r="N57" s="192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57"/>
      <c r="B58" s="458"/>
      <c r="C58" s="196"/>
      <c r="D58" s="193"/>
      <c r="E58" s="196"/>
      <c r="F58" s="459"/>
      <c r="G58" s="459"/>
      <c r="H58" s="459"/>
      <c r="I58" s="459"/>
      <c r="J58" s="459"/>
      <c r="K58" s="459"/>
      <c r="L58" s="459"/>
      <c r="M58" s="460"/>
      <c r="N58" s="192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193"/>
      <c r="D59" s="193"/>
      <c r="E59" s="193"/>
      <c r="F59" s="459"/>
      <c r="G59" s="459"/>
      <c r="H59" s="459"/>
      <c r="I59" s="459"/>
      <c r="J59" s="459"/>
      <c r="K59" s="459"/>
      <c r="L59" s="459"/>
      <c r="M59" s="460"/>
      <c r="N59" s="192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  <c r="AF59" s="94">
        <f>8*3000</f>
        <v>24000</v>
      </c>
    </row>
    <row r="60" spans="1:32" ht="27" customHeight="1" thickBot="1">
      <c r="A60" s="465"/>
      <c r="B60" s="466"/>
      <c r="C60" s="195"/>
      <c r="D60" s="195"/>
      <c r="E60" s="195"/>
      <c r="F60" s="467"/>
      <c r="G60" s="467"/>
      <c r="H60" s="467"/>
      <c r="I60" s="467"/>
      <c r="J60" s="467"/>
      <c r="K60" s="467"/>
      <c r="L60" s="467"/>
      <c r="M60" s="468"/>
      <c r="N60" s="194"/>
      <c r="O60" s="121"/>
      <c r="P60" s="466"/>
      <c r="Q60" s="466"/>
      <c r="R60" s="466"/>
      <c r="S60" s="466"/>
      <c r="T60" s="466"/>
      <c r="U60" s="466"/>
      <c r="V60" s="467"/>
      <c r="W60" s="467"/>
      <c r="X60" s="467"/>
      <c r="Y60" s="467"/>
      <c r="Z60" s="467"/>
      <c r="AA60" s="467"/>
      <c r="AB60" s="467"/>
      <c r="AC60" s="467"/>
      <c r="AD60" s="468"/>
      <c r="AF60" s="94">
        <f>16*3000</f>
        <v>48000</v>
      </c>
    </row>
    <row r="61" spans="1:32" ht="27.75" thickBot="1">
      <c r="A61" s="469" t="s">
        <v>350</v>
      </c>
      <c r="B61" s="469"/>
      <c r="C61" s="469"/>
      <c r="D61" s="469"/>
      <c r="E61" s="469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70" t="s">
        <v>118</v>
      </c>
      <c r="B62" s="471"/>
      <c r="C62" s="191" t="s">
        <v>2</v>
      </c>
      <c r="D62" s="191" t="s">
        <v>38</v>
      </c>
      <c r="E62" s="191" t="s">
        <v>3</v>
      </c>
      <c r="F62" s="471" t="s">
        <v>115</v>
      </c>
      <c r="G62" s="471"/>
      <c r="H62" s="471"/>
      <c r="I62" s="471"/>
      <c r="J62" s="471"/>
      <c r="K62" s="471" t="s">
        <v>40</v>
      </c>
      <c r="L62" s="471"/>
      <c r="M62" s="191" t="s">
        <v>41</v>
      </c>
      <c r="N62" s="471" t="s">
        <v>42</v>
      </c>
      <c r="O62" s="471"/>
      <c r="P62" s="472" t="s">
        <v>43</v>
      </c>
      <c r="Q62" s="473"/>
      <c r="R62" s="472" t="s">
        <v>44</v>
      </c>
      <c r="S62" s="474"/>
      <c r="T62" s="474"/>
      <c r="U62" s="474"/>
      <c r="V62" s="474"/>
      <c r="W62" s="474"/>
      <c r="X62" s="474"/>
      <c r="Y62" s="474"/>
      <c r="Z62" s="474"/>
      <c r="AA62" s="473"/>
      <c r="AB62" s="471" t="s">
        <v>45</v>
      </c>
      <c r="AC62" s="471"/>
      <c r="AD62" s="475"/>
      <c r="AF62" s="94">
        <f>SUM(AF59:AF61)</f>
        <v>96000</v>
      </c>
    </row>
    <row r="63" spans="1:32" ht="25.5" customHeight="1">
      <c r="A63" s="476">
        <v>1</v>
      </c>
      <c r="B63" s="477"/>
      <c r="C63" s="133"/>
      <c r="D63" s="187"/>
      <c r="E63" s="189"/>
      <c r="F63" s="478"/>
      <c r="G63" s="479"/>
      <c r="H63" s="479"/>
      <c r="I63" s="479"/>
      <c r="J63" s="479"/>
      <c r="K63" s="479"/>
      <c r="L63" s="479"/>
      <c r="M63" s="54"/>
      <c r="N63" s="479"/>
      <c r="O63" s="479"/>
      <c r="P63" s="480"/>
      <c r="Q63" s="480"/>
      <c r="R63" s="459"/>
      <c r="S63" s="459"/>
      <c r="T63" s="459"/>
      <c r="U63" s="459"/>
      <c r="V63" s="459"/>
      <c r="W63" s="459"/>
      <c r="X63" s="459"/>
      <c r="Y63" s="459"/>
      <c r="Z63" s="459"/>
      <c r="AA63" s="459"/>
      <c r="AB63" s="479"/>
      <c r="AC63" s="479"/>
      <c r="AD63" s="481"/>
      <c r="AF63" s="53"/>
    </row>
    <row r="64" spans="1:32" ht="25.5" customHeight="1">
      <c r="A64" s="476">
        <v>2</v>
      </c>
      <c r="B64" s="477"/>
      <c r="C64" s="133"/>
      <c r="D64" s="187"/>
      <c r="E64" s="189"/>
      <c r="F64" s="478"/>
      <c r="G64" s="479"/>
      <c r="H64" s="479"/>
      <c r="I64" s="479"/>
      <c r="J64" s="479"/>
      <c r="K64" s="479"/>
      <c r="L64" s="479"/>
      <c r="M64" s="54"/>
      <c r="N64" s="479"/>
      <c r="O64" s="479"/>
      <c r="P64" s="480"/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</row>
    <row r="65" spans="1:32" ht="25.5" customHeight="1">
      <c r="A65" s="476">
        <v>3</v>
      </c>
      <c r="B65" s="477"/>
      <c r="C65" s="133"/>
      <c r="D65" s="187"/>
      <c r="E65" s="189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4</v>
      </c>
      <c r="B66" s="477"/>
      <c r="C66" s="133"/>
      <c r="D66" s="187"/>
      <c r="E66" s="189"/>
      <c r="F66" s="479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5</v>
      </c>
      <c r="B67" s="477"/>
      <c r="C67" s="133"/>
      <c r="D67" s="187"/>
      <c r="E67" s="189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6</v>
      </c>
      <c r="B68" s="477"/>
      <c r="C68" s="133"/>
      <c r="D68" s="187"/>
      <c r="E68" s="189"/>
      <c r="F68" s="478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7</v>
      </c>
      <c r="B69" s="477"/>
      <c r="C69" s="133"/>
      <c r="D69" s="187"/>
      <c r="E69" s="189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8</v>
      </c>
      <c r="B70" s="477"/>
      <c r="C70" s="133"/>
      <c r="D70" s="187"/>
      <c r="E70" s="189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6.25" customHeight="1" thickBot="1">
      <c r="A71" s="482" t="s">
        <v>351</v>
      </c>
      <c r="B71" s="482"/>
      <c r="C71" s="482"/>
      <c r="D71" s="482"/>
      <c r="E71" s="48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83" t="s">
        <v>118</v>
      </c>
      <c r="B72" s="484"/>
      <c r="C72" s="190" t="s">
        <v>2</v>
      </c>
      <c r="D72" s="190" t="s">
        <v>38</v>
      </c>
      <c r="E72" s="190" t="s">
        <v>3</v>
      </c>
      <c r="F72" s="484" t="s">
        <v>39</v>
      </c>
      <c r="G72" s="484"/>
      <c r="H72" s="484"/>
      <c r="I72" s="484"/>
      <c r="J72" s="484"/>
      <c r="K72" s="485" t="s">
        <v>60</v>
      </c>
      <c r="L72" s="486"/>
      <c r="M72" s="486"/>
      <c r="N72" s="486"/>
      <c r="O72" s="486"/>
      <c r="P72" s="486"/>
      <c r="Q72" s="486"/>
      <c r="R72" s="486"/>
      <c r="S72" s="487"/>
      <c r="T72" s="484" t="s">
        <v>50</v>
      </c>
      <c r="U72" s="484"/>
      <c r="V72" s="485" t="s">
        <v>51</v>
      </c>
      <c r="W72" s="487"/>
      <c r="X72" s="486" t="s">
        <v>52</v>
      </c>
      <c r="Y72" s="486"/>
      <c r="Z72" s="486"/>
      <c r="AA72" s="486"/>
      <c r="AB72" s="486"/>
      <c r="AC72" s="486"/>
      <c r="AD72" s="488"/>
      <c r="AF72" s="53"/>
    </row>
    <row r="73" spans="1:32" ht="33.75" customHeight="1">
      <c r="A73" s="497">
        <v>1</v>
      </c>
      <c r="B73" s="498"/>
      <c r="C73" s="188" t="s">
        <v>62</v>
      </c>
      <c r="D73" s="188"/>
      <c r="E73" s="71" t="s">
        <v>58</v>
      </c>
      <c r="F73" s="499" t="s">
        <v>63</v>
      </c>
      <c r="G73" s="500"/>
      <c r="H73" s="500"/>
      <c r="I73" s="500"/>
      <c r="J73" s="501"/>
      <c r="K73" s="502" t="s">
        <v>61</v>
      </c>
      <c r="L73" s="503"/>
      <c r="M73" s="503"/>
      <c r="N73" s="503"/>
      <c r="O73" s="503"/>
      <c r="P73" s="503"/>
      <c r="Q73" s="503"/>
      <c r="R73" s="503"/>
      <c r="S73" s="504"/>
      <c r="T73" s="505">
        <v>41791</v>
      </c>
      <c r="U73" s="506"/>
      <c r="V73" s="507"/>
      <c r="W73" s="507"/>
      <c r="X73" s="508"/>
      <c r="Y73" s="508"/>
      <c r="Z73" s="508"/>
      <c r="AA73" s="508"/>
      <c r="AB73" s="508"/>
      <c r="AC73" s="508"/>
      <c r="AD73" s="509"/>
      <c r="AF73" s="53"/>
    </row>
    <row r="74" spans="1:32" ht="30" customHeight="1">
      <c r="A74" s="489">
        <f>A73+1</f>
        <v>2</v>
      </c>
      <c r="B74" s="490"/>
      <c r="C74" s="187" t="s">
        <v>127</v>
      </c>
      <c r="D74" s="187"/>
      <c r="E74" s="35" t="s">
        <v>121</v>
      </c>
      <c r="F74" s="490" t="s">
        <v>129</v>
      </c>
      <c r="G74" s="490"/>
      <c r="H74" s="490"/>
      <c r="I74" s="490"/>
      <c r="J74" s="490"/>
      <c r="K74" s="491" t="s">
        <v>61</v>
      </c>
      <c r="L74" s="492"/>
      <c r="M74" s="492"/>
      <c r="N74" s="492"/>
      <c r="O74" s="492"/>
      <c r="P74" s="492"/>
      <c r="Q74" s="492"/>
      <c r="R74" s="492"/>
      <c r="S74" s="493"/>
      <c r="T74" s="494">
        <v>42779</v>
      </c>
      <c r="U74" s="494"/>
      <c r="V74" s="494"/>
      <c r="W74" s="494"/>
      <c r="X74" s="495"/>
      <c r="Y74" s="495"/>
      <c r="Z74" s="495"/>
      <c r="AA74" s="495"/>
      <c r="AB74" s="495"/>
      <c r="AC74" s="495"/>
      <c r="AD74" s="496"/>
      <c r="AF74" s="53"/>
    </row>
    <row r="75" spans="1:32" ht="30" customHeight="1">
      <c r="A75" s="489">
        <f t="shared" ref="A75:A81" si="12">A74+1</f>
        <v>3</v>
      </c>
      <c r="B75" s="490"/>
      <c r="C75" s="187" t="s">
        <v>62</v>
      </c>
      <c r="D75" s="187"/>
      <c r="E75" s="35" t="s">
        <v>121</v>
      </c>
      <c r="F75" s="490" t="s">
        <v>124</v>
      </c>
      <c r="G75" s="490"/>
      <c r="H75" s="490"/>
      <c r="I75" s="490"/>
      <c r="J75" s="490"/>
      <c r="K75" s="491" t="s">
        <v>61</v>
      </c>
      <c r="L75" s="492"/>
      <c r="M75" s="492"/>
      <c r="N75" s="492"/>
      <c r="O75" s="492"/>
      <c r="P75" s="492"/>
      <c r="Q75" s="492"/>
      <c r="R75" s="492"/>
      <c r="S75" s="493"/>
      <c r="T75" s="494">
        <v>42667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si="12"/>
        <v>4</v>
      </c>
      <c r="B76" s="490"/>
      <c r="C76" s="187" t="s">
        <v>62</v>
      </c>
      <c r="D76" s="187"/>
      <c r="E76" s="35" t="s">
        <v>121</v>
      </c>
      <c r="F76" s="490" t="s">
        <v>140</v>
      </c>
      <c r="G76" s="490"/>
      <c r="H76" s="490"/>
      <c r="I76" s="490"/>
      <c r="J76" s="490"/>
      <c r="K76" s="491" t="s">
        <v>141</v>
      </c>
      <c r="L76" s="492"/>
      <c r="M76" s="492"/>
      <c r="N76" s="492"/>
      <c r="O76" s="492"/>
      <c r="P76" s="492"/>
      <c r="Q76" s="492"/>
      <c r="R76" s="492"/>
      <c r="S76" s="493"/>
      <c r="T76" s="494">
        <v>42829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12"/>
        <v>5</v>
      </c>
      <c r="B77" s="490"/>
      <c r="C77" s="187" t="s">
        <v>62</v>
      </c>
      <c r="D77" s="187"/>
      <c r="E77" s="35" t="s">
        <v>58</v>
      </c>
      <c r="F77" s="490" t="s">
        <v>125</v>
      </c>
      <c r="G77" s="490"/>
      <c r="H77" s="490"/>
      <c r="I77" s="490"/>
      <c r="J77" s="490"/>
      <c r="K77" s="491" t="s">
        <v>61</v>
      </c>
      <c r="L77" s="492"/>
      <c r="M77" s="492"/>
      <c r="N77" s="492"/>
      <c r="O77" s="492"/>
      <c r="P77" s="492"/>
      <c r="Q77" s="492"/>
      <c r="R77" s="492"/>
      <c r="S77" s="493"/>
      <c r="T77" s="494">
        <v>42667</v>
      </c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12"/>
        <v>6</v>
      </c>
      <c r="B78" s="490"/>
      <c r="C78" s="187"/>
      <c r="D78" s="187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12"/>
        <v>7</v>
      </c>
      <c r="B79" s="490"/>
      <c r="C79" s="187"/>
      <c r="D79" s="187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12"/>
        <v>8</v>
      </c>
      <c r="B80" s="490"/>
      <c r="C80" s="187"/>
      <c r="D80" s="187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12"/>
        <v>9</v>
      </c>
      <c r="B81" s="490"/>
      <c r="C81" s="187"/>
      <c r="D81" s="187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6" thickBot="1">
      <c r="A82" s="482" t="s">
        <v>352</v>
      </c>
      <c r="B82" s="482"/>
      <c r="C82" s="482"/>
      <c r="D82" s="482"/>
      <c r="E82" s="48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510" t="s">
        <v>37</v>
      </c>
      <c r="B83" s="511"/>
      <c r="C83" s="511" t="s">
        <v>53</v>
      </c>
      <c r="D83" s="511"/>
      <c r="E83" s="511" t="s">
        <v>54</v>
      </c>
      <c r="F83" s="511"/>
      <c r="G83" s="511"/>
      <c r="H83" s="511"/>
      <c r="I83" s="511"/>
      <c r="J83" s="511"/>
      <c r="K83" s="511" t="s">
        <v>55</v>
      </c>
      <c r="L83" s="511"/>
      <c r="M83" s="511"/>
      <c r="N83" s="511"/>
      <c r="O83" s="511"/>
      <c r="P83" s="511"/>
      <c r="Q83" s="511"/>
      <c r="R83" s="511"/>
      <c r="S83" s="511"/>
      <c r="T83" s="511" t="s">
        <v>56</v>
      </c>
      <c r="U83" s="511"/>
      <c r="V83" s="511" t="s">
        <v>57</v>
      </c>
      <c r="W83" s="511"/>
      <c r="X83" s="511"/>
      <c r="Y83" s="511" t="s">
        <v>52</v>
      </c>
      <c r="Z83" s="511"/>
      <c r="AA83" s="511"/>
      <c r="AB83" s="511"/>
      <c r="AC83" s="511"/>
      <c r="AD83" s="512"/>
      <c r="AF83" s="53"/>
    </row>
    <row r="84" spans="1:32" ht="30.75" customHeight="1">
      <c r="A84" s="513">
        <v>1</v>
      </c>
      <c r="B84" s="514"/>
      <c r="C84" s="515"/>
      <c r="D84" s="515"/>
      <c r="E84" s="515"/>
      <c r="F84" s="515"/>
      <c r="G84" s="515"/>
      <c r="H84" s="515"/>
      <c r="I84" s="515"/>
      <c r="J84" s="515"/>
      <c r="K84" s="515"/>
      <c r="L84" s="515"/>
      <c r="M84" s="515"/>
      <c r="N84" s="515"/>
      <c r="O84" s="515"/>
      <c r="P84" s="515"/>
      <c r="Q84" s="515"/>
      <c r="R84" s="515"/>
      <c r="S84" s="515"/>
      <c r="T84" s="515"/>
      <c r="U84" s="515"/>
      <c r="V84" s="516"/>
      <c r="W84" s="516"/>
      <c r="X84" s="516"/>
      <c r="Y84" s="517"/>
      <c r="Z84" s="517"/>
      <c r="AA84" s="517"/>
      <c r="AB84" s="517"/>
      <c r="AC84" s="517"/>
      <c r="AD84" s="518"/>
      <c r="AF84" s="53"/>
    </row>
    <row r="85" spans="1:32" ht="30.75" customHeight="1">
      <c r="A85" s="489">
        <v>2</v>
      </c>
      <c r="B85" s="490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 thickBot="1">
      <c r="A86" s="519">
        <v>3</v>
      </c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1"/>
      <c r="Z86" s="521"/>
      <c r="AA86" s="521"/>
      <c r="AB86" s="521"/>
      <c r="AC86" s="521"/>
      <c r="AD86" s="52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0" zoomScale="72" zoomScaleNormal="72" zoomScaleSheetLayoutView="70" workbookViewId="0">
      <selection activeCell="C64" sqref="C64:Q6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353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199" t="s">
        <v>17</v>
      </c>
      <c r="L5" s="199" t="s">
        <v>18</v>
      </c>
      <c r="M5" s="199" t="s">
        <v>19</v>
      </c>
      <c r="N5" s="19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0.24125726218912066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127</v>
      </c>
      <c r="D7" s="55" t="s">
        <v>178</v>
      </c>
      <c r="E7" s="56" t="s">
        <v>179</v>
      </c>
      <c r="F7" s="12" t="s">
        <v>180</v>
      </c>
      <c r="G7" s="36">
        <v>2</v>
      </c>
      <c r="H7" s="38">
        <v>25</v>
      </c>
      <c r="I7" s="7">
        <v>40000</v>
      </c>
      <c r="J7" s="14">
        <v>3050</v>
      </c>
      <c r="K7" s="15">
        <f>L7+7596+10920+10616+10866+3048</f>
        <v>43046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0.24125726218912066</v>
      </c>
      <c r="AF7" s="94">
        <f>A7</f>
        <v>2</v>
      </c>
    </row>
    <row r="8" spans="1:32" ht="27" customHeight="1">
      <c r="A8" s="109">
        <v>3</v>
      </c>
      <c r="B8" s="11" t="s">
        <v>293</v>
      </c>
      <c r="C8" s="11" t="s">
        <v>127</v>
      </c>
      <c r="D8" s="55" t="s">
        <v>123</v>
      </c>
      <c r="E8" s="57" t="s">
        <v>164</v>
      </c>
      <c r="F8" s="12" t="s">
        <v>128</v>
      </c>
      <c r="G8" s="36">
        <v>1</v>
      </c>
      <c r="H8" s="38">
        <v>25</v>
      </c>
      <c r="I8" s="7">
        <v>30000</v>
      </c>
      <c r="J8" s="14">
        <v>4840</v>
      </c>
      <c r="K8" s="15">
        <f>L8+3518+5719+5664+5626</f>
        <v>25363</v>
      </c>
      <c r="L8" s="15">
        <f>2909+1927</f>
        <v>4836</v>
      </c>
      <c r="M8" s="16">
        <f t="shared" si="0"/>
        <v>4836</v>
      </c>
      <c r="N8" s="16">
        <v>0</v>
      </c>
      <c r="O8" s="62">
        <f t="shared" si="1"/>
        <v>0</v>
      </c>
      <c r="P8" s="42">
        <f t="shared" si="2"/>
        <v>23</v>
      </c>
      <c r="Q8" s="43">
        <f t="shared" si="3"/>
        <v>1</v>
      </c>
      <c r="R8" s="7"/>
      <c r="S8" s="6"/>
      <c r="T8" s="17"/>
      <c r="U8" s="17"/>
      <c r="V8" s="18">
        <v>1</v>
      </c>
      <c r="W8" s="19"/>
      <c r="X8" s="17"/>
      <c r="Y8" s="20"/>
      <c r="Z8" s="20"/>
      <c r="AA8" s="21"/>
      <c r="AB8" s="8">
        <f t="shared" si="4"/>
        <v>0.99917355371900829</v>
      </c>
      <c r="AC8" s="9">
        <f t="shared" si="5"/>
        <v>0.95833333333333337</v>
      </c>
      <c r="AD8" s="10">
        <f t="shared" si="6"/>
        <v>0.95754132231404965</v>
      </c>
      <c r="AE8" s="39">
        <f t="shared" si="7"/>
        <v>0.24125726218912066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354</v>
      </c>
      <c r="E9" s="57" t="s">
        <v>355</v>
      </c>
      <c r="F9" s="12" t="s">
        <v>356</v>
      </c>
      <c r="G9" s="12">
        <v>1</v>
      </c>
      <c r="H9" s="13">
        <v>25</v>
      </c>
      <c r="I9" s="34">
        <v>2500</v>
      </c>
      <c r="J9" s="5">
        <v>2750</v>
      </c>
      <c r="K9" s="15">
        <f>L9</f>
        <v>2743</v>
      </c>
      <c r="L9" s="15">
        <f>195+2548</f>
        <v>2743</v>
      </c>
      <c r="M9" s="16">
        <f t="shared" si="0"/>
        <v>2743</v>
      </c>
      <c r="N9" s="16">
        <v>0</v>
      </c>
      <c r="O9" s="62">
        <f t="shared" si="1"/>
        <v>0</v>
      </c>
      <c r="P9" s="42">
        <f t="shared" si="2"/>
        <v>15</v>
      </c>
      <c r="Q9" s="43">
        <f t="shared" si="3"/>
        <v>9</v>
      </c>
      <c r="R9" s="7"/>
      <c r="S9" s="6"/>
      <c r="T9" s="17"/>
      <c r="U9" s="17"/>
      <c r="V9" s="18"/>
      <c r="W9" s="19">
        <v>9</v>
      </c>
      <c r="X9" s="17"/>
      <c r="Y9" s="20"/>
      <c r="Z9" s="20"/>
      <c r="AA9" s="21"/>
      <c r="AB9" s="8">
        <f t="shared" si="4"/>
        <v>0.99745454545454548</v>
      </c>
      <c r="AC9" s="9">
        <f t="shared" si="5"/>
        <v>0.625</v>
      </c>
      <c r="AD9" s="10">
        <f t="shared" si="6"/>
        <v>0.62340909090909091</v>
      </c>
      <c r="AE9" s="39">
        <f t="shared" si="7"/>
        <v>0.24125726218912066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127</v>
      </c>
      <c r="D10" s="55" t="s">
        <v>58</v>
      </c>
      <c r="E10" s="57" t="s">
        <v>192</v>
      </c>
      <c r="F10" s="12" t="s">
        <v>193</v>
      </c>
      <c r="G10" s="12">
        <v>1</v>
      </c>
      <c r="H10" s="13">
        <v>25</v>
      </c>
      <c r="I10" s="34">
        <v>7000</v>
      </c>
      <c r="J10" s="14">
        <v>2690</v>
      </c>
      <c r="K10" s="15">
        <f>L10+2683</f>
        <v>2683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0.24125726218912066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357</v>
      </c>
      <c r="F11" s="12" t="s">
        <v>358</v>
      </c>
      <c r="G11" s="12">
        <v>1</v>
      </c>
      <c r="H11" s="13">
        <v>25</v>
      </c>
      <c r="I11" s="34">
        <v>25000</v>
      </c>
      <c r="J11" s="14">
        <v>3980</v>
      </c>
      <c r="K11" s="15">
        <f>L11</f>
        <v>3973</v>
      </c>
      <c r="L11" s="15">
        <f>805+3168</f>
        <v>3973</v>
      </c>
      <c r="M11" s="16">
        <f t="shared" si="0"/>
        <v>3973</v>
      </c>
      <c r="N11" s="16">
        <v>0</v>
      </c>
      <c r="O11" s="62">
        <f t="shared" si="1"/>
        <v>0</v>
      </c>
      <c r="P11" s="42">
        <f t="shared" si="2"/>
        <v>20</v>
      </c>
      <c r="Q11" s="43">
        <f t="shared" si="3"/>
        <v>4</v>
      </c>
      <c r="R11" s="7"/>
      <c r="S11" s="6"/>
      <c r="T11" s="17"/>
      <c r="U11" s="17"/>
      <c r="V11" s="18">
        <v>4</v>
      </c>
      <c r="W11" s="19"/>
      <c r="X11" s="17"/>
      <c r="Y11" s="20"/>
      <c r="Z11" s="20"/>
      <c r="AA11" s="21"/>
      <c r="AB11" s="8">
        <f t="shared" si="4"/>
        <v>0.99824120603015076</v>
      </c>
      <c r="AC11" s="9">
        <f t="shared" si="5"/>
        <v>0.83333333333333337</v>
      </c>
      <c r="AD11" s="10">
        <f t="shared" si="6"/>
        <v>0.83186767169179232</v>
      </c>
      <c r="AE11" s="39">
        <f t="shared" si="7"/>
        <v>0.24125726218912066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127</v>
      </c>
      <c r="D12" s="55" t="s">
        <v>123</v>
      </c>
      <c r="E12" s="57" t="s">
        <v>177</v>
      </c>
      <c r="F12" s="12" t="s">
        <v>173</v>
      </c>
      <c r="G12" s="12">
        <v>1</v>
      </c>
      <c r="H12" s="13">
        <v>25</v>
      </c>
      <c r="I12" s="34">
        <v>7000</v>
      </c>
      <c r="J12" s="5">
        <v>850</v>
      </c>
      <c r="K12" s="15">
        <f>L12+3669+4594+846</f>
        <v>9109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0.24125726218912066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123</v>
      </c>
      <c r="E13" s="57" t="s">
        <v>249</v>
      </c>
      <c r="F13" s="12" t="s">
        <v>230</v>
      </c>
      <c r="G13" s="12">
        <v>1</v>
      </c>
      <c r="H13" s="13">
        <v>25</v>
      </c>
      <c r="I13" s="7">
        <v>200</v>
      </c>
      <c r="J13" s="14">
        <v>221</v>
      </c>
      <c r="K13" s="15">
        <f>L13+221</f>
        <v>221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0.24125726218912066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127</v>
      </c>
      <c r="D14" s="55" t="s">
        <v>145</v>
      </c>
      <c r="E14" s="57" t="s">
        <v>150</v>
      </c>
      <c r="F14" s="33" t="s">
        <v>147</v>
      </c>
      <c r="G14" s="36">
        <v>1</v>
      </c>
      <c r="H14" s="38">
        <v>25</v>
      </c>
      <c r="I14" s="7">
        <v>10000</v>
      </c>
      <c r="J14" s="5">
        <v>4790</v>
      </c>
      <c r="K14" s="15">
        <f>L14+2472+5133+4788</f>
        <v>12393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0.24125726218912066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122</v>
      </c>
      <c r="D15" s="55" t="s">
        <v>143</v>
      </c>
      <c r="E15" s="57" t="s">
        <v>151</v>
      </c>
      <c r="F15" s="12">
        <v>8301</v>
      </c>
      <c r="G15" s="12">
        <v>1</v>
      </c>
      <c r="H15" s="13">
        <v>25</v>
      </c>
      <c r="I15" s="34">
        <v>2500</v>
      </c>
      <c r="J15" s="5">
        <v>3980</v>
      </c>
      <c r="K15" s="15">
        <f>L15+2138+3980</f>
        <v>6118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0.24125726218912066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62</v>
      </c>
      <c r="D16" s="55" t="s">
        <v>359</v>
      </c>
      <c r="E16" s="57" t="s">
        <v>360</v>
      </c>
      <c r="F16" s="12" t="s">
        <v>361</v>
      </c>
      <c r="G16" s="36">
        <v>1</v>
      </c>
      <c r="H16" s="38">
        <v>25</v>
      </c>
      <c r="I16" s="7">
        <v>4000</v>
      </c>
      <c r="J16" s="14">
        <v>4320</v>
      </c>
      <c r="K16" s="15">
        <f>L16</f>
        <v>4312</v>
      </c>
      <c r="L16" s="15">
        <f>2156*2</f>
        <v>4312</v>
      </c>
      <c r="M16" s="16">
        <f t="shared" si="0"/>
        <v>4312</v>
      </c>
      <c r="N16" s="16">
        <v>0</v>
      </c>
      <c r="O16" s="62">
        <f t="shared" si="1"/>
        <v>0</v>
      </c>
      <c r="P16" s="42">
        <f t="shared" si="2"/>
        <v>12</v>
      </c>
      <c r="Q16" s="43">
        <f t="shared" si="3"/>
        <v>12</v>
      </c>
      <c r="R16" s="7"/>
      <c r="S16" s="6"/>
      <c r="T16" s="17"/>
      <c r="U16" s="17"/>
      <c r="V16" s="18"/>
      <c r="W16" s="19">
        <v>12</v>
      </c>
      <c r="X16" s="17"/>
      <c r="Y16" s="20"/>
      <c r="Z16" s="20"/>
      <c r="AA16" s="21"/>
      <c r="AB16" s="8">
        <f t="shared" si="4"/>
        <v>0.99814814814814812</v>
      </c>
      <c r="AC16" s="9">
        <f t="shared" si="5"/>
        <v>0.5</v>
      </c>
      <c r="AD16" s="10">
        <f t="shared" si="6"/>
        <v>0.49907407407407406</v>
      </c>
      <c r="AE16" s="39">
        <f t="shared" si="7"/>
        <v>0.24125726218912066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127</v>
      </c>
      <c r="D17" s="55" t="s">
        <v>171</v>
      </c>
      <c r="E17" s="56" t="s">
        <v>174</v>
      </c>
      <c r="F17" s="12" t="s">
        <v>136</v>
      </c>
      <c r="G17" s="12">
        <v>1</v>
      </c>
      <c r="H17" s="13">
        <v>25</v>
      </c>
      <c r="I17" s="34">
        <v>7000</v>
      </c>
      <c r="J17" s="5">
        <v>4740</v>
      </c>
      <c r="K17" s="15">
        <f>L17+5195+4740</f>
        <v>9935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0.24125726218912066</v>
      </c>
      <c r="AF17" s="94">
        <f t="shared" si="8"/>
        <v>12</v>
      </c>
    </row>
    <row r="18" spans="1:32" ht="27" customHeight="1">
      <c r="A18" s="110">
        <v>13</v>
      </c>
      <c r="B18" s="11" t="s">
        <v>293</v>
      </c>
      <c r="C18" s="37" t="s">
        <v>127</v>
      </c>
      <c r="D18" s="55" t="s">
        <v>58</v>
      </c>
      <c r="E18" s="57" t="s">
        <v>155</v>
      </c>
      <c r="F18" s="12" t="s">
        <v>156</v>
      </c>
      <c r="G18" s="12">
        <v>1</v>
      </c>
      <c r="H18" s="13">
        <v>25</v>
      </c>
      <c r="I18" s="34">
        <v>30000</v>
      </c>
      <c r="J18" s="5">
        <v>3110</v>
      </c>
      <c r="K18" s="15">
        <f>L18+3759+4632+4258</f>
        <v>15753</v>
      </c>
      <c r="L18" s="15">
        <f>2638+466</f>
        <v>3104</v>
      </c>
      <c r="M18" s="16">
        <f t="shared" si="0"/>
        <v>3104</v>
      </c>
      <c r="N18" s="16">
        <v>0</v>
      </c>
      <c r="O18" s="62">
        <f t="shared" si="1"/>
        <v>0</v>
      </c>
      <c r="P18" s="42">
        <f t="shared" si="2"/>
        <v>17</v>
      </c>
      <c r="Q18" s="43">
        <f t="shared" si="3"/>
        <v>7</v>
      </c>
      <c r="R18" s="7"/>
      <c r="S18" s="6">
        <v>7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0.99807073954983927</v>
      </c>
      <c r="AC18" s="9">
        <f t="shared" si="5"/>
        <v>0.70833333333333337</v>
      </c>
      <c r="AD18" s="10">
        <f t="shared" si="6"/>
        <v>0.70696677384780282</v>
      </c>
      <c r="AE18" s="39">
        <f t="shared" si="7"/>
        <v>0.24125726218912066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254</v>
      </c>
      <c r="D19" s="55" t="s">
        <v>58</v>
      </c>
      <c r="E19" s="57" t="s">
        <v>312</v>
      </c>
      <c r="F19" s="33" t="s">
        <v>313</v>
      </c>
      <c r="G19" s="36">
        <v>2</v>
      </c>
      <c r="H19" s="38">
        <v>25</v>
      </c>
      <c r="I19" s="34">
        <v>12000</v>
      </c>
      <c r="J19" s="5">
        <v>4350</v>
      </c>
      <c r="K19" s="15">
        <f>L19+8110+4344</f>
        <v>12454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0.24125726218912066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268</v>
      </c>
      <c r="F20" s="12" t="s">
        <v>120</v>
      </c>
      <c r="G20" s="12">
        <v>4</v>
      </c>
      <c r="H20" s="38">
        <v>20</v>
      </c>
      <c r="I20" s="7">
        <v>100000</v>
      </c>
      <c r="J20" s="14">
        <v>47250</v>
      </c>
      <c r="K20" s="15">
        <f>L20+35332+48744+47248</f>
        <v>131324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0.24125726218912066</v>
      </c>
      <c r="AF20" s="94">
        <f t="shared" si="8"/>
        <v>15</v>
      </c>
    </row>
    <row r="21" spans="1:32" ht="31.5" customHeight="1" thickBot="1">
      <c r="A21" s="430" t="s">
        <v>34</v>
      </c>
      <c r="B21" s="431"/>
      <c r="C21" s="431"/>
      <c r="D21" s="431"/>
      <c r="E21" s="431"/>
      <c r="F21" s="431"/>
      <c r="G21" s="431"/>
      <c r="H21" s="432"/>
      <c r="I21" s="25">
        <f t="shared" ref="I21:N21" si="10">SUM(I6:I20)</f>
        <v>281200</v>
      </c>
      <c r="J21" s="22">
        <f t="shared" si="10"/>
        <v>97061</v>
      </c>
      <c r="K21" s="23">
        <f t="shared" si="10"/>
        <v>285561</v>
      </c>
      <c r="L21" s="24">
        <f t="shared" si="10"/>
        <v>18968</v>
      </c>
      <c r="M21" s="23">
        <f t="shared" si="10"/>
        <v>18968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87</v>
      </c>
      <c r="Q21" s="46">
        <f t="shared" si="11"/>
        <v>273</v>
      </c>
      <c r="R21" s="26">
        <f t="shared" si="11"/>
        <v>0</v>
      </c>
      <c r="S21" s="27">
        <f t="shared" si="11"/>
        <v>7</v>
      </c>
      <c r="T21" s="27">
        <f t="shared" si="11"/>
        <v>0</v>
      </c>
      <c r="U21" s="27">
        <f t="shared" si="11"/>
        <v>0</v>
      </c>
      <c r="V21" s="28">
        <f t="shared" si="11"/>
        <v>5</v>
      </c>
      <c r="W21" s="29">
        <f t="shared" si="11"/>
        <v>261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0.33273921286011277</v>
      </c>
      <c r="AC21" s="4">
        <f>SUM(AC6:AC20)/15</f>
        <v>0.2416666666666667</v>
      </c>
      <c r="AD21" s="4">
        <f>SUM(AD6:AD20)/15</f>
        <v>0.24125726218912066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33" t="s">
        <v>46</v>
      </c>
      <c r="B48" s="433"/>
      <c r="C48" s="433"/>
      <c r="D48" s="433"/>
      <c r="E48" s="43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4" t="s">
        <v>362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6"/>
      <c r="N49" s="437" t="s">
        <v>380</v>
      </c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9"/>
    </row>
    <row r="50" spans="1:32" ht="27" customHeight="1">
      <c r="A50" s="440" t="s">
        <v>2</v>
      </c>
      <c r="B50" s="441"/>
      <c r="C50" s="200" t="s">
        <v>47</v>
      </c>
      <c r="D50" s="200" t="s">
        <v>48</v>
      </c>
      <c r="E50" s="200" t="s">
        <v>113</v>
      </c>
      <c r="F50" s="441" t="s">
        <v>112</v>
      </c>
      <c r="G50" s="441"/>
      <c r="H50" s="441"/>
      <c r="I50" s="441"/>
      <c r="J50" s="441"/>
      <c r="K50" s="441"/>
      <c r="L50" s="441"/>
      <c r="M50" s="442"/>
      <c r="N50" s="73" t="s">
        <v>117</v>
      </c>
      <c r="O50" s="200" t="s">
        <v>47</v>
      </c>
      <c r="P50" s="443" t="s">
        <v>48</v>
      </c>
      <c r="Q50" s="444"/>
      <c r="R50" s="443" t="s">
        <v>39</v>
      </c>
      <c r="S50" s="445"/>
      <c r="T50" s="445"/>
      <c r="U50" s="444"/>
      <c r="V50" s="443" t="s">
        <v>49</v>
      </c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57" t="s">
        <v>363</v>
      </c>
      <c r="B51" s="458"/>
      <c r="C51" s="201" t="s">
        <v>217</v>
      </c>
      <c r="D51" s="202" t="s">
        <v>364</v>
      </c>
      <c r="E51" s="201" t="s">
        <v>365</v>
      </c>
      <c r="F51" s="459" t="s">
        <v>366</v>
      </c>
      <c r="G51" s="459"/>
      <c r="H51" s="459"/>
      <c r="I51" s="459"/>
      <c r="J51" s="459"/>
      <c r="K51" s="459"/>
      <c r="L51" s="459"/>
      <c r="M51" s="460"/>
      <c r="N51" s="203" t="s">
        <v>367</v>
      </c>
      <c r="O51" s="74" t="s">
        <v>134</v>
      </c>
      <c r="P51" s="461" t="s">
        <v>381</v>
      </c>
      <c r="Q51" s="462"/>
      <c r="R51" s="463" t="s">
        <v>382</v>
      </c>
      <c r="S51" s="463"/>
      <c r="T51" s="463"/>
      <c r="U51" s="463"/>
      <c r="V51" s="459" t="s">
        <v>383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57" t="s">
        <v>367</v>
      </c>
      <c r="B52" s="458"/>
      <c r="C52" s="201" t="s">
        <v>368</v>
      </c>
      <c r="D52" s="202" t="s">
        <v>369</v>
      </c>
      <c r="E52" s="201" t="s">
        <v>355</v>
      </c>
      <c r="F52" s="459" t="s">
        <v>370</v>
      </c>
      <c r="G52" s="459"/>
      <c r="H52" s="459"/>
      <c r="I52" s="459"/>
      <c r="J52" s="459"/>
      <c r="K52" s="459"/>
      <c r="L52" s="459"/>
      <c r="M52" s="460"/>
      <c r="N52" s="203" t="s">
        <v>138</v>
      </c>
      <c r="O52" s="74" t="s">
        <v>384</v>
      </c>
      <c r="P52" s="461" t="s">
        <v>385</v>
      </c>
      <c r="Q52" s="462"/>
      <c r="R52" s="463" t="s">
        <v>386</v>
      </c>
      <c r="S52" s="463"/>
      <c r="T52" s="463"/>
      <c r="U52" s="463"/>
      <c r="V52" s="459" t="s">
        <v>340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57" t="s">
        <v>371</v>
      </c>
      <c r="B53" s="458"/>
      <c r="C53" s="201" t="s">
        <v>372</v>
      </c>
      <c r="D53" s="202" t="s">
        <v>373</v>
      </c>
      <c r="E53" s="201" t="s">
        <v>374</v>
      </c>
      <c r="F53" s="459" t="s">
        <v>340</v>
      </c>
      <c r="G53" s="459"/>
      <c r="H53" s="459"/>
      <c r="I53" s="459"/>
      <c r="J53" s="459"/>
      <c r="K53" s="459"/>
      <c r="L53" s="459"/>
      <c r="M53" s="460"/>
      <c r="N53" s="203" t="s">
        <v>210</v>
      </c>
      <c r="O53" s="74" t="s">
        <v>387</v>
      </c>
      <c r="P53" s="461" t="s">
        <v>388</v>
      </c>
      <c r="Q53" s="462"/>
      <c r="R53" s="463" t="s">
        <v>389</v>
      </c>
      <c r="S53" s="463"/>
      <c r="T53" s="463"/>
      <c r="U53" s="463"/>
      <c r="V53" s="459" t="s">
        <v>390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 t="s">
        <v>375</v>
      </c>
      <c r="B54" s="458"/>
      <c r="C54" s="201" t="s">
        <v>376</v>
      </c>
      <c r="D54" s="202" t="s">
        <v>377</v>
      </c>
      <c r="E54" s="201" t="s">
        <v>378</v>
      </c>
      <c r="F54" s="459" t="s">
        <v>379</v>
      </c>
      <c r="G54" s="459"/>
      <c r="H54" s="459"/>
      <c r="I54" s="459"/>
      <c r="J54" s="459"/>
      <c r="K54" s="459"/>
      <c r="L54" s="459"/>
      <c r="M54" s="460"/>
      <c r="N54" s="203"/>
      <c r="O54" s="74"/>
      <c r="P54" s="461"/>
      <c r="Q54" s="462"/>
      <c r="R54" s="463"/>
      <c r="S54" s="463"/>
      <c r="T54" s="463"/>
      <c r="U54" s="463"/>
      <c r="V54" s="459"/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57"/>
      <c r="B55" s="458"/>
      <c r="C55" s="201"/>
      <c r="D55" s="202"/>
      <c r="E55" s="201"/>
      <c r="F55" s="459"/>
      <c r="G55" s="459"/>
      <c r="H55" s="459"/>
      <c r="I55" s="459"/>
      <c r="J55" s="459"/>
      <c r="K55" s="459"/>
      <c r="L55" s="459"/>
      <c r="M55" s="460"/>
      <c r="N55" s="203"/>
      <c r="O55" s="74"/>
      <c r="P55" s="461"/>
      <c r="Q55" s="462"/>
      <c r="R55" s="463"/>
      <c r="S55" s="463"/>
      <c r="T55" s="463"/>
      <c r="U55" s="463"/>
      <c r="V55" s="459"/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/>
      <c r="B56" s="463"/>
      <c r="C56" s="202"/>
      <c r="D56" s="202"/>
      <c r="E56" s="201"/>
      <c r="F56" s="459"/>
      <c r="G56" s="459"/>
      <c r="H56" s="459"/>
      <c r="I56" s="459"/>
      <c r="J56" s="459"/>
      <c r="K56" s="459"/>
      <c r="L56" s="459"/>
      <c r="M56" s="460"/>
      <c r="N56" s="203"/>
      <c r="O56" s="74"/>
      <c r="P56" s="463"/>
      <c r="Q56" s="463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202"/>
      <c r="D57" s="202"/>
      <c r="E57" s="201"/>
      <c r="F57" s="459"/>
      <c r="G57" s="459"/>
      <c r="H57" s="459"/>
      <c r="I57" s="459"/>
      <c r="J57" s="459"/>
      <c r="K57" s="459"/>
      <c r="L57" s="459"/>
      <c r="M57" s="460"/>
      <c r="N57" s="203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57"/>
      <c r="B58" s="458"/>
      <c r="C58" s="201"/>
      <c r="D58" s="202"/>
      <c r="E58" s="201"/>
      <c r="F58" s="459"/>
      <c r="G58" s="459"/>
      <c r="H58" s="459"/>
      <c r="I58" s="459"/>
      <c r="J58" s="459"/>
      <c r="K58" s="459"/>
      <c r="L58" s="459"/>
      <c r="M58" s="460"/>
      <c r="N58" s="203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202"/>
      <c r="D59" s="202"/>
      <c r="E59" s="202"/>
      <c r="F59" s="459"/>
      <c r="G59" s="459"/>
      <c r="H59" s="459"/>
      <c r="I59" s="459"/>
      <c r="J59" s="459"/>
      <c r="K59" s="459"/>
      <c r="L59" s="459"/>
      <c r="M59" s="460"/>
      <c r="N59" s="203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  <c r="AF59" s="94">
        <f>8*3000</f>
        <v>24000</v>
      </c>
    </row>
    <row r="60" spans="1:32" ht="27" customHeight="1" thickBot="1">
      <c r="A60" s="465"/>
      <c r="B60" s="466"/>
      <c r="C60" s="205"/>
      <c r="D60" s="205"/>
      <c r="E60" s="205"/>
      <c r="F60" s="467"/>
      <c r="G60" s="467"/>
      <c r="H60" s="467"/>
      <c r="I60" s="467"/>
      <c r="J60" s="467"/>
      <c r="K60" s="467"/>
      <c r="L60" s="467"/>
      <c r="M60" s="468"/>
      <c r="N60" s="204"/>
      <c r="O60" s="121"/>
      <c r="P60" s="466"/>
      <c r="Q60" s="466"/>
      <c r="R60" s="466"/>
      <c r="S60" s="466"/>
      <c r="T60" s="466"/>
      <c r="U60" s="466"/>
      <c r="V60" s="467"/>
      <c r="W60" s="467"/>
      <c r="X60" s="467"/>
      <c r="Y60" s="467"/>
      <c r="Z60" s="467"/>
      <c r="AA60" s="467"/>
      <c r="AB60" s="467"/>
      <c r="AC60" s="467"/>
      <c r="AD60" s="468"/>
      <c r="AF60" s="94">
        <f>16*3000</f>
        <v>48000</v>
      </c>
    </row>
    <row r="61" spans="1:32" ht="27.75" thickBot="1">
      <c r="A61" s="469" t="s">
        <v>391</v>
      </c>
      <c r="B61" s="469"/>
      <c r="C61" s="469"/>
      <c r="D61" s="469"/>
      <c r="E61" s="469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70" t="s">
        <v>118</v>
      </c>
      <c r="B62" s="471"/>
      <c r="C62" s="206" t="s">
        <v>2</v>
      </c>
      <c r="D62" s="206" t="s">
        <v>38</v>
      </c>
      <c r="E62" s="206" t="s">
        <v>3</v>
      </c>
      <c r="F62" s="471" t="s">
        <v>115</v>
      </c>
      <c r="G62" s="471"/>
      <c r="H62" s="471"/>
      <c r="I62" s="471"/>
      <c r="J62" s="471"/>
      <c r="K62" s="471" t="s">
        <v>40</v>
      </c>
      <c r="L62" s="471"/>
      <c r="M62" s="206" t="s">
        <v>41</v>
      </c>
      <c r="N62" s="471" t="s">
        <v>42</v>
      </c>
      <c r="O62" s="471"/>
      <c r="P62" s="472" t="s">
        <v>43</v>
      </c>
      <c r="Q62" s="473"/>
      <c r="R62" s="472" t="s">
        <v>44</v>
      </c>
      <c r="S62" s="474"/>
      <c r="T62" s="474"/>
      <c r="U62" s="474"/>
      <c r="V62" s="474"/>
      <c r="W62" s="474"/>
      <c r="X62" s="474"/>
      <c r="Y62" s="474"/>
      <c r="Z62" s="474"/>
      <c r="AA62" s="473"/>
      <c r="AB62" s="471" t="s">
        <v>45</v>
      </c>
      <c r="AC62" s="471"/>
      <c r="AD62" s="475"/>
      <c r="AF62" s="94">
        <f>SUM(AF59:AF61)</f>
        <v>96000</v>
      </c>
    </row>
    <row r="63" spans="1:32" ht="25.5" customHeight="1">
      <c r="A63" s="476">
        <v>1</v>
      </c>
      <c r="B63" s="477"/>
      <c r="C63" s="133" t="s">
        <v>138</v>
      </c>
      <c r="D63" s="209"/>
      <c r="E63" s="207" t="s">
        <v>395</v>
      </c>
      <c r="F63" s="478" t="s">
        <v>322</v>
      </c>
      <c r="G63" s="479"/>
      <c r="H63" s="479"/>
      <c r="I63" s="479"/>
      <c r="J63" s="479"/>
      <c r="K63" s="479" t="s">
        <v>399</v>
      </c>
      <c r="L63" s="479"/>
      <c r="M63" s="54" t="s">
        <v>402</v>
      </c>
      <c r="N63" s="479">
        <v>7</v>
      </c>
      <c r="O63" s="479"/>
      <c r="P63" s="480">
        <v>50</v>
      </c>
      <c r="Q63" s="480"/>
      <c r="R63" s="459"/>
      <c r="S63" s="459"/>
      <c r="T63" s="459"/>
      <c r="U63" s="459"/>
      <c r="V63" s="459"/>
      <c r="W63" s="459"/>
      <c r="X63" s="459"/>
      <c r="Y63" s="459"/>
      <c r="Z63" s="459"/>
      <c r="AA63" s="459"/>
      <c r="AB63" s="479"/>
      <c r="AC63" s="479"/>
      <c r="AD63" s="481"/>
      <c r="AF63" s="53"/>
    </row>
    <row r="64" spans="1:32" ht="25.5" customHeight="1">
      <c r="A64" s="476">
        <v>2</v>
      </c>
      <c r="B64" s="477"/>
      <c r="C64" s="133" t="s">
        <v>62</v>
      </c>
      <c r="D64" s="209"/>
      <c r="E64" s="207" t="s">
        <v>396</v>
      </c>
      <c r="F64" s="478" t="s">
        <v>392</v>
      </c>
      <c r="G64" s="479"/>
      <c r="H64" s="479"/>
      <c r="I64" s="479"/>
      <c r="J64" s="479"/>
      <c r="K64" s="479" t="s">
        <v>400</v>
      </c>
      <c r="L64" s="479"/>
      <c r="M64" s="54" t="s">
        <v>402</v>
      </c>
      <c r="N64" s="479">
        <v>8</v>
      </c>
      <c r="O64" s="479"/>
      <c r="P64" s="480">
        <v>50</v>
      </c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</row>
    <row r="65" spans="1:32" ht="25.5" customHeight="1">
      <c r="A65" s="476">
        <v>3</v>
      </c>
      <c r="B65" s="477"/>
      <c r="C65" s="133" t="s">
        <v>138</v>
      </c>
      <c r="D65" s="209"/>
      <c r="E65" s="207" t="s">
        <v>397</v>
      </c>
      <c r="F65" s="478" t="s">
        <v>393</v>
      </c>
      <c r="G65" s="479"/>
      <c r="H65" s="479"/>
      <c r="I65" s="479"/>
      <c r="J65" s="479"/>
      <c r="K65" s="479" t="s">
        <v>401</v>
      </c>
      <c r="L65" s="479"/>
      <c r="M65" s="54" t="s">
        <v>403</v>
      </c>
      <c r="N65" s="479">
        <v>14</v>
      </c>
      <c r="O65" s="479"/>
      <c r="P65" s="480">
        <v>50</v>
      </c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4</v>
      </c>
      <c r="B66" s="477"/>
      <c r="C66" s="133" t="s">
        <v>367</v>
      </c>
      <c r="D66" s="209"/>
      <c r="E66" s="207" t="s">
        <v>398</v>
      </c>
      <c r="F66" s="479" t="s">
        <v>394</v>
      </c>
      <c r="G66" s="479"/>
      <c r="H66" s="479"/>
      <c r="I66" s="479"/>
      <c r="J66" s="479"/>
      <c r="K66" s="479">
        <v>8301</v>
      </c>
      <c r="L66" s="479"/>
      <c r="M66" s="54" t="s">
        <v>402</v>
      </c>
      <c r="N66" s="479">
        <v>12</v>
      </c>
      <c r="O66" s="479"/>
      <c r="P66" s="480"/>
      <c r="Q66" s="480"/>
      <c r="R66" s="459" t="s">
        <v>404</v>
      </c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5</v>
      </c>
      <c r="B67" s="477"/>
      <c r="C67" s="133"/>
      <c r="D67" s="209"/>
      <c r="E67" s="207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6</v>
      </c>
      <c r="B68" s="477"/>
      <c r="C68" s="133"/>
      <c r="D68" s="209"/>
      <c r="E68" s="207"/>
      <c r="F68" s="478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7</v>
      </c>
      <c r="B69" s="477"/>
      <c r="C69" s="133"/>
      <c r="D69" s="209"/>
      <c r="E69" s="207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8</v>
      </c>
      <c r="B70" s="477"/>
      <c r="C70" s="133"/>
      <c r="D70" s="209"/>
      <c r="E70" s="207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6.25" customHeight="1" thickBot="1">
      <c r="A71" s="482" t="s">
        <v>405</v>
      </c>
      <c r="B71" s="482"/>
      <c r="C71" s="482"/>
      <c r="D71" s="482"/>
      <c r="E71" s="48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83" t="s">
        <v>118</v>
      </c>
      <c r="B72" s="484"/>
      <c r="C72" s="208" t="s">
        <v>2</v>
      </c>
      <c r="D72" s="208" t="s">
        <v>38</v>
      </c>
      <c r="E72" s="208" t="s">
        <v>3</v>
      </c>
      <c r="F72" s="484" t="s">
        <v>39</v>
      </c>
      <c r="G72" s="484"/>
      <c r="H72" s="484"/>
      <c r="I72" s="484"/>
      <c r="J72" s="484"/>
      <c r="K72" s="485" t="s">
        <v>60</v>
      </c>
      <c r="L72" s="486"/>
      <c r="M72" s="486"/>
      <c r="N72" s="486"/>
      <c r="O72" s="486"/>
      <c r="P72" s="486"/>
      <c r="Q72" s="486"/>
      <c r="R72" s="486"/>
      <c r="S72" s="487"/>
      <c r="T72" s="484" t="s">
        <v>50</v>
      </c>
      <c r="U72" s="484"/>
      <c r="V72" s="485" t="s">
        <v>51</v>
      </c>
      <c r="W72" s="487"/>
      <c r="X72" s="486" t="s">
        <v>52</v>
      </c>
      <c r="Y72" s="486"/>
      <c r="Z72" s="486"/>
      <c r="AA72" s="486"/>
      <c r="AB72" s="486"/>
      <c r="AC72" s="486"/>
      <c r="AD72" s="488"/>
      <c r="AF72" s="53"/>
    </row>
    <row r="73" spans="1:32" ht="33.75" customHeight="1">
      <c r="A73" s="497">
        <v>1</v>
      </c>
      <c r="B73" s="498"/>
      <c r="C73" s="210" t="s">
        <v>210</v>
      </c>
      <c r="D73" s="210"/>
      <c r="E73" s="71" t="s">
        <v>407</v>
      </c>
      <c r="F73" s="499" t="s">
        <v>408</v>
      </c>
      <c r="G73" s="500"/>
      <c r="H73" s="500"/>
      <c r="I73" s="500"/>
      <c r="J73" s="501"/>
      <c r="K73" s="502" t="s">
        <v>409</v>
      </c>
      <c r="L73" s="503"/>
      <c r="M73" s="503"/>
      <c r="N73" s="503"/>
      <c r="O73" s="503"/>
      <c r="P73" s="503"/>
      <c r="Q73" s="503"/>
      <c r="R73" s="503"/>
      <c r="S73" s="504"/>
      <c r="T73" s="505">
        <v>42864</v>
      </c>
      <c r="U73" s="506"/>
      <c r="V73" s="507"/>
      <c r="W73" s="507"/>
      <c r="X73" s="508"/>
      <c r="Y73" s="508"/>
      <c r="Z73" s="508"/>
      <c r="AA73" s="508"/>
      <c r="AB73" s="508"/>
      <c r="AC73" s="508"/>
      <c r="AD73" s="509"/>
      <c r="AF73" s="53"/>
    </row>
    <row r="74" spans="1:32" ht="30" customHeight="1">
      <c r="A74" s="489">
        <f>A73+1</f>
        <v>2</v>
      </c>
      <c r="B74" s="490"/>
      <c r="C74" s="209"/>
      <c r="D74" s="209"/>
      <c r="E74" s="35"/>
      <c r="F74" s="490"/>
      <c r="G74" s="490"/>
      <c r="H74" s="490"/>
      <c r="I74" s="490"/>
      <c r="J74" s="490"/>
      <c r="K74" s="491"/>
      <c r="L74" s="492"/>
      <c r="M74" s="492"/>
      <c r="N74" s="492"/>
      <c r="O74" s="492"/>
      <c r="P74" s="492"/>
      <c r="Q74" s="492"/>
      <c r="R74" s="492"/>
      <c r="S74" s="493"/>
      <c r="T74" s="494"/>
      <c r="U74" s="494"/>
      <c r="V74" s="494"/>
      <c r="W74" s="494"/>
      <c r="X74" s="495"/>
      <c r="Y74" s="495"/>
      <c r="Z74" s="495"/>
      <c r="AA74" s="495"/>
      <c r="AB74" s="495"/>
      <c r="AC74" s="495"/>
      <c r="AD74" s="496"/>
      <c r="AF74" s="53"/>
    </row>
    <row r="75" spans="1:32" ht="30" customHeight="1">
      <c r="A75" s="489">
        <f t="shared" ref="A75:A81" si="12">A74+1</f>
        <v>3</v>
      </c>
      <c r="B75" s="490"/>
      <c r="C75" s="209"/>
      <c r="D75" s="209"/>
      <c r="E75" s="35"/>
      <c r="F75" s="490"/>
      <c r="G75" s="490"/>
      <c r="H75" s="490"/>
      <c r="I75" s="490"/>
      <c r="J75" s="490"/>
      <c r="K75" s="491"/>
      <c r="L75" s="492"/>
      <c r="M75" s="492"/>
      <c r="N75" s="492"/>
      <c r="O75" s="492"/>
      <c r="P75" s="492"/>
      <c r="Q75" s="492"/>
      <c r="R75" s="492"/>
      <c r="S75" s="493"/>
      <c r="T75" s="494"/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si="12"/>
        <v>4</v>
      </c>
      <c r="B76" s="490"/>
      <c r="C76" s="209"/>
      <c r="D76" s="209"/>
      <c r="E76" s="35"/>
      <c r="F76" s="490"/>
      <c r="G76" s="490"/>
      <c r="H76" s="490"/>
      <c r="I76" s="490"/>
      <c r="J76" s="490"/>
      <c r="K76" s="491"/>
      <c r="L76" s="492"/>
      <c r="M76" s="492"/>
      <c r="N76" s="492"/>
      <c r="O76" s="492"/>
      <c r="P76" s="492"/>
      <c r="Q76" s="492"/>
      <c r="R76" s="492"/>
      <c r="S76" s="493"/>
      <c r="T76" s="494"/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12"/>
        <v>5</v>
      </c>
      <c r="B77" s="490"/>
      <c r="C77" s="209"/>
      <c r="D77" s="209"/>
      <c r="E77" s="35"/>
      <c r="F77" s="490"/>
      <c r="G77" s="490"/>
      <c r="H77" s="490"/>
      <c r="I77" s="490"/>
      <c r="J77" s="490"/>
      <c r="K77" s="491"/>
      <c r="L77" s="492"/>
      <c r="M77" s="492"/>
      <c r="N77" s="492"/>
      <c r="O77" s="492"/>
      <c r="P77" s="492"/>
      <c r="Q77" s="492"/>
      <c r="R77" s="492"/>
      <c r="S77" s="493"/>
      <c r="T77" s="494"/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12"/>
        <v>6</v>
      </c>
      <c r="B78" s="490"/>
      <c r="C78" s="209"/>
      <c r="D78" s="209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12"/>
        <v>7</v>
      </c>
      <c r="B79" s="490"/>
      <c r="C79" s="209"/>
      <c r="D79" s="209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12"/>
        <v>8</v>
      </c>
      <c r="B80" s="490"/>
      <c r="C80" s="209"/>
      <c r="D80" s="209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12"/>
        <v>9</v>
      </c>
      <c r="B81" s="490"/>
      <c r="C81" s="209"/>
      <c r="D81" s="209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6" thickBot="1">
      <c r="A82" s="482" t="s">
        <v>406</v>
      </c>
      <c r="B82" s="482"/>
      <c r="C82" s="482"/>
      <c r="D82" s="482"/>
      <c r="E82" s="48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510" t="s">
        <v>37</v>
      </c>
      <c r="B83" s="511"/>
      <c r="C83" s="511" t="s">
        <v>53</v>
      </c>
      <c r="D83" s="511"/>
      <c r="E83" s="511" t="s">
        <v>54</v>
      </c>
      <c r="F83" s="511"/>
      <c r="G83" s="511"/>
      <c r="H83" s="511"/>
      <c r="I83" s="511"/>
      <c r="J83" s="511"/>
      <c r="K83" s="511" t="s">
        <v>55</v>
      </c>
      <c r="L83" s="511"/>
      <c r="M83" s="511"/>
      <c r="N83" s="511"/>
      <c r="O83" s="511"/>
      <c r="P83" s="511"/>
      <c r="Q83" s="511"/>
      <c r="R83" s="511"/>
      <c r="S83" s="511"/>
      <c r="T83" s="511" t="s">
        <v>56</v>
      </c>
      <c r="U83" s="511"/>
      <c r="V83" s="511" t="s">
        <v>57</v>
      </c>
      <c r="W83" s="511"/>
      <c r="X83" s="511"/>
      <c r="Y83" s="511" t="s">
        <v>52</v>
      </c>
      <c r="Z83" s="511"/>
      <c r="AA83" s="511"/>
      <c r="AB83" s="511"/>
      <c r="AC83" s="511"/>
      <c r="AD83" s="512"/>
      <c r="AF83" s="53"/>
    </row>
    <row r="84" spans="1:32" ht="30.75" customHeight="1">
      <c r="A84" s="513">
        <v>1</v>
      </c>
      <c r="B84" s="514"/>
      <c r="C84" s="515"/>
      <c r="D84" s="515"/>
      <c r="E84" s="515"/>
      <c r="F84" s="515"/>
      <c r="G84" s="515"/>
      <c r="H84" s="515"/>
      <c r="I84" s="515"/>
      <c r="J84" s="515"/>
      <c r="K84" s="515"/>
      <c r="L84" s="515"/>
      <c r="M84" s="515"/>
      <c r="N84" s="515"/>
      <c r="O84" s="515"/>
      <c r="P84" s="515"/>
      <c r="Q84" s="515"/>
      <c r="R84" s="515"/>
      <c r="S84" s="515"/>
      <c r="T84" s="515"/>
      <c r="U84" s="515"/>
      <c r="V84" s="516"/>
      <c r="W84" s="516"/>
      <c r="X84" s="516"/>
      <c r="Y84" s="517"/>
      <c r="Z84" s="517"/>
      <c r="AA84" s="517"/>
      <c r="AB84" s="517"/>
      <c r="AC84" s="517"/>
      <c r="AD84" s="518"/>
      <c r="AF84" s="53"/>
    </row>
    <row r="85" spans="1:32" ht="30.75" customHeight="1">
      <c r="A85" s="489">
        <v>2</v>
      </c>
      <c r="B85" s="490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 thickBot="1">
      <c r="A86" s="519">
        <v>3</v>
      </c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1"/>
      <c r="Z86" s="521"/>
      <c r="AA86" s="521"/>
      <c r="AB86" s="521"/>
      <c r="AC86" s="521"/>
      <c r="AD86" s="522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topLeftCell="A46" zoomScale="72" zoomScaleNormal="72" zoomScaleSheetLayoutView="70" workbookViewId="0">
      <selection activeCell="K80" sqref="K80:S8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410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222" t="s">
        <v>17</v>
      </c>
      <c r="L5" s="222" t="s">
        <v>18</v>
      </c>
      <c r="M5" s="222" t="s">
        <v>19</v>
      </c>
      <c r="N5" s="22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0.39122345245056789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127</v>
      </c>
      <c r="D7" s="55" t="s">
        <v>178</v>
      </c>
      <c r="E7" s="56" t="s">
        <v>179</v>
      </c>
      <c r="F7" s="12" t="s">
        <v>180</v>
      </c>
      <c r="G7" s="36">
        <v>2</v>
      </c>
      <c r="H7" s="38">
        <v>25</v>
      </c>
      <c r="I7" s="7">
        <v>40000</v>
      </c>
      <c r="J7" s="14">
        <v>3050</v>
      </c>
      <c r="K7" s="15">
        <f>L7+7596+10920+10616+10866+3048</f>
        <v>43046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0.39122345245056789</v>
      </c>
      <c r="AF7" s="94">
        <f>A7</f>
        <v>2</v>
      </c>
    </row>
    <row r="8" spans="1:32" ht="27" customHeight="1">
      <c r="A8" s="109">
        <v>3</v>
      </c>
      <c r="B8" s="11" t="s">
        <v>293</v>
      </c>
      <c r="C8" s="11" t="s">
        <v>127</v>
      </c>
      <c r="D8" s="55" t="s">
        <v>123</v>
      </c>
      <c r="E8" s="57" t="s">
        <v>164</v>
      </c>
      <c r="F8" s="12" t="s">
        <v>128</v>
      </c>
      <c r="G8" s="36">
        <v>1</v>
      </c>
      <c r="H8" s="38">
        <v>25</v>
      </c>
      <c r="I8" s="7">
        <v>30000</v>
      </c>
      <c r="J8" s="14">
        <v>5571</v>
      </c>
      <c r="K8" s="15">
        <f>L8+3518+5719+5664+5626+4836</f>
        <v>30934</v>
      </c>
      <c r="L8" s="15">
        <f>2878+2693</f>
        <v>5571</v>
      </c>
      <c r="M8" s="16">
        <f t="shared" si="0"/>
        <v>5571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0.39122345245056789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354</v>
      </c>
      <c r="E9" s="57" t="s">
        <v>355</v>
      </c>
      <c r="F9" s="12" t="s">
        <v>356</v>
      </c>
      <c r="G9" s="12">
        <v>1</v>
      </c>
      <c r="H9" s="13">
        <v>25</v>
      </c>
      <c r="I9" s="34">
        <v>2500</v>
      </c>
      <c r="J9" s="5">
        <v>2750</v>
      </c>
      <c r="K9" s="15">
        <f>L9+2743</f>
        <v>2743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0.39122345245056789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127</v>
      </c>
      <c r="D10" s="55" t="s">
        <v>58</v>
      </c>
      <c r="E10" s="57" t="s">
        <v>192</v>
      </c>
      <c r="F10" s="12" t="s">
        <v>193</v>
      </c>
      <c r="G10" s="12">
        <v>1</v>
      </c>
      <c r="H10" s="13">
        <v>25</v>
      </c>
      <c r="I10" s="34">
        <v>7000</v>
      </c>
      <c r="J10" s="14">
        <v>2690</v>
      </c>
      <c r="K10" s="15">
        <f>L10+2683</f>
        <v>2683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0.39122345245056789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357</v>
      </c>
      <c r="F11" s="12" t="s">
        <v>358</v>
      </c>
      <c r="G11" s="12">
        <v>1</v>
      </c>
      <c r="H11" s="13">
        <v>25</v>
      </c>
      <c r="I11" s="34">
        <v>25000</v>
      </c>
      <c r="J11" s="14">
        <v>5970</v>
      </c>
      <c r="K11" s="15">
        <f>L11+3973</f>
        <v>9938</v>
      </c>
      <c r="L11" s="15">
        <f>2998+2967</f>
        <v>5965</v>
      </c>
      <c r="M11" s="16">
        <f t="shared" si="0"/>
        <v>5965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0.99916247906197653</v>
      </c>
      <c r="AC11" s="9">
        <f t="shared" si="5"/>
        <v>1</v>
      </c>
      <c r="AD11" s="10">
        <f t="shared" si="6"/>
        <v>0.99916247906197653</v>
      </c>
      <c r="AE11" s="39">
        <f t="shared" si="7"/>
        <v>0.39122345245056789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411</v>
      </c>
      <c r="D12" s="55" t="s">
        <v>412</v>
      </c>
      <c r="E12" s="57" t="s">
        <v>413</v>
      </c>
      <c r="F12" s="12" t="s">
        <v>414</v>
      </c>
      <c r="G12" s="12">
        <v>1</v>
      </c>
      <c r="H12" s="13">
        <v>25</v>
      </c>
      <c r="I12" s="34">
        <v>1000</v>
      </c>
      <c r="J12" s="5">
        <v>2320</v>
      </c>
      <c r="K12" s="15">
        <f>L12</f>
        <v>2316</v>
      </c>
      <c r="L12" s="15">
        <f>2031+285</f>
        <v>2316</v>
      </c>
      <c r="M12" s="16">
        <f t="shared" si="0"/>
        <v>2316</v>
      </c>
      <c r="N12" s="16">
        <v>0</v>
      </c>
      <c r="O12" s="62">
        <f t="shared" si="1"/>
        <v>0</v>
      </c>
      <c r="P12" s="42">
        <f t="shared" si="2"/>
        <v>16</v>
      </c>
      <c r="Q12" s="43">
        <f t="shared" si="3"/>
        <v>8</v>
      </c>
      <c r="R12" s="7"/>
      <c r="S12" s="6">
        <v>8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0.99827586206896557</v>
      </c>
      <c r="AC12" s="9">
        <f t="shared" si="5"/>
        <v>0.66666666666666663</v>
      </c>
      <c r="AD12" s="10">
        <f t="shared" si="6"/>
        <v>0.66551724137931034</v>
      </c>
      <c r="AE12" s="39">
        <f t="shared" si="7"/>
        <v>0.39122345245056789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123</v>
      </c>
      <c r="E13" s="57" t="s">
        <v>249</v>
      </c>
      <c r="F13" s="12" t="s">
        <v>230</v>
      </c>
      <c r="G13" s="12">
        <v>1</v>
      </c>
      <c r="H13" s="13">
        <v>25</v>
      </c>
      <c r="I13" s="7">
        <v>200</v>
      </c>
      <c r="J13" s="14">
        <v>221</v>
      </c>
      <c r="K13" s="15">
        <f>L13+221</f>
        <v>221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0.39122345245056789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127</v>
      </c>
      <c r="D14" s="55" t="s">
        <v>145</v>
      </c>
      <c r="E14" s="57" t="s">
        <v>150</v>
      </c>
      <c r="F14" s="33" t="s">
        <v>147</v>
      </c>
      <c r="G14" s="36">
        <v>1</v>
      </c>
      <c r="H14" s="38">
        <v>25</v>
      </c>
      <c r="I14" s="7">
        <v>10000</v>
      </c>
      <c r="J14" s="5">
        <v>4790</v>
      </c>
      <c r="K14" s="15">
        <f>L14+2472+5133+4788</f>
        <v>12393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0.39122345245056789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422</v>
      </c>
      <c r="D15" s="55" t="s">
        <v>423</v>
      </c>
      <c r="E15" s="57" t="s">
        <v>430</v>
      </c>
      <c r="F15" s="12" t="s">
        <v>424</v>
      </c>
      <c r="G15" s="12">
        <v>1</v>
      </c>
      <c r="H15" s="13">
        <v>25</v>
      </c>
      <c r="I15" s="34">
        <v>200</v>
      </c>
      <c r="J15" s="5">
        <v>300</v>
      </c>
      <c r="K15" s="15">
        <f>L15+2138+3980</f>
        <v>6418</v>
      </c>
      <c r="L15" s="15">
        <v>300</v>
      </c>
      <c r="M15" s="16">
        <f t="shared" si="0"/>
        <v>300</v>
      </c>
      <c r="N15" s="16">
        <v>0</v>
      </c>
      <c r="O15" s="62">
        <f t="shared" si="1"/>
        <v>0</v>
      </c>
      <c r="P15" s="42">
        <f t="shared" si="2"/>
        <v>4</v>
      </c>
      <c r="Q15" s="43">
        <f t="shared" si="3"/>
        <v>20</v>
      </c>
      <c r="R15" s="7"/>
      <c r="S15" s="6"/>
      <c r="T15" s="17"/>
      <c r="U15" s="17"/>
      <c r="V15" s="18"/>
      <c r="W15" s="19">
        <v>20</v>
      </c>
      <c r="X15" s="17"/>
      <c r="Y15" s="20"/>
      <c r="Z15" s="20"/>
      <c r="AA15" s="21"/>
      <c r="AB15" s="8">
        <f t="shared" si="4"/>
        <v>1</v>
      </c>
      <c r="AC15" s="9">
        <f t="shared" si="5"/>
        <v>0.16666666666666666</v>
      </c>
      <c r="AD15" s="10">
        <f t="shared" si="6"/>
        <v>0.16666666666666666</v>
      </c>
      <c r="AE15" s="39">
        <f t="shared" si="7"/>
        <v>0.39122345245056789</v>
      </c>
      <c r="AF15" s="94">
        <f t="shared" si="8"/>
        <v>10</v>
      </c>
    </row>
    <row r="16" spans="1:32" ht="27" customHeight="1">
      <c r="A16" s="109">
        <v>10</v>
      </c>
      <c r="B16" s="11" t="s">
        <v>59</v>
      </c>
      <c r="C16" s="37" t="s">
        <v>422</v>
      </c>
      <c r="D16" s="55" t="s">
        <v>423</v>
      </c>
      <c r="E16" s="57" t="s">
        <v>431</v>
      </c>
      <c r="F16" s="12" t="s">
        <v>424</v>
      </c>
      <c r="G16" s="12">
        <v>1</v>
      </c>
      <c r="H16" s="13">
        <v>25</v>
      </c>
      <c r="I16" s="34">
        <v>250</v>
      </c>
      <c r="J16" s="5">
        <v>340</v>
      </c>
      <c r="K16" s="15">
        <f>L16+2138+3980</f>
        <v>6458</v>
      </c>
      <c r="L16" s="15">
        <v>340</v>
      </c>
      <c r="M16" s="16">
        <f t="shared" ref="M16" si="10">L16-N16</f>
        <v>340</v>
      </c>
      <c r="N16" s="16">
        <v>0</v>
      </c>
      <c r="O16" s="62">
        <f t="shared" ref="O16" si="11">IF(L16=0,"0",N16/L16)</f>
        <v>0</v>
      </c>
      <c r="P16" s="42">
        <f t="shared" ref="P16" si="12">IF(L16=0,"0",(24-Q16))</f>
        <v>4</v>
      </c>
      <c r="Q16" s="43">
        <f t="shared" ref="Q16" si="13">SUM(R16:AA16)</f>
        <v>20</v>
      </c>
      <c r="R16" s="7"/>
      <c r="S16" s="6"/>
      <c r="T16" s="17"/>
      <c r="U16" s="17"/>
      <c r="V16" s="18"/>
      <c r="W16" s="19">
        <v>20</v>
      </c>
      <c r="X16" s="17"/>
      <c r="Y16" s="20"/>
      <c r="Z16" s="20"/>
      <c r="AA16" s="21"/>
      <c r="AB16" s="8">
        <f t="shared" ref="AB16" si="14">IF(J16=0,"0",(L16/J16))</f>
        <v>1</v>
      </c>
      <c r="AC16" s="9">
        <f t="shared" ref="AC16" si="15">IF(P16=0,"0",(P16/24))</f>
        <v>0.16666666666666666</v>
      </c>
      <c r="AD16" s="10">
        <f t="shared" ref="AD16" si="16">AC16*AB16*(1-O16)</f>
        <v>0.16666666666666666</v>
      </c>
      <c r="AE16" s="39">
        <f t="shared" si="7"/>
        <v>0.39122345245056789</v>
      </c>
      <c r="AF16" s="94">
        <f t="shared" ref="AF16" si="17">A16</f>
        <v>10</v>
      </c>
    </row>
    <row r="17" spans="1:32" ht="27" customHeight="1">
      <c r="A17" s="109">
        <v>11</v>
      </c>
      <c r="B17" s="11" t="s">
        <v>418</v>
      </c>
      <c r="C17" s="11" t="s">
        <v>415</v>
      </c>
      <c r="D17" s="55" t="s">
        <v>416</v>
      </c>
      <c r="E17" s="57" t="s">
        <v>417</v>
      </c>
      <c r="F17" s="12">
        <v>7301</v>
      </c>
      <c r="G17" s="36">
        <v>1</v>
      </c>
      <c r="H17" s="38">
        <v>25</v>
      </c>
      <c r="I17" s="7">
        <v>30000</v>
      </c>
      <c r="J17" s="14">
        <v>3800</v>
      </c>
      <c r="K17" s="15">
        <f>L17</f>
        <v>3793</v>
      </c>
      <c r="L17" s="15">
        <f>1503+2290</f>
        <v>3793</v>
      </c>
      <c r="M17" s="16">
        <f t="shared" si="0"/>
        <v>3793</v>
      </c>
      <c r="N17" s="16">
        <v>0</v>
      </c>
      <c r="O17" s="62">
        <f t="shared" si="1"/>
        <v>0</v>
      </c>
      <c r="P17" s="42">
        <f t="shared" si="2"/>
        <v>19</v>
      </c>
      <c r="Q17" s="43">
        <f t="shared" si="3"/>
        <v>5</v>
      </c>
      <c r="R17" s="7"/>
      <c r="S17" s="6">
        <v>5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0.99815789473684213</v>
      </c>
      <c r="AC17" s="9">
        <f t="shared" si="5"/>
        <v>0.79166666666666663</v>
      </c>
      <c r="AD17" s="10">
        <f t="shared" si="6"/>
        <v>0.79020833333333329</v>
      </c>
      <c r="AE17" s="39">
        <f t="shared" si="7"/>
        <v>0.39122345245056789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411</v>
      </c>
      <c r="D18" s="55" t="s">
        <v>419</v>
      </c>
      <c r="E18" s="56" t="s">
        <v>420</v>
      </c>
      <c r="F18" s="12">
        <v>8301</v>
      </c>
      <c r="G18" s="12">
        <v>1</v>
      </c>
      <c r="H18" s="13">
        <v>25</v>
      </c>
      <c r="I18" s="34">
        <v>8000</v>
      </c>
      <c r="J18" s="5">
        <v>3740</v>
      </c>
      <c r="K18" s="15">
        <f>L18</f>
        <v>3739</v>
      </c>
      <c r="L18" s="15">
        <f>2864+387+488</f>
        <v>3739</v>
      </c>
      <c r="M18" s="16">
        <f t="shared" si="0"/>
        <v>3739</v>
      </c>
      <c r="N18" s="16">
        <v>0</v>
      </c>
      <c r="O18" s="62">
        <f t="shared" si="1"/>
        <v>0</v>
      </c>
      <c r="P18" s="42">
        <f t="shared" si="2"/>
        <v>18</v>
      </c>
      <c r="Q18" s="43">
        <f t="shared" si="3"/>
        <v>6</v>
      </c>
      <c r="R18" s="7"/>
      <c r="S18" s="6">
        <v>6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0.99973262032085564</v>
      </c>
      <c r="AC18" s="9">
        <f t="shared" si="5"/>
        <v>0.75</v>
      </c>
      <c r="AD18" s="10">
        <f t="shared" si="6"/>
        <v>0.74979946524064167</v>
      </c>
      <c r="AE18" s="39">
        <f t="shared" si="7"/>
        <v>0.39122345245056789</v>
      </c>
      <c r="AF18" s="94">
        <f t="shared" si="8"/>
        <v>12</v>
      </c>
    </row>
    <row r="19" spans="1:32" ht="27" customHeight="1">
      <c r="A19" s="110">
        <v>13</v>
      </c>
      <c r="B19" s="11" t="s">
        <v>293</v>
      </c>
      <c r="C19" s="37" t="s">
        <v>127</v>
      </c>
      <c r="D19" s="55" t="s">
        <v>58</v>
      </c>
      <c r="E19" s="57" t="s">
        <v>155</v>
      </c>
      <c r="F19" s="12" t="s">
        <v>156</v>
      </c>
      <c r="G19" s="12">
        <v>1</v>
      </c>
      <c r="H19" s="13">
        <v>25</v>
      </c>
      <c r="I19" s="34">
        <v>30000</v>
      </c>
      <c r="J19" s="5">
        <v>2110</v>
      </c>
      <c r="K19" s="15">
        <f>L19+3759+4632+4258+3104</f>
        <v>17862</v>
      </c>
      <c r="L19" s="15">
        <f>581+1528</f>
        <v>2109</v>
      </c>
      <c r="M19" s="16">
        <f t="shared" si="0"/>
        <v>2109</v>
      </c>
      <c r="N19" s="16">
        <v>0</v>
      </c>
      <c r="O19" s="62">
        <f t="shared" si="1"/>
        <v>0</v>
      </c>
      <c r="P19" s="42">
        <f t="shared" si="2"/>
        <v>12</v>
      </c>
      <c r="Q19" s="43">
        <f t="shared" si="3"/>
        <v>12</v>
      </c>
      <c r="R19" s="7"/>
      <c r="S19" s="6">
        <v>12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0.99952606635071095</v>
      </c>
      <c r="AC19" s="9">
        <f t="shared" si="5"/>
        <v>0.5</v>
      </c>
      <c r="AD19" s="10">
        <f t="shared" si="6"/>
        <v>0.49976303317535548</v>
      </c>
      <c r="AE19" s="39">
        <f t="shared" si="7"/>
        <v>0.39122345245056789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254</v>
      </c>
      <c r="D20" s="55" t="s">
        <v>58</v>
      </c>
      <c r="E20" s="57" t="s">
        <v>312</v>
      </c>
      <c r="F20" s="33" t="s">
        <v>313</v>
      </c>
      <c r="G20" s="36">
        <v>2</v>
      </c>
      <c r="H20" s="38">
        <v>25</v>
      </c>
      <c r="I20" s="34">
        <v>12000</v>
      </c>
      <c r="J20" s="5">
        <v>4350</v>
      </c>
      <c r="K20" s="15">
        <f>L20+8110+4344</f>
        <v>12454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0.39122345245056789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/>
      <c r="E21" s="56" t="s">
        <v>421</v>
      </c>
      <c r="F21" s="12" t="s">
        <v>120</v>
      </c>
      <c r="G21" s="12">
        <v>4</v>
      </c>
      <c r="H21" s="38">
        <v>20</v>
      </c>
      <c r="I21" s="7">
        <v>300000</v>
      </c>
      <c r="J21" s="14">
        <v>47250</v>
      </c>
      <c r="K21" s="15">
        <f>L21</f>
        <v>42812</v>
      </c>
      <c r="L21" s="15">
        <f>6231*4+4472*4</f>
        <v>42812</v>
      </c>
      <c r="M21" s="16">
        <f t="shared" si="0"/>
        <v>42812</v>
      </c>
      <c r="N21" s="16">
        <v>0</v>
      </c>
      <c r="O21" s="62">
        <f t="shared" si="1"/>
        <v>0</v>
      </c>
      <c r="P21" s="42">
        <f t="shared" si="2"/>
        <v>22</v>
      </c>
      <c r="Q21" s="43">
        <f t="shared" si="3"/>
        <v>2</v>
      </c>
      <c r="R21" s="7"/>
      <c r="S21" s="6"/>
      <c r="T21" s="17">
        <v>2</v>
      </c>
      <c r="U21" s="17"/>
      <c r="V21" s="18"/>
      <c r="W21" s="19"/>
      <c r="X21" s="17"/>
      <c r="Y21" s="20"/>
      <c r="Z21" s="20"/>
      <c r="AA21" s="21"/>
      <c r="AB21" s="8">
        <f t="shared" si="4"/>
        <v>0.90607407407407403</v>
      </c>
      <c r="AC21" s="9">
        <f t="shared" si="5"/>
        <v>0.91666666666666663</v>
      </c>
      <c r="AD21" s="10">
        <f t="shared" si="6"/>
        <v>0.83056790123456781</v>
      </c>
      <c r="AE21" s="39">
        <f t="shared" si="7"/>
        <v>0.39122345245056789</v>
      </c>
      <c r="AF21" s="94">
        <f t="shared" si="8"/>
        <v>15</v>
      </c>
    </row>
    <row r="22" spans="1:32" ht="31.5" customHeight="1" thickBot="1">
      <c r="A22" s="430" t="s">
        <v>34</v>
      </c>
      <c r="B22" s="431"/>
      <c r="C22" s="431"/>
      <c r="D22" s="431"/>
      <c r="E22" s="431"/>
      <c r="F22" s="431"/>
      <c r="G22" s="431"/>
      <c r="H22" s="432"/>
      <c r="I22" s="25">
        <f t="shared" ref="I22:N22" si="18">SUM(I6:I21)</f>
        <v>500150</v>
      </c>
      <c r="J22" s="22">
        <f t="shared" si="18"/>
        <v>95392</v>
      </c>
      <c r="K22" s="23">
        <f t="shared" si="18"/>
        <v>203944</v>
      </c>
      <c r="L22" s="24">
        <f t="shared" si="18"/>
        <v>66945</v>
      </c>
      <c r="M22" s="23">
        <f t="shared" si="18"/>
        <v>66945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143</v>
      </c>
      <c r="Q22" s="46">
        <f t="shared" si="19"/>
        <v>241</v>
      </c>
      <c r="R22" s="26">
        <f t="shared" si="19"/>
        <v>0</v>
      </c>
      <c r="S22" s="27">
        <f t="shared" si="19"/>
        <v>31</v>
      </c>
      <c r="T22" s="27">
        <f t="shared" si="19"/>
        <v>2</v>
      </c>
      <c r="U22" s="27">
        <f t="shared" si="19"/>
        <v>0</v>
      </c>
      <c r="V22" s="28">
        <f t="shared" si="19"/>
        <v>0</v>
      </c>
      <c r="W22" s="29">
        <f t="shared" si="19"/>
        <v>208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0.59339526644089502</v>
      </c>
      <c r="AC22" s="4">
        <f>SUM(AC6:AC21)/15</f>
        <v>0.3972222222222222</v>
      </c>
      <c r="AD22" s="4">
        <f>SUM(AD6:AD21)/15</f>
        <v>0.39122345245056789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33" t="s">
        <v>46</v>
      </c>
      <c r="B49" s="433"/>
      <c r="C49" s="433"/>
      <c r="D49" s="433"/>
      <c r="E49" s="433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34" t="s">
        <v>426</v>
      </c>
      <c r="B50" s="435"/>
      <c r="C50" s="435"/>
      <c r="D50" s="435"/>
      <c r="E50" s="435"/>
      <c r="F50" s="435"/>
      <c r="G50" s="435"/>
      <c r="H50" s="435"/>
      <c r="I50" s="435"/>
      <c r="J50" s="435"/>
      <c r="K50" s="435"/>
      <c r="L50" s="435"/>
      <c r="M50" s="436"/>
      <c r="N50" s="437" t="s">
        <v>445</v>
      </c>
      <c r="O50" s="438"/>
      <c r="P50" s="438"/>
      <c r="Q50" s="438"/>
      <c r="R50" s="438"/>
      <c r="S50" s="438"/>
      <c r="T50" s="438"/>
      <c r="U50" s="438"/>
      <c r="V50" s="438"/>
      <c r="W50" s="438"/>
      <c r="X50" s="438"/>
      <c r="Y50" s="438"/>
      <c r="Z50" s="438"/>
      <c r="AA50" s="438"/>
      <c r="AB50" s="438"/>
      <c r="AC50" s="438"/>
      <c r="AD50" s="439"/>
    </row>
    <row r="51" spans="1:32" ht="27" customHeight="1">
      <c r="A51" s="440" t="s">
        <v>2</v>
      </c>
      <c r="B51" s="441"/>
      <c r="C51" s="221" t="s">
        <v>47</v>
      </c>
      <c r="D51" s="221" t="s">
        <v>48</v>
      </c>
      <c r="E51" s="221" t="s">
        <v>113</v>
      </c>
      <c r="F51" s="441" t="s">
        <v>112</v>
      </c>
      <c r="G51" s="441"/>
      <c r="H51" s="441"/>
      <c r="I51" s="441"/>
      <c r="J51" s="441"/>
      <c r="K51" s="441"/>
      <c r="L51" s="441"/>
      <c r="M51" s="442"/>
      <c r="N51" s="73" t="s">
        <v>117</v>
      </c>
      <c r="O51" s="221" t="s">
        <v>47</v>
      </c>
      <c r="P51" s="443" t="s">
        <v>48</v>
      </c>
      <c r="Q51" s="444"/>
      <c r="R51" s="443" t="s">
        <v>39</v>
      </c>
      <c r="S51" s="445"/>
      <c r="T51" s="445"/>
      <c r="U51" s="444"/>
      <c r="V51" s="443" t="s">
        <v>49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57" t="s">
        <v>363</v>
      </c>
      <c r="B52" s="458"/>
      <c r="C52" s="220" t="s">
        <v>372</v>
      </c>
      <c r="D52" s="217" t="s">
        <v>373</v>
      </c>
      <c r="E52" s="220" t="s">
        <v>374</v>
      </c>
      <c r="F52" s="459" t="s">
        <v>427</v>
      </c>
      <c r="G52" s="459"/>
      <c r="H52" s="459"/>
      <c r="I52" s="459"/>
      <c r="J52" s="459"/>
      <c r="K52" s="459"/>
      <c r="L52" s="459"/>
      <c r="M52" s="460"/>
      <c r="N52" s="216" t="s">
        <v>367</v>
      </c>
      <c r="O52" s="74" t="s">
        <v>134</v>
      </c>
      <c r="P52" s="461" t="s">
        <v>381</v>
      </c>
      <c r="Q52" s="462"/>
      <c r="R52" s="463" t="s">
        <v>382</v>
      </c>
      <c r="S52" s="463"/>
      <c r="T52" s="463"/>
      <c r="U52" s="463"/>
      <c r="V52" s="459" t="s">
        <v>446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57" t="s">
        <v>422</v>
      </c>
      <c r="B53" s="458"/>
      <c r="C53" s="220" t="s">
        <v>428</v>
      </c>
      <c r="D53" s="217" t="s">
        <v>429</v>
      </c>
      <c r="E53" s="220" t="s">
        <v>430</v>
      </c>
      <c r="F53" s="459" t="s">
        <v>432</v>
      </c>
      <c r="G53" s="459"/>
      <c r="H53" s="459"/>
      <c r="I53" s="459"/>
      <c r="J53" s="459"/>
      <c r="K53" s="459"/>
      <c r="L53" s="459"/>
      <c r="M53" s="460"/>
      <c r="N53" s="216" t="s">
        <v>138</v>
      </c>
      <c r="O53" s="74" t="s">
        <v>384</v>
      </c>
      <c r="P53" s="461" t="s">
        <v>385</v>
      </c>
      <c r="Q53" s="462"/>
      <c r="R53" s="463" t="s">
        <v>386</v>
      </c>
      <c r="S53" s="463"/>
      <c r="T53" s="463"/>
      <c r="U53" s="463"/>
      <c r="V53" s="459" t="s">
        <v>446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 t="s">
        <v>422</v>
      </c>
      <c r="B54" s="458"/>
      <c r="C54" s="220" t="s">
        <v>428</v>
      </c>
      <c r="D54" s="217" t="s">
        <v>429</v>
      </c>
      <c r="E54" s="220" t="s">
        <v>425</v>
      </c>
      <c r="F54" s="459" t="s">
        <v>433</v>
      </c>
      <c r="G54" s="459"/>
      <c r="H54" s="459"/>
      <c r="I54" s="459"/>
      <c r="J54" s="459"/>
      <c r="K54" s="459"/>
      <c r="L54" s="459"/>
      <c r="M54" s="460"/>
      <c r="N54" s="216" t="s">
        <v>210</v>
      </c>
      <c r="O54" s="74" t="s">
        <v>387</v>
      </c>
      <c r="P54" s="461" t="s">
        <v>388</v>
      </c>
      <c r="Q54" s="462"/>
      <c r="R54" s="463" t="s">
        <v>389</v>
      </c>
      <c r="S54" s="463"/>
      <c r="T54" s="463"/>
      <c r="U54" s="463"/>
      <c r="V54" s="459" t="s">
        <v>451</v>
      </c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57" t="s">
        <v>434</v>
      </c>
      <c r="B55" s="458"/>
      <c r="C55" s="220" t="s">
        <v>435</v>
      </c>
      <c r="D55" s="217" t="s">
        <v>436</v>
      </c>
      <c r="E55" s="220" t="s">
        <v>417</v>
      </c>
      <c r="F55" s="459" t="s">
        <v>437</v>
      </c>
      <c r="G55" s="459"/>
      <c r="H55" s="459"/>
      <c r="I55" s="459"/>
      <c r="J55" s="459"/>
      <c r="K55" s="459"/>
      <c r="L55" s="459"/>
      <c r="M55" s="460"/>
      <c r="N55" s="216" t="s">
        <v>415</v>
      </c>
      <c r="O55" s="74" t="s">
        <v>452</v>
      </c>
      <c r="P55" s="461" t="s">
        <v>453</v>
      </c>
      <c r="Q55" s="462"/>
      <c r="R55" s="463" t="s">
        <v>454</v>
      </c>
      <c r="S55" s="463"/>
      <c r="T55" s="463"/>
      <c r="U55" s="463"/>
      <c r="V55" s="459" t="s">
        <v>455</v>
      </c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57" t="s">
        <v>438</v>
      </c>
      <c r="B56" s="458"/>
      <c r="C56" s="220" t="s">
        <v>439</v>
      </c>
      <c r="D56" s="217" t="s">
        <v>412</v>
      </c>
      <c r="E56" s="220" t="s">
        <v>440</v>
      </c>
      <c r="F56" s="459" t="s">
        <v>441</v>
      </c>
      <c r="G56" s="459"/>
      <c r="H56" s="459"/>
      <c r="I56" s="459"/>
      <c r="J56" s="459"/>
      <c r="K56" s="459"/>
      <c r="L56" s="459"/>
      <c r="M56" s="460"/>
      <c r="N56" s="216" t="s">
        <v>456</v>
      </c>
      <c r="O56" s="74" t="s">
        <v>457</v>
      </c>
      <c r="P56" s="461" t="s">
        <v>458</v>
      </c>
      <c r="Q56" s="462"/>
      <c r="R56" s="463" t="s">
        <v>459</v>
      </c>
      <c r="S56" s="463"/>
      <c r="T56" s="463"/>
      <c r="U56" s="463"/>
      <c r="V56" s="459" t="s">
        <v>460</v>
      </c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 t="s">
        <v>442</v>
      </c>
      <c r="B57" s="463"/>
      <c r="C57" s="217" t="s">
        <v>443</v>
      </c>
      <c r="D57" s="217"/>
      <c r="E57" s="220" t="s">
        <v>444</v>
      </c>
      <c r="F57" s="459" t="s">
        <v>432</v>
      </c>
      <c r="G57" s="459"/>
      <c r="H57" s="459"/>
      <c r="I57" s="459"/>
      <c r="J57" s="459"/>
      <c r="K57" s="459"/>
      <c r="L57" s="459"/>
      <c r="M57" s="460"/>
      <c r="N57" s="216"/>
      <c r="O57" s="74"/>
      <c r="P57" s="463"/>
      <c r="Q57" s="463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64" t="s">
        <v>411</v>
      </c>
      <c r="B58" s="463"/>
      <c r="C58" s="217" t="s">
        <v>447</v>
      </c>
      <c r="D58" s="217" t="s">
        <v>448</v>
      </c>
      <c r="E58" s="220" t="s">
        <v>449</v>
      </c>
      <c r="F58" s="459" t="s">
        <v>450</v>
      </c>
      <c r="G58" s="459"/>
      <c r="H58" s="459"/>
      <c r="I58" s="459"/>
      <c r="J58" s="459"/>
      <c r="K58" s="459"/>
      <c r="L58" s="459"/>
      <c r="M58" s="460"/>
      <c r="N58" s="216"/>
      <c r="O58" s="74"/>
      <c r="P58" s="461"/>
      <c r="Q58" s="462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57"/>
      <c r="B59" s="458"/>
      <c r="C59" s="220"/>
      <c r="D59" s="217"/>
      <c r="E59" s="220"/>
      <c r="F59" s="459"/>
      <c r="G59" s="459"/>
      <c r="H59" s="459"/>
      <c r="I59" s="459"/>
      <c r="J59" s="459"/>
      <c r="K59" s="459"/>
      <c r="L59" s="459"/>
      <c r="M59" s="460"/>
      <c r="N59" s="216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</row>
    <row r="60" spans="1:32" ht="27" customHeight="1">
      <c r="A60" s="464"/>
      <c r="B60" s="463"/>
      <c r="C60" s="217"/>
      <c r="D60" s="217"/>
      <c r="E60" s="217"/>
      <c r="F60" s="459"/>
      <c r="G60" s="459"/>
      <c r="H60" s="459"/>
      <c r="I60" s="459"/>
      <c r="J60" s="459"/>
      <c r="K60" s="459"/>
      <c r="L60" s="459"/>
      <c r="M60" s="460"/>
      <c r="N60" s="216"/>
      <c r="O60" s="74"/>
      <c r="P60" s="463"/>
      <c r="Q60" s="463"/>
      <c r="R60" s="463"/>
      <c r="S60" s="463"/>
      <c r="T60" s="463"/>
      <c r="U60" s="463"/>
      <c r="V60" s="459"/>
      <c r="W60" s="459"/>
      <c r="X60" s="459"/>
      <c r="Y60" s="459"/>
      <c r="Z60" s="459"/>
      <c r="AA60" s="459"/>
      <c r="AB60" s="459"/>
      <c r="AC60" s="459"/>
      <c r="AD60" s="460"/>
      <c r="AF60" s="94">
        <f>8*3000</f>
        <v>24000</v>
      </c>
    </row>
    <row r="61" spans="1:32" ht="27" customHeight="1" thickBot="1">
      <c r="A61" s="465"/>
      <c r="B61" s="466"/>
      <c r="C61" s="219"/>
      <c r="D61" s="219"/>
      <c r="E61" s="219"/>
      <c r="F61" s="467"/>
      <c r="G61" s="467"/>
      <c r="H61" s="467"/>
      <c r="I61" s="467"/>
      <c r="J61" s="467"/>
      <c r="K61" s="467"/>
      <c r="L61" s="467"/>
      <c r="M61" s="468"/>
      <c r="N61" s="218"/>
      <c r="O61" s="121"/>
      <c r="P61" s="466"/>
      <c r="Q61" s="466"/>
      <c r="R61" s="466"/>
      <c r="S61" s="466"/>
      <c r="T61" s="466"/>
      <c r="U61" s="466"/>
      <c r="V61" s="467"/>
      <c r="W61" s="467"/>
      <c r="X61" s="467"/>
      <c r="Y61" s="467"/>
      <c r="Z61" s="467"/>
      <c r="AA61" s="467"/>
      <c r="AB61" s="467"/>
      <c r="AC61" s="467"/>
      <c r="AD61" s="468"/>
      <c r="AF61" s="94">
        <f>16*3000</f>
        <v>48000</v>
      </c>
    </row>
    <row r="62" spans="1:32" ht="27.75" thickBot="1">
      <c r="A62" s="469" t="s">
        <v>461</v>
      </c>
      <c r="B62" s="469"/>
      <c r="C62" s="469"/>
      <c r="D62" s="469"/>
      <c r="E62" s="469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70" t="s">
        <v>118</v>
      </c>
      <c r="B63" s="471"/>
      <c r="C63" s="215" t="s">
        <v>2</v>
      </c>
      <c r="D63" s="215" t="s">
        <v>38</v>
      </c>
      <c r="E63" s="215" t="s">
        <v>3</v>
      </c>
      <c r="F63" s="471" t="s">
        <v>115</v>
      </c>
      <c r="G63" s="471"/>
      <c r="H63" s="471"/>
      <c r="I63" s="471"/>
      <c r="J63" s="471"/>
      <c r="K63" s="471" t="s">
        <v>40</v>
      </c>
      <c r="L63" s="471"/>
      <c r="M63" s="215" t="s">
        <v>41</v>
      </c>
      <c r="N63" s="471" t="s">
        <v>42</v>
      </c>
      <c r="O63" s="471"/>
      <c r="P63" s="472" t="s">
        <v>43</v>
      </c>
      <c r="Q63" s="473"/>
      <c r="R63" s="472" t="s">
        <v>44</v>
      </c>
      <c r="S63" s="474"/>
      <c r="T63" s="474"/>
      <c r="U63" s="474"/>
      <c r="V63" s="474"/>
      <c r="W63" s="474"/>
      <c r="X63" s="474"/>
      <c r="Y63" s="474"/>
      <c r="Z63" s="474"/>
      <c r="AA63" s="473"/>
      <c r="AB63" s="471" t="s">
        <v>45</v>
      </c>
      <c r="AC63" s="471"/>
      <c r="AD63" s="475"/>
      <c r="AF63" s="94">
        <f>SUM(AF60:AF62)</f>
        <v>96000</v>
      </c>
    </row>
    <row r="64" spans="1:32" ht="25.5" customHeight="1">
      <c r="A64" s="476">
        <v>1</v>
      </c>
      <c r="B64" s="477"/>
      <c r="C64" s="133" t="s">
        <v>438</v>
      </c>
      <c r="D64" s="211"/>
      <c r="E64" s="213" t="s">
        <v>462</v>
      </c>
      <c r="F64" s="478" t="s">
        <v>449</v>
      </c>
      <c r="G64" s="479"/>
      <c r="H64" s="479"/>
      <c r="I64" s="479"/>
      <c r="J64" s="479"/>
      <c r="K64" s="479">
        <v>8301</v>
      </c>
      <c r="L64" s="479"/>
      <c r="M64" s="54" t="s">
        <v>463</v>
      </c>
      <c r="N64" s="479">
        <v>12</v>
      </c>
      <c r="O64" s="479"/>
      <c r="P64" s="480">
        <v>30</v>
      </c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  <c r="AF64" s="53"/>
    </row>
    <row r="65" spans="1:32" ht="25.5" customHeight="1">
      <c r="A65" s="476">
        <v>2</v>
      </c>
      <c r="B65" s="477"/>
      <c r="C65" s="133"/>
      <c r="D65" s="211"/>
      <c r="E65" s="213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</row>
    <row r="66" spans="1:32" ht="25.5" customHeight="1">
      <c r="A66" s="476">
        <v>3</v>
      </c>
      <c r="B66" s="477"/>
      <c r="C66" s="133"/>
      <c r="D66" s="211"/>
      <c r="E66" s="213"/>
      <c r="F66" s="478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4</v>
      </c>
      <c r="B67" s="477"/>
      <c r="C67" s="133"/>
      <c r="D67" s="211"/>
      <c r="E67" s="213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5</v>
      </c>
      <c r="B68" s="477"/>
      <c r="C68" s="133"/>
      <c r="D68" s="211"/>
      <c r="E68" s="213"/>
      <c r="F68" s="479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6</v>
      </c>
      <c r="B69" s="477"/>
      <c r="C69" s="133"/>
      <c r="D69" s="211"/>
      <c r="E69" s="213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7</v>
      </c>
      <c r="B70" s="477"/>
      <c r="C70" s="133"/>
      <c r="D70" s="211"/>
      <c r="E70" s="213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5.5" customHeight="1">
      <c r="A71" s="476">
        <v>8</v>
      </c>
      <c r="B71" s="477"/>
      <c r="C71" s="133"/>
      <c r="D71" s="211"/>
      <c r="E71" s="213"/>
      <c r="F71" s="478"/>
      <c r="G71" s="479"/>
      <c r="H71" s="479"/>
      <c r="I71" s="479"/>
      <c r="J71" s="479"/>
      <c r="K71" s="479"/>
      <c r="L71" s="479"/>
      <c r="M71" s="54"/>
      <c r="N71" s="479"/>
      <c r="O71" s="479"/>
      <c r="P71" s="480"/>
      <c r="Q71" s="480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79"/>
      <c r="AC71" s="479"/>
      <c r="AD71" s="481"/>
      <c r="AF71" s="53"/>
    </row>
    <row r="72" spans="1:32" ht="26.25" customHeight="1" thickBot="1">
      <c r="A72" s="482" t="s">
        <v>464</v>
      </c>
      <c r="B72" s="482"/>
      <c r="C72" s="482"/>
      <c r="D72" s="482"/>
      <c r="E72" s="482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83" t="s">
        <v>118</v>
      </c>
      <c r="B73" s="484"/>
      <c r="C73" s="214" t="s">
        <v>2</v>
      </c>
      <c r="D73" s="214" t="s">
        <v>38</v>
      </c>
      <c r="E73" s="214" t="s">
        <v>3</v>
      </c>
      <c r="F73" s="484" t="s">
        <v>39</v>
      </c>
      <c r="G73" s="484"/>
      <c r="H73" s="484"/>
      <c r="I73" s="484"/>
      <c r="J73" s="484"/>
      <c r="K73" s="485" t="s">
        <v>60</v>
      </c>
      <c r="L73" s="486"/>
      <c r="M73" s="486"/>
      <c r="N73" s="486"/>
      <c r="O73" s="486"/>
      <c r="P73" s="486"/>
      <c r="Q73" s="486"/>
      <c r="R73" s="486"/>
      <c r="S73" s="487"/>
      <c r="T73" s="484" t="s">
        <v>50</v>
      </c>
      <c r="U73" s="484"/>
      <c r="V73" s="485" t="s">
        <v>51</v>
      </c>
      <c r="W73" s="487"/>
      <c r="X73" s="486" t="s">
        <v>52</v>
      </c>
      <c r="Y73" s="486"/>
      <c r="Z73" s="486"/>
      <c r="AA73" s="486"/>
      <c r="AB73" s="486"/>
      <c r="AC73" s="486"/>
      <c r="AD73" s="488"/>
      <c r="AF73" s="53"/>
    </row>
    <row r="74" spans="1:32" ht="33.75" customHeight="1">
      <c r="A74" s="497">
        <v>1</v>
      </c>
      <c r="B74" s="498"/>
      <c r="C74" s="212" t="s">
        <v>210</v>
      </c>
      <c r="D74" s="212"/>
      <c r="E74" s="71" t="s">
        <v>407</v>
      </c>
      <c r="F74" s="499" t="s">
        <v>408</v>
      </c>
      <c r="G74" s="500"/>
      <c r="H74" s="500"/>
      <c r="I74" s="500"/>
      <c r="J74" s="501"/>
      <c r="K74" s="502" t="s">
        <v>465</v>
      </c>
      <c r="L74" s="503"/>
      <c r="M74" s="503"/>
      <c r="N74" s="503"/>
      <c r="O74" s="503"/>
      <c r="P74" s="503"/>
      <c r="Q74" s="503"/>
      <c r="R74" s="503"/>
      <c r="S74" s="504"/>
      <c r="T74" s="505">
        <v>42865</v>
      </c>
      <c r="U74" s="506"/>
      <c r="V74" s="507"/>
      <c r="W74" s="507"/>
      <c r="X74" s="508"/>
      <c r="Y74" s="508"/>
      <c r="Z74" s="508"/>
      <c r="AA74" s="508"/>
      <c r="AB74" s="508"/>
      <c r="AC74" s="508"/>
      <c r="AD74" s="509"/>
      <c r="AF74" s="53"/>
    </row>
    <row r="75" spans="1:32" ht="30" customHeight="1">
      <c r="A75" s="489">
        <f>A74+1</f>
        <v>2</v>
      </c>
      <c r="B75" s="490"/>
      <c r="C75" s="211" t="s">
        <v>434</v>
      </c>
      <c r="D75" s="211"/>
      <c r="E75" s="35" t="s">
        <v>453</v>
      </c>
      <c r="F75" s="490" t="s">
        <v>454</v>
      </c>
      <c r="G75" s="490"/>
      <c r="H75" s="490"/>
      <c r="I75" s="490"/>
      <c r="J75" s="490"/>
      <c r="K75" s="491" t="s">
        <v>466</v>
      </c>
      <c r="L75" s="492"/>
      <c r="M75" s="492"/>
      <c r="N75" s="492"/>
      <c r="O75" s="492"/>
      <c r="P75" s="492"/>
      <c r="Q75" s="492"/>
      <c r="R75" s="492"/>
      <c r="S75" s="493"/>
      <c r="T75" s="494">
        <v>42865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ref="A76:A82" si="20">A75+1</f>
        <v>3</v>
      </c>
      <c r="B76" s="490"/>
      <c r="C76" s="211" t="s">
        <v>411</v>
      </c>
      <c r="D76" s="211"/>
      <c r="E76" s="35" t="s">
        <v>462</v>
      </c>
      <c r="F76" s="490" t="s">
        <v>449</v>
      </c>
      <c r="G76" s="490"/>
      <c r="H76" s="490"/>
      <c r="I76" s="490"/>
      <c r="J76" s="490"/>
      <c r="K76" s="491" t="s">
        <v>467</v>
      </c>
      <c r="L76" s="492"/>
      <c r="M76" s="492"/>
      <c r="N76" s="492"/>
      <c r="O76" s="492"/>
      <c r="P76" s="492"/>
      <c r="Q76" s="492"/>
      <c r="R76" s="492"/>
      <c r="S76" s="493"/>
      <c r="T76" s="494">
        <v>42865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20"/>
        <v>4</v>
      </c>
      <c r="B77" s="490"/>
      <c r="C77" s="211" t="s">
        <v>415</v>
      </c>
      <c r="D77" s="211"/>
      <c r="E77" s="35" t="s">
        <v>436</v>
      </c>
      <c r="F77" s="490" t="s">
        <v>417</v>
      </c>
      <c r="G77" s="490"/>
      <c r="H77" s="490"/>
      <c r="I77" s="490"/>
      <c r="J77" s="490"/>
      <c r="K77" s="491" t="s">
        <v>468</v>
      </c>
      <c r="L77" s="492"/>
      <c r="M77" s="492"/>
      <c r="N77" s="492"/>
      <c r="O77" s="492"/>
      <c r="P77" s="492"/>
      <c r="Q77" s="492"/>
      <c r="R77" s="492"/>
      <c r="S77" s="493"/>
      <c r="T77" s="494">
        <v>42865</v>
      </c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20"/>
        <v>5</v>
      </c>
      <c r="B78" s="490"/>
      <c r="C78" s="211" t="s">
        <v>456</v>
      </c>
      <c r="D78" s="211"/>
      <c r="E78" s="35" t="s">
        <v>458</v>
      </c>
      <c r="F78" s="490" t="s">
        <v>459</v>
      </c>
      <c r="G78" s="490"/>
      <c r="H78" s="490"/>
      <c r="I78" s="490"/>
      <c r="J78" s="490"/>
      <c r="K78" s="491" t="s">
        <v>469</v>
      </c>
      <c r="L78" s="492"/>
      <c r="M78" s="492"/>
      <c r="N78" s="492"/>
      <c r="O78" s="492"/>
      <c r="P78" s="492"/>
      <c r="Q78" s="492"/>
      <c r="R78" s="492"/>
      <c r="S78" s="493"/>
      <c r="T78" s="494">
        <v>42865</v>
      </c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20"/>
        <v>6</v>
      </c>
      <c r="B79" s="490"/>
      <c r="C79" s="211"/>
      <c r="D79" s="211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20"/>
        <v>7</v>
      </c>
      <c r="B80" s="490"/>
      <c r="C80" s="211"/>
      <c r="D80" s="211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20"/>
        <v>8</v>
      </c>
      <c r="B81" s="490"/>
      <c r="C81" s="211"/>
      <c r="D81" s="211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0" customHeight="1">
      <c r="A82" s="489">
        <f t="shared" si="20"/>
        <v>9</v>
      </c>
      <c r="B82" s="490"/>
      <c r="C82" s="211"/>
      <c r="D82" s="211"/>
      <c r="E82" s="35"/>
      <c r="F82" s="490"/>
      <c r="G82" s="490"/>
      <c r="H82" s="490"/>
      <c r="I82" s="490"/>
      <c r="J82" s="490"/>
      <c r="K82" s="491"/>
      <c r="L82" s="492"/>
      <c r="M82" s="492"/>
      <c r="N82" s="492"/>
      <c r="O82" s="492"/>
      <c r="P82" s="492"/>
      <c r="Q82" s="492"/>
      <c r="R82" s="492"/>
      <c r="S82" s="493"/>
      <c r="T82" s="494"/>
      <c r="U82" s="494"/>
      <c r="V82" s="494"/>
      <c r="W82" s="494"/>
      <c r="X82" s="495"/>
      <c r="Y82" s="495"/>
      <c r="Z82" s="495"/>
      <c r="AA82" s="495"/>
      <c r="AB82" s="495"/>
      <c r="AC82" s="495"/>
      <c r="AD82" s="496"/>
      <c r="AF82" s="53"/>
    </row>
    <row r="83" spans="1:32" ht="36" thickBot="1">
      <c r="A83" s="482" t="s">
        <v>470</v>
      </c>
      <c r="B83" s="482"/>
      <c r="C83" s="482"/>
      <c r="D83" s="482"/>
      <c r="E83" s="482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510" t="s">
        <v>37</v>
      </c>
      <c r="B84" s="511"/>
      <c r="C84" s="511" t="s">
        <v>53</v>
      </c>
      <c r="D84" s="511"/>
      <c r="E84" s="511" t="s">
        <v>54</v>
      </c>
      <c r="F84" s="511"/>
      <c r="G84" s="511"/>
      <c r="H84" s="511"/>
      <c r="I84" s="511"/>
      <c r="J84" s="511"/>
      <c r="K84" s="511" t="s">
        <v>55</v>
      </c>
      <c r="L84" s="511"/>
      <c r="M84" s="511"/>
      <c r="N84" s="511"/>
      <c r="O84" s="511"/>
      <c r="P84" s="511"/>
      <c r="Q84" s="511"/>
      <c r="R84" s="511"/>
      <c r="S84" s="511"/>
      <c r="T84" s="511" t="s">
        <v>56</v>
      </c>
      <c r="U84" s="511"/>
      <c r="V84" s="511" t="s">
        <v>57</v>
      </c>
      <c r="W84" s="511"/>
      <c r="X84" s="511"/>
      <c r="Y84" s="511" t="s">
        <v>52</v>
      </c>
      <c r="Z84" s="511"/>
      <c r="AA84" s="511"/>
      <c r="AB84" s="511"/>
      <c r="AC84" s="511"/>
      <c r="AD84" s="512"/>
      <c r="AF84" s="53"/>
    </row>
    <row r="85" spans="1:32" ht="30.75" customHeight="1">
      <c r="A85" s="513">
        <v>1</v>
      </c>
      <c r="B85" s="514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>
      <c r="A86" s="489">
        <v>2</v>
      </c>
      <c r="B86" s="490"/>
      <c r="C86" s="515"/>
      <c r="D86" s="515"/>
      <c r="E86" s="515"/>
      <c r="F86" s="515"/>
      <c r="G86" s="515"/>
      <c r="H86" s="515"/>
      <c r="I86" s="515"/>
      <c r="J86" s="515"/>
      <c r="K86" s="515"/>
      <c r="L86" s="515"/>
      <c r="M86" s="515"/>
      <c r="N86" s="515"/>
      <c r="O86" s="515"/>
      <c r="P86" s="515"/>
      <c r="Q86" s="515"/>
      <c r="R86" s="515"/>
      <c r="S86" s="515"/>
      <c r="T86" s="515"/>
      <c r="U86" s="515"/>
      <c r="V86" s="516"/>
      <c r="W86" s="516"/>
      <c r="X86" s="516"/>
      <c r="Y86" s="517"/>
      <c r="Z86" s="517"/>
      <c r="AA86" s="517"/>
      <c r="AB86" s="517"/>
      <c r="AC86" s="517"/>
      <c r="AD86" s="518"/>
      <c r="AF86" s="53"/>
    </row>
    <row r="87" spans="1:32" ht="30.75" customHeight="1" thickBot="1">
      <c r="A87" s="519">
        <v>3</v>
      </c>
      <c r="B87" s="520"/>
      <c r="C87" s="520"/>
      <c r="D87" s="520"/>
      <c r="E87" s="520"/>
      <c r="F87" s="520"/>
      <c r="G87" s="520"/>
      <c r="H87" s="520"/>
      <c r="I87" s="520"/>
      <c r="J87" s="520"/>
      <c r="K87" s="520"/>
      <c r="L87" s="520"/>
      <c r="M87" s="520"/>
      <c r="N87" s="520"/>
      <c r="O87" s="520"/>
      <c r="P87" s="520"/>
      <c r="Q87" s="520"/>
      <c r="R87" s="520"/>
      <c r="S87" s="520"/>
      <c r="T87" s="520"/>
      <c r="U87" s="520"/>
      <c r="V87" s="520"/>
      <c r="W87" s="520"/>
      <c r="X87" s="520"/>
      <c r="Y87" s="521"/>
      <c r="Z87" s="521"/>
      <c r="AA87" s="521"/>
      <c r="AB87" s="521"/>
      <c r="AC87" s="521"/>
      <c r="AD87" s="522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topLeftCell="A55" zoomScale="72" zoomScaleNormal="72" zoomScaleSheetLayoutView="70" workbookViewId="0">
      <selection activeCell="K80" sqref="K80:S8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471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223" t="s">
        <v>17</v>
      </c>
      <c r="L5" s="223" t="s">
        <v>18</v>
      </c>
      <c r="M5" s="223" t="s">
        <v>19</v>
      </c>
      <c r="N5" s="22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0.3995327350819145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127</v>
      </c>
      <c r="D7" s="55" t="s">
        <v>178</v>
      </c>
      <c r="E7" s="56" t="s">
        <v>179</v>
      </c>
      <c r="F7" s="12" t="s">
        <v>180</v>
      </c>
      <c r="G7" s="36">
        <v>2</v>
      </c>
      <c r="H7" s="38">
        <v>25</v>
      </c>
      <c r="I7" s="7">
        <v>40000</v>
      </c>
      <c r="J7" s="14">
        <v>3050</v>
      </c>
      <c r="K7" s="15">
        <f>L7+7596+10920+10616+10866+3048</f>
        <v>43046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0.3995327350819145</v>
      </c>
      <c r="AF7" s="94">
        <f>A7</f>
        <v>2</v>
      </c>
    </row>
    <row r="8" spans="1:32" ht="27" customHeight="1">
      <c r="A8" s="109">
        <v>3</v>
      </c>
      <c r="B8" s="11" t="s">
        <v>293</v>
      </c>
      <c r="C8" s="11" t="s">
        <v>127</v>
      </c>
      <c r="D8" s="55" t="s">
        <v>123</v>
      </c>
      <c r="E8" s="57" t="s">
        <v>164</v>
      </c>
      <c r="F8" s="12" t="s">
        <v>128</v>
      </c>
      <c r="G8" s="36">
        <v>1</v>
      </c>
      <c r="H8" s="38">
        <v>25</v>
      </c>
      <c r="I8" s="7">
        <v>30000</v>
      </c>
      <c r="J8" s="14">
        <v>1350</v>
      </c>
      <c r="K8" s="15">
        <f>L8+3518+5719+5664+5626+4836+5571</f>
        <v>32278</v>
      </c>
      <c r="L8" s="15">
        <f>1344</f>
        <v>1344</v>
      </c>
      <c r="M8" s="16">
        <f t="shared" si="0"/>
        <v>1344</v>
      </c>
      <c r="N8" s="16">
        <v>0</v>
      </c>
      <c r="O8" s="62">
        <f t="shared" si="1"/>
        <v>0</v>
      </c>
      <c r="P8" s="42">
        <f t="shared" si="2"/>
        <v>6</v>
      </c>
      <c r="Q8" s="43">
        <f t="shared" si="3"/>
        <v>18</v>
      </c>
      <c r="R8" s="7"/>
      <c r="S8" s="6"/>
      <c r="T8" s="17"/>
      <c r="U8" s="17"/>
      <c r="V8" s="18"/>
      <c r="W8" s="19">
        <v>18</v>
      </c>
      <c r="X8" s="17"/>
      <c r="Y8" s="20"/>
      <c r="Z8" s="20"/>
      <c r="AA8" s="21"/>
      <c r="AB8" s="8">
        <f t="shared" si="4"/>
        <v>0.99555555555555553</v>
      </c>
      <c r="AC8" s="9">
        <f t="shared" si="5"/>
        <v>0.25</v>
      </c>
      <c r="AD8" s="10">
        <f t="shared" si="6"/>
        <v>0.24888888888888888</v>
      </c>
      <c r="AE8" s="39">
        <f t="shared" si="7"/>
        <v>0.3995327350819145</v>
      </c>
      <c r="AF8" s="94">
        <f t="shared" ref="AF8" si="9">A8</f>
        <v>3</v>
      </c>
    </row>
    <row r="9" spans="1:32" ht="27" customHeight="1">
      <c r="A9" s="109">
        <v>3</v>
      </c>
      <c r="B9" s="11" t="s">
        <v>472</v>
      </c>
      <c r="C9" s="11" t="s">
        <v>473</v>
      </c>
      <c r="D9" s="55" t="s">
        <v>474</v>
      </c>
      <c r="E9" s="57" t="s">
        <v>475</v>
      </c>
      <c r="F9" s="12" t="s">
        <v>128</v>
      </c>
      <c r="G9" s="36" t="s">
        <v>476</v>
      </c>
      <c r="H9" s="38">
        <v>25</v>
      </c>
      <c r="I9" s="7">
        <v>19000</v>
      </c>
      <c r="J9" s="14">
        <v>3820</v>
      </c>
      <c r="K9" s="15">
        <f>L9</f>
        <v>3811</v>
      </c>
      <c r="L9" s="15">
        <v>3811</v>
      </c>
      <c r="M9" s="16">
        <f t="shared" ref="M9" si="10">L9-N9</f>
        <v>3811</v>
      </c>
      <c r="N9" s="16">
        <v>0</v>
      </c>
      <c r="O9" s="62">
        <f t="shared" ref="O9" si="11">IF(L9=0,"0",N9/L9)</f>
        <v>0</v>
      </c>
      <c r="P9" s="42">
        <f t="shared" ref="P9" si="12">IF(L9=0,"0",(24-Q9))</f>
        <v>18</v>
      </c>
      <c r="Q9" s="43">
        <f t="shared" ref="Q9" si="13">SUM(R9:AA9)</f>
        <v>6</v>
      </c>
      <c r="R9" s="7"/>
      <c r="S9" s="6"/>
      <c r="T9" s="17">
        <v>6</v>
      </c>
      <c r="U9" s="17"/>
      <c r="V9" s="18"/>
      <c r="W9" s="19"/>
      <c r="X9" s="17"/>
      <c r="Y9" s="20"/>
      <c r="Z9" s="20"/>
      <c r="AA9" s="21"/>
      <c r="AB9" s="8">
        <f t="shared" ref="AB9" si="14">IF(J9=0,"0",(L9/J9))</f>
        <v>0.99764397905759161</v>
      </c>
      <c r="AC9" s="9">
        <f t="shared" ref="AC9" si="15">IF(P9=0,"0",(P9/24))</f>
        <v>0.75</v>
      </c>
      <c r="AD9" s="10">
        <f t="shared" ref="AD9" si="16">AC9*AB9*(1-O9)</f>
        <v>0.74823298429319374</v>
      </c>
      <c r="AE9" s="39">
        <f t="shared" si="7"/>
        <v>0.3995327350819145</v>
      </c>
      <c r="AF9" s="94">
        <f t="shared" ref="AF9" si="17">A9</f>
        <v>3</v>
      </c>
    </row>
    <row r="10" spans="1:32" ht="27" customHeight="1">
      <c r="A10" s="110">
        <v>4</v>
      </c>
      <c r="B10" s="11" t="s">
        <v>59</v>
      </c>
      <c r="C10" s="37" t="s">
        <v>122</v>
      </c>
      <c r="D10" s="55" t="s">
        <v>354</v>
      </c>
      <c r="E10" s="57" t="s">
        <v>344</v>
      </c>
      <c r="F10" s="12" t="s">
        <v>180</v>
      </c>
      <c r="G10" s="12">
        <v>1</v>
      </c>
      <c r="H10" s="13">
        <v>25</v>
      </c>
      <c r="I10" s="34">
        <v>2500</v>
      </c>
      <c r="J10" s="5">
        <v>2750</v>
      </c>
      <c r="K10" s="15">
        <f>L10+2743</f>
        <v>2743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0.3995327350819145</v>
      </c>
      <c r="AF10" s="94">
        <f t="shared" si="8"/>
        <v>4</v>
      </c>
    </row>
    <row r="11" spans="1:32" ht="27" customHeight="1">
      <c r="A11" s="110">
        <v>5</v>
      </c>
      <c r="B11" s="11" t="s">
        <v>59</v>
      </c>
      <c r="C11" s="11" t="s">
        <v>206</v>
      </c>
      <c r="D11" s="55" t="s">
        <v>477</v>
      </c>
      <c r="E11" s="57" t="s">
        <v>478</v>
      </c>
      <c r="F11" s="12" t="s">
        <v>479</v>
      </c>
      <c r="G11" s="12">
        <v>4</v>
      </c>
      <c r="H11" s="13">
        <v>25</v>
      </c>
      <c r="I11" s="34">
        <v>12000</v>
      </c>
      <c r="J11" s="14">
        <v>4060</v>
      </c>
      <c r="K11" s="15">
        <f>L11</f>
        <v>4056</v>
      </c>
      <c r="L11" s="15">
        <f>1014*4</f>
        <v>4056</v>
      </c>
      <c r="M11" s="16">
        <f t="shared" si="0"/>
        <v>4056</v>
      </c>
      <c r="N11" s="16">
        <v>0</v>
      </c>
      <c r="O11" s="62">
        <f t="shared" si="1"/>
        <v>0</v>
      </c>
      <c r="P11" s="42">
        <f t="shared" si="2"/>
        <v>6</v>
      </c>
      <c r="Q11" s="43">
        <f t="shared" si="3"/>
        <v>18</v>
      </c>
      <c r="R11" s="7"/>
      <c r="S11" s="6"/>
      <c r="T11" s="17"/>
      <c r="U11" s="17"/>
      <c r="V11" s="18">
        <v>18</v>
      </c>
      <c r="W11" s="19"/>
      <c r="X11" s="17"/>
      <c r="Y11" s="20"/>
      <c r="Z11" s="20"/>
      <c r="AA11" s="21"/>
      <c r="AB11" s="8">
        <f t="shared" si="4"/>
        <v>0.9990147783251232</v>
      </c>
      <c r="AC11" s="9">
        <f t="shared" si="5"/>
        <v>0.25</v>
      </c>
      <c r="AD11" s="10">
        <f t="shared" si="6"/>
        <v>0.2497536945812808</v>
      </c>
      <c r="AE11" s="39">
        <f t="shared" si="7"/>
        <v>0.3995327350819145</v>
      </c>
      <c r="AF11" s="94">
        <f t="shared" si="8"/>
        <v>5</v>
      </c>
    </row>
    <row r="12" spans="1:32" ht="27" customHeight="1">
      <c r="A12" s="110">
        <v>6</v>
      </c>
      <c r="B12" s="11" t="s">
        <v>59</v>
      </c>
      <c r="C12" s="11" t="s">
        <v>62</v>
      </c>
      <c r="D12" s="55" t="s">
        <v>121</v>
      </c>
      <c r="E12" s="57" t="s">
        <v>357</v>
      </c>
      <c r="F12" s="12" t="s">
        <v>358</v>
      </c>
      <c r="G12" s="12">
        <v>1</v>
      </c>
      <c r="H12" s="13">
        <v>25</v>
      </c>
      <c r="I12" s="34">
        <v>25000</v>
      </c>
      <c r="J12" s="14">
        <v>4770</v>
      </c>
      <c r="K12" s="15">
        <f>L12+3973+5965</f>
        <v>14701</v>
      </c>
      <c r="L12" s="15">
        <f>3181+1582</f>
        <v>4763</v>
      </c>
      <c r="M12" s="16">
        <f t="shared" si="0"/>
        <v>4763</v>
      </c>
      <c r="N12" s="16">
        <v>0</v>
      </c>
      <c r="O12" s="62">
        <f t="shared" si="1"/>
        <v>0</v>
      </c>
      <c r="P12" s="42">
        <f t="shared" si="2"/>
        <v>21</v>
      </c>
      <c r="Q12" s="43">
        <f t="shared" si="3"/>
        <v>3</v>
      </c>
      <c r="R12" s="7"/>
      <c r="S12" s="6">
        <v>3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0.99853249475890982</v>
      </c>
      <c r="AC12" s="9">
        <f t="shared" si="5"/>
        <v>0.875</v>
      </c>
      <c r="AD12" s="10">
        <f t="shared" si="6"/>
        <v>0.87371593291404603</v>
      </c>
      <c r="AE12" s="39">
        <f t="shared" si="7"/>
        <v>0.3995327350819145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37" t="s">
        <v>411</v>
      </c>
      <c r="D13" s="55" t="s">
        <v>381</v>
      </c>
      <c r="E13" s="57" t="s">
        <v>413</v>
      </c>
      <c r="F13" s="12" t="s">
        <v>414</v>
      </c>
      <c r="G13" s="12">
        <v>1</v>
      </c>
      <c r="H13" s="13">
        <v>25</v>
      </c>
      <c r="I13" s="34">
        <v>1000</v>
      </c>
      <c r="J13" s="5">
        <v>2320</v>
      </c>
      <c r="K13" s="15">
        <f>L13+2316</f>
        <v>2316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0.3995327350819145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122</v>
      </c>
      <c r="D14" s="55" t="s">
        <v>480</v>
      </c>
      <c r="E14" s="57" t="s">
        <v>481</v>
      </c>
      <c r="F14" s="12">
        <v>7301</v>
      </c>
      <c r="G14" s="12">
        <v>1</v>
      </c>
      <c r="H14" s="13">
        <v>25</v>
      </c>
      <c r="I14" s="7">
        <v>19000</v>
      </c>
      <c r="J14" s="14">
        <v>2220</v>
      </c>
      <c r="K14" s="15">
        <f>L14</f>
        <v>2220</v>
      </c>
      <c r="L14" s="15">
        <f>2220</f>
        <v>2220</v>
      </c>
      <c r="M14" s="16">
        <f t="shared" si="0"/>
        <v>2220</v>
      </c>
      <c r="N14" s="16">
        <v>0</v>
      </c>
      <c r="O14" s="62">
        <f t="shared" si="1"/>
        <v>0</v>
      </c>
      <c r="P14" s="42">
        <f t="shared" si="2"/>
        <v>14</v>
      </c>
      <c r="Q14" s="43">
        <f t="shared" si="3"/>
        <v>10</v>
      </c>
      <c r="R14" s="7"/>
      <c r="S14" s="6"/>
      <c r="T14" s="17">
        <v>10</v>
      </c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0.58333333333333337</v>
      </c>
      <c r="AD14" s="10">
        <f t="shared" si="6"/>
        <v>0.58333333333333337</v>
      </c>
      <c r="AE14" s="39">
        <f t="shared" si="7"/>
        <v>0.3995327350819145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127</v>
      </c>
      <c r="D15" s="55" t="s">
        <v>145</v>
      </c>
      <c r="E15" s="57" t="s">
        <v>150</v>
      </c>
      <c r="F15" s="33" t="s">
        <v>147</v>
      </c>
      <c r="G15" s="36">
        <v>1</v>
      </c>
      <c r="H15" s="38">
        <v>25</v>
      </c>
      <c r="I15" s="7">
        <v>10000</v>
      </c>
      <c r="J15" s="5">
        <v>4790</v>
      </c>
      <c r="K15" s="15">
        <f>L15+2472+5133+4788</f>
        <v>12393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0.3995327350819145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37" t="s">
        <v>422</v>
      </c>
      <c r="D16" s="55" t="s">
        <v>423</v>
      </c>
      <c r="E16" s="57" t="s">
        <v>430</v>
      </c>
      <c r="F16" s="12" t="s">
        <v>424</v>
      </c>
      <c r="G16" s="12">
        <v>1</v>
      </c>
      <c r="H16" s="13">
        <v>25</v>
      </c>
      <c r="I16" s="34">
        <v>200</v>
      </c>
      <c r="J16" s="5">
        <v>300</v>
      </c>
      <c r="K16" s="15">
        <f>L16+2138+3980+300</f>
        <v>6418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/>
      <c r="X16" s="17"/>
      <c r="Y16" s="20"/>
      <c r="Z16" s="20"/>
      <c r="AA16" s="21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0.3995327350819145</v>
      </c>
      <c r="AF16" s="94">
        <f t="shared" si="8"/>
        <v>10</v>
      </c>
    </row>
    <row r="17" spans="1:32" ht="27" customHeight="1">
      <c r="A17" s="109">
        <v>11</v>
      </c>
      <c r="B17" s="11" t="s">
        <v>293</v>
      </c>
      <c r="C17" s="11" t="s">
        <v>148</v>
      </c>
      <c r="D17" s="55" t="s">
        <v>416</v>
      </c>
      <c r="E17" s="57" t="s">
        <v>417</v>
      </c>
      <c r="F17" s="12">
        <v>7301</v>
      </c>
      <c r="G17" s="36">
        <v>1</v>
      </c>
      <c r="H17" s="38">
        <v>25</v>
      </c>
      <c r="I17" s="7">
        <v>30000</v>
      </c>
      <c r="J17" s="14">
        <v>3240</v>
      </c>
      <c r="K17" s="15">
        <f>L17+3793</f>
        <v>7032</v>
      </c>
      <c r="L17" s="15">
        <f>2595+504+140</f>
        <v>3239</v>
      </c>
      <c r="M17" s="16">
        <f t="shared" si="0"/>
        <v>3239</v>
      </c>
      <c r="N17" s="16">
        <v>0</v>
      </c>
      <c r="O17" s="62">
        <f t="shared" si="1"/>
        <v>0</v>
      </c>
      <c r="P17" s="42">
        <f t="shared" si="2"/>
        <v>18</v>
      </c>
      <c r="Q17" s="43">
        <f t="shared" si="3"/>
        <v>6</v>
      </c>
      <c r="R17" s="7"/>
      <c r="S17" s="6">
        <v>6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0.99969135802469133</v>
      </c>
      <c r="AC17" s="9">
        <f t="shared" si="5"/>
        <v>0.75</v>
      </c>
      <c r="AD17" s="10">
        <f t="shared" si="6"/>
        <v>0.74976851851851856</v>
      </c>
      <c r="AE17" s="39">
        <f t="shared" si="7"/>
        <v>0.3995327350819145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411</v>
      </c>
      <c r="D18" s="55" t="s">
        <v>419</v>
      </c>
      <c r="E18" s="56" t="s">
        <v>389</v>
      </c>
      <c r="F18" s="12">
        <v>8301</v>
      </c>
      <c r="G18" s="12">
        <v>1</v>
      </c>
      <c r="H18" s="13">
        <v>25</v>
      </c>
      <c r="I18" s="34">
        <v>8000</v>
      </c>
      <c r="J18" s="5">
        <v>4350</v>
      </c>
      <c r="K18" s="15">
        <f>L18+3739</f>
        <v>8087</v>
      </c>
      <c r="L18" s="15">
        <f>3010+1338</f>
        <v>4348</v>
      </c>
      <c r="M18" s="16">
        <f t="shared" si="0"/>
        <v>4348</v>
      </c>
      <c r="N18" s="16">
        <v>0</v>
      </c>
      <c r="O18" s="62">
        <f t="shared" si="1"/>
        <v>0</v>
      </c>
      <c r="P18" s="42">
        <f t="shared" si="2"/>
        <v>20</v>
      </c>
      <c r="Q18" s="43">
        <f t="shared" si="3"/>
        <v>4</v>
      </c>
      <c r="R18" s="7"/>
      <c r="S18" s="6">
        <v>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0.99954022988505742</v>
      </c>
      <c r="AC18" s="9">
        <f t="shared" si="5"/>
        <v>0.83333333333333337</v>
      </c>
      <c r="AD18" s="10">
        <f t="shared" si="6"/>
        <v>0.83295019157088124</v>
      </c>
      <c r="AE18" s="39">
        <f t="shared" si="7"/>
        <v>0.3995327350819145</v>
      </c>
      <c r="AF18" s="94">
        <f t="shared" si="8"/>
        <v>12</v>
      </c>
    </row>
    <row r="19" spans="1:32" ht="27" customHeight="1">
      <c r="A19" s="110">
        <v>13</v>
      </c>
      <c r="B19" s="11" t="s">
        <v>293</v>
      </c>
      <c r="C19" s="37" t="s">
        <v>127</v>
      </c>
      <c r="D19" s="55" t="s">
        <v>58</v>
      </c>
      <c r="E19" s="57" t="s">
        <v>155</v>
      </c>
      <c r="F19" s="12" t="s">
        <v>156</v>
      </c>
      <c r="G19" s="12">
        <v>1</v>
      </c>
      <c r="H19" s="13">
        <v>25</v>
      </c>
      <c r="I19" s="34">
        <v>30000</v>
      </c>
      <c r="J19" s="5">
        <v>2910</v>
      </c>
      <c r="K19" s="15">
        <f>L19+3759+4632+4258+3104+2109</f>
        <v>20764</v>
      </c>
      <c r="L19" s="15">
        <f>2483+419</f>
        <v>2902</v>
      </c>
      <c r="M19" s="16">
        <f t="shared" si="0"/>
        <v>2902</v>
      </c>
      <c r="N19" s="16">
        <v>0</v>
      </c>
      <c r="O19" s="62">
        <f t="shared" si="1"/>
        <v>0</v>
      </c>
      <c r="P19" s="42">
        <f t="shared" si="2"/>
        <v>17</v>
      </c>
      <c r="Q19" s="43">
        <f t="shared" si="3"/>
        <v>7</v>
      </c>
      <c r="R19" s="7"/>
      <c r="S19" s="6">
        <v>7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0.99725085910652922</v>
      </c>
      <c r="AC19" s="9">
        <f t="shared" si="5"/>
        <v>0.70833333333333337</v>
      </c>
      <c r="AD19" s="10">
        <f t="shared" si="6"/>
        <v>0.70638602520045823</v>
      </c>
      <c r="AE19" s="39">
        <f t="shared" si="7"/>
        <v>0.3995327350819145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206</v>
      </c>
      <c r="D20" s="55" t="s">
        <v>58</v>
      </c>
      <c r="E20" s="57" t="s">
        <v>312</v>
      </c>
      <c r="F20" s="33" t="s">
        <v>258</v>
      </c>
      <c r="G20" s="36">
        <v>2</v>
      </c>
      <c r="H20" s="38">
        <v>25</v>
      </c>
      <c r="I20" s="34">
        <v>12000</v>
      </c>
      <c r="J20" s="5">
        <v>4350</v>
      </c>
      <c r="K20" s="15">
        <f>L20+8110+4344</f>
        <v>12454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0.3995327350819145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/>
      <c r="E21" s="56" t="s">
        <v>421</v>
      </c>
      <c r="F21" s="12" t="s">
        <v>120</v>
      </c>
      <c r="G21" s="12">
        <v>4</v>
      </c>
      <c r="H21" s="38">
        <v>20</v>
      </c>
      <c r="I21" s="7">
        <v>300000</v>
      </c>
      <c r="J21" s="14">
        <v>51890</v>
      </c>
      <c r="K21" s="15">
        <f>L21+42812</f>
        <v>94700</v>
      </c>
      <c r="L21" s="15">
        <f>7286*4+5686*4</f>
        <v>51888</v>
      </c>
      <c r="M21" s="16">
        <f t="shared" si="0"/>
        <v>51888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0.99996145692811722</v>
      </c>
      <c r="AC21" s="9">
        <f t="shared" si="5"/>
        <v>1</v>
      </c>
      <c r="AD21" s="10">
        <f t="shared" si="6"/>
        <v>0.99996145692811722</v>
      </c>
      <c r="AE21" s="39">
        <f t="shared" si="7"/>
        <v>0.3995327350819145</v>
      </c>
      <c r="AF21" s="94">
        <f t="shared" si="8"/>
        <v>15</v>
      </c>
    </row>
    <row r="22" spans="1:32" ht="31.5" customHeight="1" thickBot="1">
      <c r="A22" s="430" t="s">
        <v>34</v>
      </c>
      <c r="B22" s="431"/>
      <c r="C22" s="431"/>
      <c r="D22" s="431"/>
      <c r="E22" s="431"/>
      <c r="F22" s="431"/>
      <c r="G22" s="431"/>
      <c r="H22" s="432"/>
      <c r="I22" s="25">
        <f t="shared" ref="I22:N22" si="18">SUM(I6:I21)</f>
        <v>542700</v>
      </c>
      <c r="J22" s="22">
        <f t="shared" si="18"/>
        <v>102310</v>
      </c>
      <c r="K22" s="23">
        <f t="shared" si="18"/>
        <v>273153</v>
      </c>
      <c r="L22" s="24">
        <f t="shared" si="18"/>
        <v>78571</v>
      </c>
      <c r="M22" s="23">
        <f t="shared" si="18"/>
        <v>78571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144</v>
      </c>
      <c r="Q22" s="46">
        <f t="shared" si="19"/>
        <v>240</v>
      </c>
      <c r="R22" s="26">
        <f t="shared" si="19"/>
        <v>0</v>
      </c>
      <c r="S22" s="27">
        <f t="shared" si="19"/>
        <v>20</v>
      </c>
      <c r="T22" s="27">
        <f t="shared" si="19"/>
        <v>16</v>
      </c>
      <c r="U22" s="27">
        <f t="shared" si="19"/>
        <v>0</v>
      </c>
      <c r="V22" s="28">
        <f t="shared" si="19"/>
        <v>18</v>
      </c>
      <c r="W22" s="29">
        <f t="shared" si="19"/>
        <v>162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24</v>
      </c>
      <c r="AB22" s="31">
        <f>SUM(AB6:AB21)/15</f>
        <v>0.59914604744277156</v>
      </c>
      <c r="AC22" s="4">
        <f>SUM(AC6:AC21)/15</f>
        <v>0.4</v>
      </c>
      <c r="AD22" s="4">
        <f>SUM(AD6:AD21)/15</f>
        <v>0.3995327350819145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33" t="s">
        <v>46</v>
      </c>
      <c r="B49" s="433"/>
      <c r="C49" s="433"/>
      <c r="D49" s="433"/>
      <c r="E49" s="433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34" t="s">
        <v>482</v>
      </c>
      <c r="B50" s="435"/>
      <c r="C50" s="435"/>
      <c r="D50" s="435"/>
      <c r="E50" s="435"/>
      <c r="F50" s="435"/>
      <c r="G50" s="435"/>
      <c r="H50" s="435"/>
      <c r="I50" s="435"/>
      <c r="J50" s="435"/>
      <c r="K50" s="435"/>
      <c r="L50" s="435"/>
      <c r="M50" s="436"/>
      <c r="N50" s="437" t="s">
        <v>492</v>
      </c>
      <c r="O50" s="438"/>
      <c r="P50" s="438"/>
      <c r="Q50" s="438"/>
      <c r="R50" s="438"/>
      <c r="S50" s="438"/>
      <c r="T50" s="438"/>
      <c r="U50" s="438"/>
      <c r="V50" s="438"/>
      <c r="W50" s="438"/>
      <c r="X50" s="438"/>
      <c r="Y50" s="438"/>
      <c r="Z50" s="438"/>
      <c r="AA50" s="438"/>
      <c r="AB50" s="438"/>
      <c r="AC50" s="438"/>
      <c r="AD50" s="439"/>
    </row>
    <row r="51" spans="1:32" ht="27" customHeight="1">
      <c r="A51" s="440" t="s">
        <v>2</v>
      </c>
      <c r="B51" s="441"/>
      <c r="C51" s="224" t="s">
        <v>47</v>
      </c>
      <c r="D51" s="224" t="s">
        <v>48</v>
      </c>
      <c r="E51" s="224" t="s">
        <v>113</v>
      </c>
      <c r="F51" s="441" t="s">
        <v>112</v>
      </c>
      <c r="G51" s="441"/>
      <c r="H51" s="441"/>
      <c r="I51" s="441"/>
      <c r="J51" s="441"/>
      <c r="K51" s="441"/>
      <c r="L51" s="441"/>
      <c r="M51" s="442"/>
      <c r="N51" s="73" t="s">
        <v>117</v>
      </c>
      <c r="O51" s="224" t="s">
        <v>47</v>
      </c>
      <c r="P51" s="443" t="s">
        <v>48</v>
      </c>
      <c r="Q51" s="444"/>
      <c r="R51" s="443" t="s">
        <v>39</v>
      </c>
      <c r="S51" s="445"/>
      <c r="T51" s="445"/>
      <c r="U51" s="444"/>
      <c r="V51" s="443" t="s">
        <v>49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57" t="s">
        <v>148</v>
      </c>
      <c r="B52" s="458"/>
      <c r="C52" s="225" t="s">
        <v>372</v>
      </c>
      <c r="D52" s="226" t="s">
        <v>373</v>
      </c>
      <c r="E52" s="225" t="s">
        <v>374</v>
      </c>
      <c r="F52" s="459" t="s">
        <v>483</v>
      </c>
      <c r="G52" s="459"/>
      <c r="H52" s="459"/>
      <c r="I52" s="459"/>
      <c r="J52" s="459"/>
      <c r="K52" s="459"/>
      <c r="L52" s="459"/>
      <c r="M52" s="460"/>
      <c r="N52" s="227" t="s">
        <v>493</v>
      </c>
      <c r="O52" s="74" t="s">
        <v>494</v>
      </c>
      <c r="P52" s="461" t="s">
        <v>495</v>
      </c>
      <c r="Q52" s="462"/>
      <c r="R52" s="463"/>
      <c r="S52" s="463"/>
      <c r="T52" s="463"/>
      <c r="U52" s="463"/>
      <c r="V52" s="459" t="s">
        <v>496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57" t="s">
        <v>434</v>
      </c>
      <c r="B53" s="458"/>
      <c r="C53" s="225" t="s">
        <v>435</v>
      </c>
      <c r="D53" s="226" t="s">
        <v>436</v>
      </c>
      <c r="E53" s="225" t="s">
        <v>417</v>
      </c>
      <c r="F53" s="459" t="s">
        <v>484</v>
      </c>
      <c r="G53" s="459"/>
      <c r="H53" s="459"/>
      <c r="I53" s="459"/>
      <c r="J53" s="459"/>
      <c r="K53" s="459"/>
      <c r="L53" s="459"/>
      <c r="M53" s="460"/>
      <c r="N53" s="227" t="s">
        <v>497</v>
      </c>
      <c r="O53" s="74" t="s">
        <v>498</v>
      </c>
      <c r="P53" s="461" t="s">
        <v>499</v>
      </c>
      <c r="Q53" s="462"/>
      <c r="R53" s="463" t="s">
        <v>500</v>
      </c>
      <c r="S53" s="463"/>
      <c r="T53" s="463"/>
      <c r="U53" s="463"/>
      <c r="V53" s="459" t="s">
        <v>501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 t="s">
        <v>210</v>
      </c>
      <c r="B54" s="458"/>
      <c r="C54" s="225" t="s">
        <v>217</v>
      </c>
      <c r="D54" s="226" t="s">
        <v>485</v>
      </c>
      <c r="E54" s="225" t="s">
        <v>486</v>
      </c>
      <c r="F54" s="459" t="s">
        <v>487</v>
      </c>
      <c r="G54" s="459"/>
      <c r="H54" s="459"/>
      <c r="I54" s="459"/>
      <c r="J54" s="459"/>
      <c r="K54" s="459"/>
      <c r="L54" s="459"/>
      <c r="M54" s="460"/>
      <c r="N54" s="227"/>
      <c r="O54" s="74"/>
      <c r="P54" s="461"/>
      <c r="Q54" s="462"/>
      <c r="R54" s="463"/>
      <c r="S54" s="463"/>
      <c r="T54" s="463"/>
      <c r="U54" s="463"/>
      <c r="V54" s="459"/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57" t="s">
        <v>488</v>
      </c>
      <c r="B55" s="458"/>
      <c r="C55" s="225" t="s">
        <v>280</v>
      </c>
      <c r="D55" s="226" t="s">
        <v>489</v>
      </c>
      <c r="E55" s="225" t="s">
        <v>481</v>
      </c>
      <c r="F55" s="459" t="s">
        <v>490</v>
      </c>
      <c r="G55" s="459"/>
      <c r="H55" s="459"/>
      <c r="I55" s="459"/>
      <c r="J55" s="459"/>
      <c r="K55" s="459"/>
      <c r="L55" s="459"/>
      <c r="M55" s="460"/>
      <c r="N55" s="227"/>
      <c r="O55" s="74"/>
      <c r="P55" s="461"/>
      <c r="Q55" s="462"/>
      <c r="R55" s="463"/>
      <c r="S55" s="463"/>
      <c r="T55" s="463"/>
      <c r="U55" s="463"/>
      <c r="V55" s="459"/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 t="s">
        <v>411</v>
      </c>
      <c r="B56" s="463"/>
      <c r="C56" s="226" t="s">
        <v>387</v>
      </c>
      <c r="D56" s="226" t="s">
        <v>388</v>
      </c>
      <c r="E56" s="225" t="s">
        <v>449</v>
      </c>
      <c r="F56" s="459" t="s">
        <v>491</v>
      </c>
      <c r="G56" s="459"/>
      <c r="H56" s="459"/>
      <c r="I56" s="459"/>
      <c r="J56" s="459"/>
      <c r="K56" s="459"/>
      <c r="L56" s="459"/>
      <c r="M56" s="460"/>
      <c r="N56" s="227"/>
      <c r="O56" s="74"/>
      <c r="P56" s="461"/>
      <c r="Q56" s="462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226"/>
      <c r="D57" s="226"/>
      <c r="E57" s="225"/>
      <c r="F57" s="459"/>
      <c r="G57" s="459"/>
      <c r="H57" s="459"/>
      <c r="I57" s="459"/>
      <c r="J57" s="459"/>
      <c r="K57" s="459"/>
      <c r="L57" s="459"/>
      <c r="M57" s="460"/>
      <c r="N57" s="227"/>
      <c r="O57" s="74"/>
      <c r="P57" s="463"/>
      <c r="Q57" s="463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64"/>
      <c r="B58" s="463"/>
      <c r="C58" s="226"/>
      <c r="D58" s="226"/>
      <c r="E58" s="225"/>
      <c r="F58" s="459"/>
      <c r="G58" s="459"/>
      <c r="H58" s="459"/>
      <c r="I58" s="459"/>
      <c r="J58" s="459"/>
      <c r="K58" s="459"/>
      <c r="L58" s="459"/>
      <c r="M58" s="460"/>
      <c r="N58" s="227"/>
      <c r="O58" s="74"/>
      <c r="P58" s="461"/>
      <c r="Q58" s="462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57"/>
      <c r="B59" s="458"/>
      <c r="C59" s="225"/>
      <c r="D59" s="226"/>
      <c r="E59" s="225"/>
      <c r="F59" s="459"/>
      <c r="G59" s="459"/>
      <c r="H59" s="459"/>
      <c r="I59" s="459"/>
      <c r="J59" s="459"/>
      <c r="K59" s="459"/>
      <c r="L59" s="459"/>
      <c r="M59" s="460"/>
      <c r="N59" s="227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</row>
    <row r="60" spans="1:32" ht="27" customHeight="1">
      <c r="A60" s="464"/>
      <c r="B60" s="463"/>
      <c r="C60" s="226"/>
      <c r="D60" s="226"/>
      <c r="E60" s="226"/>
      <c r="F60" s="459"/>
      <c r="G60" s="459"/>
      <c r="H60" s="459"/>
      <c r="I60" s="459"/>
      <c r="J60" s="459"/>
      <c r="K60" s="459"/>
      <c r="L60" s="459"/>
      <c r="M60" s="460"/>
      <c r="N60" s="227"/>
      <c r="O60" s="74"/>
      <c r="P60" s="463"/>
      <c r="Q60" s="463"/>
      <c r="R60" s="463"/>
      <c r="S60" s="463"/>
      <c r="T60" s="463"/>
      <c r="U60" s="463"/>
      <c r="V60" s="459"/>
      <c r="W60" s="459"/>
      <c r="X60" s="459"/>
      <c r="Y60" s="459"/>
      <c r="Z60" s="459"/>
      <c r="AA60" s="459"/>
      <c r="AB60" s="459"/>
      <c r="AC60" s="459"/>
      <c r="AD60" s="460"/>
      <c r="AF60" s="94">
        <f>8*3000</f>
        <v>24000</v>
      </c>
    </row>
    <row r="61" spans="1:32" ht="27" customHeight="1" thickBot="1">
      <c r="A61" s="465"/>
      <c r="B61" s="466"/>
      <c r="C61" s="229"/>
      <c r="D61" s="229"/>
      <c r="E61" s="229"/>
      <c r="F61" s="467"/>
      <c r="G61" s="467"/>
      <c r="H61" s="467"/>
      <c r="I61" s="467"/>
      <c r="J61" s="467"/>
      <c r="K61" s="467"/>
      <c r="L61" s="467"/>
      <c r="M61" s="468"/>
      <c r="N61" s="228"/>
      <c r="O61" s="121"/>
      <c r="P61" s="466"/>
      <c r="Q61" s="466"/>
      <c r="R61" s="466"/>
      <c r="S61" s="466"/>
      <c r="T61" s="466"/>
      <c r="U61" s="466"/>
      <c r="V61" s="467"/>
      <c r="W61" s="467"/>
      <c r="X61" s="467"/>
      <c r="Y61" s="467"/>
      <c r="Z61" s="467"/>
      <c r="AA61" s="467"/>
      <c r="AB61" s="467"/>
      <c r="AC61" s="467"/>
      <c r="AD61" s="468"/>
      <c r="AF61" s="94">
        <f>16*3000</f>
        <v>48000</v>
      </c>
    </row>
    <row r="62" spans="1:32" ht="27.75" thickBot="1">
      <c r="A62" s="469" t="s">
        <v>502</v>
      </c>
      <c r="B62" s="469"/>
      <c r="C62" s="469"/>
      <c r="D62" s="469"/>
      <c r="E62" s="469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70" t="s">
        <v>118</v>
      </c>
      <c r="B63" s="471"/>
      <c r="C63" s="230" t="s">
        <v>2</v>
      </c>
      <c r="D63" s="230" t="s">
        <v>38</v>
      </c>
      <c r="E63" s="230" t="s">
        <v>3</v>
      </c>
      <c r="F63" s="471" t="s">
        <v>115</v>
      </c>
      <c r="G63" s="471"/>
      <c r="H63" s="471"/>
      <c r="I63" s="471"/>
      <c r="J63" s="471"/>
      <c r="K63" s="471" t="s">
        <v>40</v>
      </c>
      <c r="L63" s="471"/>
      <c r="M63" s="230" t="s">
        <v>41</v>
      </c>
      <c r="N63" s="471" t="s">
        <v>42</v>
      </c>
      <c r="O63" s="471"/>
      <c r="P63" s="472" t="s">
        <v>43</v>
      </c>
      <c r="Q63" s="473"/>
      <c r="R63" s="472" t="s">
        <v>44</v>
      </c>
      <c r="S63" s="474"/>
      <c r="T63" s="474"/>
      <c r="U63" s="474"/>
      <c r="V63" s="474"/>
      <c r="W63" s="474"/>
      <c r="X63" s="474"/>
      <c r="Y63" s="474"/>
      <c r="Z63" s="474"/>
      <c r="AA63" s="473"/>
      <c r="AB63" s="471" t="s">
        <v>45</v>
      </c>
      <c r="AC63" s="471"/>
      <c r="AD63" s="475"/>
      <c r="AF63" s="94">
        <f>SUM(AF60:AF62)</f>
        <v>96000</v>
      </c>
    </row>
    <row r="64" spans="1:32" ht="25.5" customHeight="1">
      <c r="A64" s="476">
        <v>1</v>
      </c>
      <c r="B64" s="477"/>
      <c r="C64" s="133" t="s">
        <v>503</v>
      </c>
      <c r="D64" s="233"/>
      <c r="E64" s="231"/>
      <c r="F64" s="478" t="s">
        <v>507</v>
      </c>
      <c r="G64" s="479"/>
      <c r="H64" s="479"/>
      <c r="I64" s="479"/>
      <c r="J64" s="479"/>
      <c r="K64" s="479" t="s">
        <v>508</v>
      </c>
      <c r="L64" s="479"/>
      <c r="M64" s="54" t="s">
        <v>509</v>
      </c>
      <c r="N64" s="479">
        <v>10</v>
      </c>
      <c r="O64" s="479"/>
      <c r="P64" s="480">
        <v>500</v>
      </c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  <c r="AF64" s="53"/>
    </row>
    <row r="65" spans="1:32" ht="25.5" customHeight="1">
      <c r="A65" s="476">
        <v>2</v>
      </c>
      <c r="B65" s="477"/>
      <c r="C65" s="133"/>
      <c r="D65" s="233"/>
      <c r="E65" s="231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</row>
    <row r="66" spans="1:32" ht="25.5" customHeight="1">
      <c r="A66" s="476">
        <v>3</v>
      </c>
      <c r="B66" s="477"/>
      <c r="C66" s="133"/>
      <c r="D66" s="233"/>
      <c r="E66" s="231"/>
      <c r="F66" s="478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4</v>
      </c>
      <c r="B67" s="477"/>
      <c r="C67" s="133"/>
      <c r="D67" s="233"/>
      <c r="E67" s="231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5</v>
      </c>
      <c r="B68" s="477"/>
      <c r="C68" s="133"/>
      <c r="D68" s="233"/>
      <c r="E68" s="231"/>
      <c r="F68" s="479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6</v>
      </c>
      <c r="B69" s="477"/>
      <c r="C69" s="133"/>
      <c r="D69" s="233"/>
      <c r="E69" s="231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7</v>
      </c>
      <c r="B70" s="477"/>
      <c r="C70" s="133"/>
      <c r="D70" s="233"/>
      <c r="E70" s="231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5.5" customHeight="1">
      <c r="A71" s="476">
        <v>8</v>
      </c>
      <c r="B71" s="477"/>
      <c r="C71" s="133"/>
      <c r="D71" s="233"/>
      <c r="E71" s="231"/>
      <c r="F71" s="478"/>
      <c r="G71" s="479"/>
      <c r="H71" s="479"/>
      <c r="I71" s="479"/>
      <c r="J71" s="479"/>
      <c r="K71" s="479"/>
      <c r="L71" s="479"/>
      <c r="M71" s="54"/>
      <c r="N71" s="479"/>
      <c r="O71" s="479"/>
      <c r="P71" s="480"/>
      <c r="Q71" s="480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79"/>
      <c r="AC71" s="479"/>
      <c r="AD71" s="481"/>
      <c r="AF71" s="53"/>
    </row>
    <row r="72" spans="1:32" ht="26.25" customHeight="1" thickBot="1">
      <c r="A72" s="482" t="s">
        <v>519</v>
      </c>
      <c r="B72" s="482"/>
      <c r="C72" s="482"/>
      <c r="D72" s="482"/>
      <c r="E72" s="482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83" t="s">
        <v>118</v>
      </c>
      <c r="B73" s="484"/>
      <c r="C73" s="232" t="s">
        <v>2</v>
      </c>
      <c r="D73" s="232" t="s">
        <v>38</v>
      </c>
      <c r="E73" s="232" t="s">
        <v>3</v>
      </c>
      <c r="F73" s="484" t="s">
        <v>39</v>
      </c>
      <c r="G73" s="484"/>
      <c r="H73" s="484"/>
      <c r="I73" s="484"/>
      <c r="J73" s="484"/>
      <c r="K73" s="485" t="s">
        <v>60</v>
      </c>
      <c r="L73" s="486"/>
      <c r="M73" s="486"/>
      <c r="N73" s="486"/>
      <c r="O73" s="486"/>
      <c r="P73" s="486"/>
      <c r="Q73" s="486"/>
      <c r="R73" s="486"/>
      <c r="S73" s="487"/>
      <c r="T73" s="484" t="s">
        <v>50</v>
      </c>
      <c r="U73" s="484"/>
      <c r="V73" s="485" t="s">
        <v>51</v>
      </c>
      <c r="W73" s="487"/>
      <c r="X73" s="486" t="s">
        <v>52</v>
      </c>
      <c r="Y73" s="486"/>
      <c r="Z73" s="486"/>
      <c r="AA73" s="486"/>
      <c r="AB73" s="486"/>
      <c r="AC73" s="486"/>
      <c r="AD73" s="488"/>
      <c r="AF73" s="53"/>
    </row>
    <row r="74" spans="1:32" ht="33.75" customHeight="1">
      <c r="A74" s="497">
        <v>1</v>
      </c>
      <c r="B74" s="498"/>
      <c r="C74" s="234" t="s">
        <v>210</v>
      </c>
      <c r="D74" s="234"/>
      <c r="E74" s="71" t="s">
        <v>407</v>
      </c>
      <c r="F74" s="499" t="s">
        <v>408</v>
      </c>
      <c r="G74" s="500"/>
      <c r="H74" s="500"/>
      <c r="I74" s="500"/>
      <c r="J74" s="501"/>
      <c r="K74" s="502" t="s">
        <v>465</v>
      </c>
      <c r="L74" s="503"/>
      <c r="M74" s="503"/>
      <c r="N74" s="503"/>
      <c r="O74" s="503"/>
      <c r="P74" s="503"/>
      <c r="Q74" s="503"/>
      <c r="R74" s="503"/>
      <c r="S74" s="504"/>
      <c r="T74" s="505">
        <v>42865</v>
      </c>
      <c r="U74" s="506"/>
      <c r="V74" s="507"/>
      <c r="W74" s="507"/>
      <c r="X74" s="508"/>
      <c r="Y74" s="508"/>
      <c r="Z74" s="508"/>
      <c r="AA74" s="508"/>
      <c r="AB74" s="508"/>
      <c r="AC74" s="508"/>
      <c r="AD74" s="509"/>
      <c r="AF74" s="53"/>
    </row>
    <row r="75" spans="1:32" ht="30" customHeight="1">
      <c r="A75" s="489">
        <f>A74+1</f>
        <v>2</v>
      </c>
      <c r="B75" s="490"/>
      <c r="C75" s="233" t="s">
        <v>504</v>
      </c>
      <c r="D75" s="233"/>
      <c r="E75" s="35" t="s">
        <v>505</v>
      </c>
      <c r="F75" s="490"/>
      <c r="G75" s="490"/>
      <c r="H75" s="490"/>
      <c r="I75" s="490"/>
      <c r="J75" s="490"/>
      <c r="K75" s="491" t="s">
        <v>506</v>
      </c>
      <c r="L75" s="492"/>
      <c r="M75" s="492"/>
      <c r="N75" s="492"/>
      <c r="O75" s="492"/>
      <c r="P75" s="492"/>
      <c r="Q75" s="492"/>
      <c r="R75" s="492"/>
      <c r="S75" s="493"/>
      <c r="T75" s="494">
        <v>42866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ref="A76:A82" si="20">A75+1</f>
        <v>3</v>
      </c>
      <c r="B76" s="490"/>
      <c r="C76" s="233"/>
      <c r="D76" s="233"/>
      <c r="E76" s="35"/>
      <c r="F76" s="490"/>
      <c r="G76" s="490"/>
      <c r="H76" s="490"/>
      <c r="I76" s="490"/>
      <c r="J76" s="490"/>
      <c r="K76" s="491"/>
      <c r="L76" s="492"/>
      <c r="M76" s="492"/>
      <c r="N76" s="492"/>
      <c r="O76" s="492"/>
      <c r="P76" s="492"/>
      <c r="Q76" s="492"/>
      <c r="R76" s="492"/>
      <c r="S76" s="493"/>
      <c r="T76" s="494"/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20"/>
        <v>4</v>
      </c>
      <c r="B77" s="490"/>
      <c r="C77" s="233"/>
      <c r="D77" s="233"/>
      <c r="E77" s="35"/>
      <c r="F77" s="490"/>
      <c r="G77" s="490"/>
      <c r="H77" s="490"/>
      <c r="I77" s="490"/>
      <c r="J77" s="490"/>
      <c r="K77" s="491"/>
      <c r="L77" s="492"/>
      <c r="M77" s="492"/>
      <c r="N77" s="492"/>
      <c r="O77" s="492"/>
      <c r="P77" s="492"/>
      <c r="Q77" s="492"/>
      <c r="R77" s="492"/>
      <c r="S77" s="493"/>
      <c r="T77" s="494"/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20"/>
        <v>5</v>
      </c>
      <c r="B78" s="490"/>
      <c r="C78" s="233"/>
      <c r="D78" s="233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20"/>
        <v>6</v>
      </c>
      <c r="B79" s="490"/>
      <c r="C79" s="233"/>
      <c r="D79" s="233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20"/>
        <v>7</v>
      </c>
      <c r="B80" s="490"/>
      <c r="C80" s="233"/>
      <c r="D80" s="233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20"/>
        <v>8</v>
      </c>
      <c r="B81" s="490"/>
      <c r="C81" s="233"/>
      <c r="D81" s="233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0" customHeight="1">
      <c r="A82" s="489">
        <f t="shared" si="20"/>
        <v>9</v>
      </c>
      <c r="B82" s="490"/>
      <c r="C82" s="233"/>
      <c r="D82" s="233"/>
      <c r="E82" s="35"/>
      <c r="F82" s="490"/>
      <c r="G82" s="490"/>
      <c r="H82" s="490"/>
      <c r="I82" s="490"/>
      <c r="J82" s="490"/>
      <c r="K82" s="491"/>
      <c r="L82" s="492"/>
      <c r="M82" s="492"/>
      <c r="N82" s="492"/>
      <c r="O82" s="492"/>
      <c r="P82" s="492"/>
      <c r="Q82" s="492"/>
      <c r="R82" s="492"/>
      <c r="S82" s="493"/>
      <c r="T82" s="494"/>
      <c r="U82" s="494"/>
      <c r="V82" s="494"/>
      <c r="W82" s="494"/>
      <c r="X82" s="495"/>
      <c r="Y82" s="495"/>
      <c r="Z82" s="495"/>
      <c r="AA82" s="495"/>
      <c r="AB82" s="495"/>
      <c r="AC82" s="495"/>
      <c r="AD82" s="496"/>
      <c r="AF82" s="53"/>
    </row>
    <row r="83" spans="1:32" ht="36" thickBot="1">
      <c r="A83" s="482" t="s">
        <v>510</v>
      </c>
      <c r="B83" s="482"/>
      <c r="C83" s="482"/>
      <c r="D83" s="482"/>
      <c r="E83" s="482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510" t="s">
        <v>37</v>
      </c>
      <c r="B84" s="511"/>
      <c r="C84" s="511" t="s">
        <v>53</v>
      </c>
      <c r="D84" s="511"/>
      <c r="E84" s="511" t="s">
        <v>54</v>
      </c>
      <c r="F84" s="511"/>
      <c r="G84" s="511"/>
      <c r="H84" s="511"/>
      <c r="I84" s="511"/>
      <c r="J84" s="511"/>
      <c r="K84" s="511" t="s">
        <v>55</v>
      </c>
      <c r="L84" s="511"/>
      <c r="M84" s="511"/>
      <c r="N84" s="511"/>
      <c r="O84" s="511"/>
      <c r="P84" s="511"/>
      <c r="Q84" s="511"/>
      <c r="R84" s="511"/>
      <c r="S84" s="511"/>
      <c r="T84" s="511" t="s">
        <v>56</v>
      </c>
      <c r="U84" s="511"/>
      <c r="V84" s="511" t="s">
        <v>57</v>
      </c>
      <c r="W84" s="511"/>
      <c r="X84" s="511"/>
      <c r="Y84" s="511" t="s">
        <v>52</v>
      </c>
      <c r="Z84" s="511"/>
      <c r="AA84" s="511"/>
      <c r="AB84" s="511"/>
      <c r="AC84" s="511"/>
      <c r="AD84" s="512"/>
      <c r="AF84" s="53"/>
    </row>
    <row r="85" spans="1:32" ht="30.75" customHeight="1">
      <c r="A85" s="513">
        <v>1</v>
      </c>
      <c r="B85" s="514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>
      <c r="A86" s="489">
        <v>2</v>
      </c>
      <c r="B86" s="490"/>
      <c r="C86" s="515"/>
      <c r="D86" s="515"/>
      <c r="E86" s="515"/>
      <c r="F86" s="515"/>
      <c r="G86" s="515"/>
      <c r="H86" s="515"/>
      <c r="I86" s="515"/>
      <c r="J86" s="515"/>
      <c r="K86" s="515"/>
      <c r="L86" s="515"/>
      <c r="M86" s="515"/>
      <c r="N86" s="515"/>
      <c r="O86" s="515"/>
      <c r="P86" s="515"/>
      <c r="Q86" s="515"/>
      <c r="R86" s="515"/>
      <c r="S86" s="515"/>
      <c r="T86" s="515"/>
      <c r="U86" s="515"/>
      <c r="V86" s="516"/>
      <c r="W86" s="516"/>
      <c r="X86" s="516"/>
      <c r="Y86" s="517"/>
      <c r="Z86" s="517"/>
      <c r="AA86" s="517"/>
      <c r="AB86" s="517"/>
      <c r="AC86" s="517"/>
      <c r="AD86" s="518"/>
      <c r="AF86" s="53"/>
    </row>
    <row r="87" spans="1:32" ht="30.75" customHeight="1" thickBot="1">
      <c r="A87" s="519">
        <v>3</v>
      </c>
      <c r="B87" s="520"/>
      <c r="C87" s="520"/>
      <c r="D87" s="520"/>
      <c r="E87" s="520"/>
      <c r="F87" s="520"/>
      <c r="G87" s="520"/>
      <c r="H87" s="520"/>
      <c r="I87" s="520"/>
      <c r="J87" s="520"/>
      <c r="K87" s="520"/>
      <c r="L87" s="520"/>
      <c r="M87" s="520"/>
      <c r="N87" s="520"/>
      <c r="O87" s="520"/>
      <c r="P87" s="520"/>
      <c r="Q87" s="520"/>
      <c r="R87" s="520"/>
      <c r="S87" s="520"/>
      <c r="T87" s="520"/>
      <c r="U87" s="520"/>
      <c r="V87" s="520"/>
      <c r="W87" s="520"/>
      <c r="X87" s="520"/>
      <c r="Y87" s="521"/>
      <c r="Z87" s="521"/>
      <c r="AA87" s="521"/>
      <c r="AB87" s="521"/>
      <c r="AC87" s="521"/>
      <c r="AD87" s="522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J20" sqref="J2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511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246" t="s">
        <v>17</v>
      </c>
      <c r="L5" s="246" t="s">
        <v>18</v>
      </c>
      <c r="M5" s="246" t="s">
        <v>19</v>
      </c>
      <c r="N5" s="24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0.43846910176721232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127</v>
      </c>
      <c r="D7" s="55" t="s">
        <v>178</v>
      </c>
      <c r="E7" s="56" t="s">
        <v>179</v>
      </c>
      <c r="F7" s="12" t="s">
        <v>180</v>
      </c>
      <c r="G7" s="36">
        <v>2</v>
      </c>
      <c r="H7" s="38">
        <v>25</v>
      </c>
      <c r="I7" s="7">
        <v>40000</v>
      </c>
      <c r="J7" s="14">
        <v>3050</v>
      </c>
      <c r="K7" s="15">
        <f>L7+7596+10920+10616+10866+3048</f>
        <v>43046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0.43846910176721232</v>
      </c>
      <c r="AF7" s="94">
        <f>A7</f>
        <v>2</v>
      </c>
    </row>
    <row r="8" spans="1:32" ht="27" customHeight="1">
      <c r="A8" s="109">
        <v>3</v>
      </c>
      <c r="B8" s="11" t="s">
        <v>472</v>
      </c>
      <c r="C8" s="11" t="s">
        <v>473</v>
      </c>
      <c r="D8" s="55" t="s">
        <v>474</v>
      </c>
      <c r="E8" s="57" t="s">
        <v>475</v>
      </c>
      <c r="F8" s="12" t="s">
        <v>128</v>
      </c>
      <c r="G8" s="36" t="s">
        <v>476</v>
      </c>
      <c r="H8" s="38">
        <v>25</v>
      </c>
      <c r="I8" s="7">
        <v>19000</v>
      </c>
      <c r="J8" s="14">
        <v>7490</v>
      </c>
      <c r="K8" s="15">
        <f>L8+3811</f>
        <v>11294</v>
      </c>
      <c r="L8" s="15">
        <f>3566+3917</f>
        <v>7483</v>
      </c>
      <c r="M8" s="16">
        <f t="shared" si="0"/>
        <v>7483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0.99906542056074765</v>
      </c>
      <c r="AC8" s="9">
        <f t="shared" si="5"/>
        <v>1</v>
      </c>
      <c r="AD8" s="10">
        <f t="shared" si="6"/>
        <v>0.99906542056074765</v>
      </c>
      <c r="AE8" s="39">
        <f t="shared" si="7"/>
        <v>0.43846910176721232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354</v>
      </c>
      <c r="E9" s="57" t="s">
        <v>344</v>
      </c>
      <c r="F9" s="12" t="s">
        <v>180</v>
      </c>
      <c r="G9" s="12">
        <v>1</v>
      </c>
      <c r="H9" s="13">
        <v>25</v>
      </c>
      <c r="I9" s="34">
        <v>2500</v>
      </c>
      <c r="J9" s="5">
        <v>2750</v>
      </c>
      <c r="K9" s="15">
        <f>L9+2743</f>
        <v>2743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0.43846910176721232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146</v>
      </c>
      <c r="D10" s="55" t="s">
        <v>145</v>
      </c>
      <c r="E10" s="57" t="s">
        <v>301</v>
      </c>
      <c r="F10" s="12" t="s">
        <v>479</v>
      </c>
      <c r="G10" s="12">
        <v>4</v>
      </c>
      <c r="H10" s="13">
        <v>25</v>
      </c>
      <c r="I10" s="34">
        <v>12000</v>
      </c>
      <c r="J10" s="14">
        <v>4060</v>
      </c>
      <c r="K10" s="15">
        <f>L10+4056</f>
        <v>4056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>
        <v>24</v>
      </c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0.43846910176721232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357</v>
      </c>
      <c r="F11" s="12" t="s">
        <v>358</v>
      </c>
      <c r="G11" s="12">
        <v>1</v>
      </c>
      <c r="H11" s="13">
        <v>25</v>
      </c>
      <c r="I11" s="34">
        <v>25000</v>
      </c>
      <c r="J11" s="14">
        <v>6090</v>
      </c>
      <c r="K11" s="15">
        <f>L11+3973+5965+4763</f>
        <v>20786</v>
      </c>
      <c r="L11" s="15">
        <f>2899+3186</f>
        <v>6085</v>
      </c>
      <c r="M11" s="16">
        <f t="shared" si="0"/>
        <v>6085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0.99917898193760257</v>
      </c>
      <c r="AC11" s="9">
        <f t="shared" si="5"/>
        <v>1</v>
      </c>
      <c r="AD11" s="10">
        <f t="shared" si="6"/>
        <v>0.99917898193760257</v>
      </c>
      <c r="AE11" s="39">
        <f t="shared" si="7"/>
        <v>0.43846910176721232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411</v>
      </c>
      <c r="D12" s="55" t="s">
        <v>381</v>
      </c>
      <c r="E12" s="57" t="s">
        <v>413</v>
      </c>
      <c r="F12" s="12" t="s">
        <v>414</v>
      </c>
      <c r="G12" s="12">
        <v>1</v>
      </c>
      <c r="H12" s="13">
        <v>25</v>
      </c>
      <c r="I12" s="34">
        <v>1000</v>
      </c>
      <c r="J12" s="5">
        <v>2320</v>
      </c>
      <c r="K12" s="15">
        <f>L12+2316</f>
        <v>2316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0.43846910176721232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381</v>
      </c>
      <c r="E13" s="57" t="s">
        <v>481</v>
      </c>
      <c r="F13" s="12">
        <v>7301</v>
      </c>
      <c r="G13" s="12">
        <v>1</v>
      </c>
      <c r="H13" s="13">
        <v>25</v>
      </c>
      <c r="I13" s="7">
        <v>19000</v>
      </c>
      <c r="J13" s="14">
        <v>5020</v>
      </c>
      <c r="K13" s="15">
        <f>L13+2220</f>
        <v>7237</v>
      </c>
      <c r="L13" s="15">
        <f>2398+2619</f>
        <v>5017</v>
      </c>
      <c r="M13" s="16">
        <f t="shared" si="0"/>
        <v>5017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0.99940239043824697</v>
      </c>
      <c r="AC13" s="9">
        <f t="shared" si="5"/>
        <v>1</v>
      </c>
      <c r="AD13" s="10">
        <f t="shared" si="6"/>
        <v>0.99940239043824697</v>
      </c>
      <c r="AE13" s="39">
        <f t="shared" si="7"/>
        <v>0.43846910176721232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127</v>
      </c>
      <c r="D14" s="55" t="s">
        <v>145</v>
      </c>
      <c r="E14" s="57" t="s">
        <v>150</v>
      </c>
      <c r="F14" s="33" t="s">
        <v>147</v>
      </c>
      <c r="G14" s="36">
        <v>1</v>
      </c>
      <c r="H14" s="38">
        <v>25</v>
      </c>
      <c r="I14" s="7">
        <v>10000</v>
      </c>
      <c r="J14" s="5">
        <v>4790</v>
      </c>
      <c r="K14" s="15">
        <f>L14+2472+5133+4788</f>
        <v>12393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0.43846910176721232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422</v>
      </c>
      <c r="D15" s="55" t="s">
        <v>423</v>
      </c>
      <c r="E15" s="57" t="s">
        <v>430</v>
      </c>
      <c r="F15" s="12" t="s">
        <v>424</v>
      </c>
      <c r="G15" s="12">
        <v>1</v>
      </c>
      <c r="H15" s="13">
        <v>25</v>
      </c>
      <c r="I15" s="34">
        <v>200</v>
      </c>
      <c r="J15" s="5">
        <v>300</v>
      </c>
      <c r="K15" s="15">
        <f>L15+2138+3980+300</f>
        <v>6418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/>
      <c r="X15" s="17"/>
      <c r="Y15" s="20"/>
      <c r="Z15" s="20"/>
      <c r="AA15" s="21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0.43846910176721232</v>
      </c>
      <c r="AF15" s="94">
        <f t="shared" si="8"/>
        <v>10</v>
      </c>
    </row>
    <row r="16" spans="1:32" ht="27" customHeight="1">
      <c r="A16" s="109">
        <v>11</v>
      </c>
      <c r="B16" s="11" t="s">
        <v>293</v>
      </c>
      <c r="C16" s="11" t="s">
        <v>138</v>
      </c>
      <c r="D16" s="55" t="s">
        <v>416</v>
      </c>
      <c r="E16" s="57" t="s">
        <v>417</v>
      </c>
      <c r="F16" s="12">
        <v>7301</v>
      </c>
      <c r="G16" s="36">
        <v>1</v>
      </c>
      <c r="H16" s="38">
        <v>25</v>
      </c>
      <c r="I16" s="7">
        <v>30000</v>
      </c>
      <c r="J16" s="14">
        <v>5440</v>
      </c>
      <c r="K16" s="15">
        <f>L16+3793+3239</f>
        <v>12463</v>
      </c>
      <c r="L16" s="15">
        <f>2320+3111</f>
        <v>5431</v>
      </c>
      <c r="M16" s="16">
        <f t="shared" si="0"/>
        <v>5431</v>
      </c>
      <c r="N16" s="16">
        <v>0</v>
      </c>
      <c r="O16" s="62">
        <f t="shared" si="1"/>
        <v>0</v>
      </c>
      <c r="P16" s="42">
        <f t="shared" si="2"/>
        <v>23</v>
      </c>
      <c r="Q16" s="43">
        <f t="shared" si="3"/>
        <v>1</v>
      </c>
      <c r="R16" s="7"/>
      <c r="S16" s="6">
        <v>1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0.99834558823529407</v>
      </c>
      <c r="AC16" s="9">
        <f t="shared" si="5"/>
        <v>0.95833333333333337</v>
      </c>
      <c r="AD16" s="10">
        <f t="shared" si="6"/>
        <v>0.9567478553921569</v>
      </c>
      <c r="AE16" s="39">
        <f t="shared" si="7"/>
        <v>0.43846910176721232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411</v>
      </c>
      <c r="D17" s="55" t="s">
        <v>419</v>
      </c>
      <c r="E17" s="56" t="s">
        <v>389</v>
      </c>
      <c r="F17" s="12">
        <v>8301</v>
      </c>
      <c r="G17" s="12">
        <v>1</v>
      </c>
      <c r="H17" s="13">
        <v>25</v>
      </c>
      <c r="I17" s="34">
        <v>8000</v>
      </c>
      <c r="J17" s="5">
        <v>4730</v>
      </c>
      <c r="K17" s="15">
        <f>L17+3739+4348</f>
        <v>12808</v>
      </c>
      <c r="L17" s="15">
        <f>2088+2633</f>
        <v>4721</v>
      </c>
      <c r="M17" s="16">
        <f t="shared" si="0"/>
        <v>4721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0.99809725158562368</v>
      </c>
      <c r="AC17" s="9">
        <f t="shared" si="5"/>
        <v>1</v>
      </c>
      <c r="AD17" s="10">
        <f t="shared" si="6"/>
        <v>0.99809725158562368</v>
      </c>
      <c r="AE17" s="39">
        <f t="shared" si="7"/>
        <v>0.43846910176721232</v>
      </c>
      <c r="AF17" s="94">
        <f t="shared" si="8"/>
        <v>12</v>
      </c>
    </row>
    <row r="18" spans="1:32" ht="27" customHeight="1">
      <c r="A18" s="110">
        <v>13</v>
      </c>
      <c r="B18" s="11" t="s">
        <v>293</v>
      </c>
      <c r="C18" s="37" t="s">
        <v>127</v>
      </c>
      <c r="D18" s="55" t="s">
        <v>58</v>
      </c>
      <c r="E18" s="57" t="s">
        <v>155</v>
      </c>
      <c r="F18" s="12" t="s">
        <v>156</v>
      </c>
      <c r="G18" s="12">
        <v>1</v>
      </c>
      <c r="H18" s="13">
        <v>25</v>
      </c>
      <c r="I18" s="34">
        <v>30000</v>
      </c>
      <c r="J18" s="5">
        <v>3660</v>
      </c>
      <c r="K18" s="15">
        <f>L18+3759+4632+4258+3104+2109+2902</f>
        <v>24422</v>
      </c>
      <c r="L18" s="15">
        <f>1210+2448</f>
        <v>3658</v>
      </c>
      <c r="M18" s="16">
        <f t="shared" si="0"/>
        <v>3658</v>
      </c>
      <c r="N18" s="16">
        <v>0</v>
      </c>
      <c r="O18" s="62">
        <f t="shared" si="1"/>
        <v>0</v>
      </c>
      <c r="P18" s="42">
        <f t="shared" si="2"/>
        <v>20</v>
      </c>
      <c r="Q18" s="43">
        <f t="shared" si="3"/>
        <v>4</v>
      </c>
      <c r="R18" s="7"/>
      <c r="S18" s="6">
        <v>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0.99945355191256835</v>
      </c>
      <c r="AC18" s="9">
        <f t="shared" si="5"/>
        <v>0.83333333333333337</v>
      </c>
      <c r="AD18" s="10">
        <f t="shared" si="6"/>
        <v>0.83287795992714031</v>
      </c>
      <c r="AE18" s="39">
        <f t="shared" si="7"/>
        <v>0.43846910176721232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146</v>
      </c>
      <c r="D19" s="55" t="s">
        <v>58</v>
      </c>
      <c r="E19" s="57" t="s">
        <v>301</v>
      </c>
      <c r="F19" s="33" t="s">
        <v>258</v>
      </c>
      <c r="G19" s="36">
        <v>2</v>
      </c>
      <c r="H19" s="38">
        <v>25</v>
      </c>
      <c r="I19" s="34">
        <v>12000</v>
      </c>
      <c r="J19" s="5">
        <v>4350</v>
      </c>
      <c r="K19" s="15">
        <f>L19+8110+4344</f>
        <v>12454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0.43846910176721232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421</v>
      </c>
      <c r="F20" s="12" t="s">
        <v>120</v>
      </c>
      <c r="G20" s="12">
        <v>4</v>
      </c>
      <c r="H20" s="38">
        <v>20</v>
      </c>
      <c r="I20" s="7">
        <v>300000</v>
      </c>
      <c r="J20" s="14">
        <v>32020</v>
      </c>
      <c r="K20" s="15">
        <f>L20+42812+51888</f>
        <v>126720</v>
      </c>
      <c r="L20" s="15">
        <f>6293*4+1712*4</f>
        <v>32020</v>
      </c>
      <c r="M20" s="16">
        <f t="shared" si="0"/>
        <v>32020</v>
      </c>
      <c r="N20" s="16">
        <v>0</v>
      </c>
      <c r="O20" s="62">
        <f t="shared" si="1"/>
        <v>0</v>
      </c>
      <c r="P20" s="42">
        <f t="shared" si="2"/>
        <v>19</v>
      </c>
      <c r="Q20" s="43">
        <f t="shared" si="3"/>
        <v>5</v>
      </c>
      <c r="R20" s="7"/>
      <c r="S20" s="6">
        <v>5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0.79166666666666663</v>
      </c>
      <c r="AD20" s="10">
        <f t="shared" si="6"/>
        <v>0.79166666666666663</v>
      </c>
      <c r="AE20" s="39">
        <f t="shared" si="7"/>
        <v>0.43846910176721232</v>
      </c>
      <c r="AF20" s="94">
        <f t="shared" si="8"/>
        <v>15</v>
      </c>
    </row>
    <row r="21" spans="1:32" ht="31.5" customHeight="1" thickBot="1">
      <c r="A21" s="430" t="s">
        <v>34</v>
      </c>
      <c r="B21" s="431"/>
      <c r="C21" s="431"/>
      <c r="D21" s="431"/>
      <c r="E21" s="431"/>
      <c r="F21" s="431"/>
      <c r="G21" s="431"/>
      <c r="H21" s="432"/>
      <c r="I21" s="25">
        <f t="shared" ref="I21:N21" si="10">SUM(I6:I20)</f>
        <v>512700</v>
      </c>
      <c r="J21" s="22">
        <f t="shared" si="10"/>
        <v>92210</v>
      </c>
      <c r="K21" s="23">
        <f t="shared" si="10"/>
        <v>305290</v>
      </c>
      <c r="L21" s="24">
        <f t="shared" si="10"/>
        <v>64415</v>
      </c>
      <c r="M21" s="23">
        <f t="shared" si="10"/>
        <v>64415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158</v>
      </c>
      <c r="Q21" s="46">
        <f t="shared" si="11"/>
        <v>202</v>
      </c>
      <c r="R21" s="26">
        <f t="shared" si="11"/>
        <v>0</v>
      </c>
      <c r="S21" s="27">
        <f t="shared" si="11"/>
        <v>10</v>
      </c>
      <c r="T21" s="27">
        <f t="shared" si="11"/>
        <v>0</v>
      </c>
      <c r="U21" s="27">
        <f t="shared" si="11"/>
        <v>0</v>
      </c>
      <c r="V21" s="28">
        <f t="shared" si="11"/>
        <v>24</v>
      </c>
      <c r="W21" s="29">
        <f t="shared" si="11"/>
        <v>144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24</v>
      </c>
      <c r="AB21" s="31">
        <f>SUM(AB6:AB20)/15</f>
        <v>0.46623621231133888</v>
      </c>
      <c r="AC21" s="4">
        <f>SUM(AC6:AC20)/15</f>
        <v>0.43888888888888894</v>
      </c>
      <c r="AD21" s="4">
        <f>SUM(AD6:AD20)/15</f>
        <v>0.43846910176721232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33" t="s">
        <v>46</v>
      </c>
      <c r="B48" s="433"/>
      <c r="C48" s="433"/>
      <c r="D48" s="433"/>
      <c r="E48" s="43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4" t="s">
        <v>512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6"/>
      <c r="N49" s="437" t="s">
        <v>515</v>
      </c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9"/>
    </row>
    <row r="50" spans="1:32" ht="27" customHeight="1">
      <c r="A50" s="440" t="s">
        <v>2</v>
      </c>
      <c r="B50" s="441"/>
      <c r="C50" s="245" t="s">
        <v>47</v>
      </c>
      <c r="D50" s="245" t="s">
        <v>48</v>
      </c>
      <c r="E50" s="245" t="s">
        <v>113</v>
      </c>
      <c r="F50" s="441" t="s">
        <v>112</v>
      </c>
      <c r="G50" s="441"/>
      <c r="H50" s="441"/>
      <c r="I50" s="441"/>
      <c r="J50" s="441"/>
      <c r="K50" s="441"/>
      <c r="L50" s="441"/>
      <c r="M50" s="442"/>
      <c r="N50" s="73" t="s">
        <v>117</v>
      </c>
      <c r="O50" s="245" t="s">
        <v>47</v>
      </c>
      <c r="P50" s="443" t="s">
        <v>48</v>
      </c>
      <c r="Q50" s="444"/>
      <c r="R50" s="443" t="s">
        <v>39</v>
      </c>
      <c r="S50" s="445"/>
      <c r="T50" s="445"/>
      <c r="U50" s="444"/>
      <c r="V50" s="443" t="s">
        <v>49</v>
      </c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57" t="s">
        <v>138</v>
      </c>
      <c r="B51" s="458"/>
      <c r="C51" s="244" t="s">
        <v>158</v>
      </c>
      <c r="D51" s="241" t="s">
        <v>187</v>
      </c>
      <c r="E51" s="244" t="s">
        <v>155</v>
      </c>
      <c r="F51" s="459" t="s">
        <v>513</v>
      </c>
      <c r="G51" s="459"/>
      <c r="H51" s="459"/>
      <c r="I51" s="459"/>
      <c r="J51" s="459"/>
      <c r="K51" s="459"/>
      <c r="L51" s="459"/>
      <c r="M51" s="460"/>
      <c r="N51" s="240"/>
      <c r="O51" s="74"/>
      <c r="P51" s="461"/>
      <c r="Q51" s="462"/>
      <c r="R51" s="463"/>
      <c r="S51" s="463"/>
      <c r="T51" s="463"/>
      <c r="U51" s="463"/>
      <c r="V51" s="459"/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57" t="s">
        <v>434</v>
      </c>
      <c r="B52" s="458"/>
      <c r="C52" s="244" t="s">
        <v>435</v>
      </c>
      <c r="D52" s="241" t="s">
        <v>436</v>
      </c>
      <c r="E52" s="244" t="s">
        <v>417</v>
      </c>
      <c r="F52" s="459" t="s">
        <v>514</v>
      </c>
      <c r="G52" s="459"/>
      <c r="H52" s="459"/>
      <c r="I52" s="459"/>
      <c r="J52" s="459"/>
      <c r="K52" s="459"/>
      <c r="L52" s="459"/>
      <c r="M52" s="460"/>
      <c r="N52" s="240"/>
      <c r="O52" s="74"/>
      <c r="P52" s="461"/>
      <c r="Q52" s="462"/>
      <c r="R52" s="463"/>
      <c r="S52" s="463"/>
      <c r="T52" s="463"/>
      <c r="U52" s="463"/>
      <c r="V52" s="459"/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64" t="s">
        <v>411</v>
      </c>
      <c r="B53" s="463"/>
      <c r="C53" s="241" t="s">
        <v>387</v>
      </c>
      <c r="D53" s="241" t="s">
        <v>388</v>
      </c>
      <c r="E53" s="244" t="s">
        <v>449</v>
      </c>
      <c r="F53" s="459" t="s">
        <v>491</v>
      </c>
      <c r="G53" s="459"/>
      <c r="H53" s="459"/>
      <c r="I53" s="459"/>
      <c r="J53" s="459"/>
      <c r="K53" s="459"/>
      <c r="L53" s="459"/>
      <c r="M53" s="460"/>
      <c r="N53" s="240"/>
      <c r="O53" s="74"/>
      <c r="P53" s="461"/>
      <c r="Q53" s="462"/>
      <c r="R53" s="463"/>
      <c r="S53" s="463"/>
      <c r="T53" s="463"/>
      <c r="U53" s="463"/>
      <c r="V53" s="459"/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/>
      <c r="B54" s="458"/>
      <c r="C54" s="244"/>
      <c r="D54" s="241"/>
      <c r="E54" s="244"/>
      <c r="F54" s="459"/>
      <c r="G54" s="459"/>
      <c r="H54" s="459"/>
      <c r="I54" s="459"/>
      <c r="J54" s="459"/>
      <c r="K54" s="459"/>
      <c r="L54" s="459"/>
      <c r="M54" s="460"/>
      <c r="N54" s="240"/>
      <c r="O54" s="74"/>
      <c r="P54" s="461"/>
      <c r="Q54" s="462"/>
      <c r="R54" s="463"/>
      <c r="S54" s="463"/>
      <c r="T54" s="463"/>
      <c r="U54" s="463"/>
      <c r="V54" s="459"/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64"/>
      <c r="B55" s="463"/>
      <c r="C55" s="241"/>
      <c r="D55" s="241"/>
      <c r="E55" s="244"/>
      <c r="F55" s="459"/>
      <c r="G55" s="459"/>
      <c r="H55" s="459"/>
      <c r="I55" s="459"/>
      <c r="J55" s="459"/>
      <c r="K55" s="459"/>
      <c r="L55" s="459"/>
      <c r="M55" s="460"/>
      <c r="N55" s="240"/>
      <c r="O55" s="74"/>
      <c r="P55" s="461"/>
      <c r="Q55" s="462"/>
      <c r="R55" s="463"/>
      <c r="S55" s="463"/>
      <c r="T55" s="463"/>
      <c r="U55" s="463"/>
      <c r="V55" s="459"/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/>
      <c r="B56" s="463"/>
      <c r="C56" s="241"/>
      <c r="D56" s="241"/>
      <c r="E56" s="244"/>
      <c r="F56" s="459"/>
      <c r="G56" s="459"/>
      <c r="H56" s="459"/>
      <c r="I56" s="459"/>
      <c r="J56" s="459"/>
      <c r="K56" s="459"/>
      <c r="L56" s="459"/>
      <c r="M56" s="460"/>
      <c r="N56" s="240"/>
      <c r="O56" s="74"/>
      <c r="P56" s="463"/>
      <c r="Q56" s="463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241"/>
      <c r="D57" s="241"/>
      <c r="E57" s="244"/>
      <c r="F57" s="459"/>
      <c r="G57" s="459"/>
      <c r="H57" s="459"/>
      <c r="I57" s="459"/>
      <c r="J57" s="459"/>
      <c r="K57" s="459"/>
      <c r="L57" s="459"/>
      <c r="M57" s="460"/>
      <c r="N57" s="240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57"/>
      <c r="B58" s="458"/>
      <c r="C58" s="244"/>
      <c r="D58" s="241"/>
      <c r="E58" s="244"/>
      <c r="F58" s="459"/>
      <c r="G58" s="459"/>
      <c r="H58" s="459"/>
      <c r="I58" s="459"/>
      <c r="J58" s="459"/>
      <c r="K58" s="459"/>
      <c r="L58" s="459"/>
      <c r="M58" s="460"/>
      <c r="N58" s="240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241"/>
      <c r="D59" s="241"/>
      <c r="E59" s="241"/>
      <c r="F59" s="459"/>
      <c r="G59" s="459"/>
      <c r="H59" s="459"/>
      <c r="I59" s="459"/>
      <c r="J59" s="459"/>
      <c r="K59" s="459"/>
      <c r="L59" s="459"/>
      <c r="M59" s="460"/>
      <c r="N59" s="240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  <c r="AF59" s="94">
        <f>8*3000</f>
        <v>24000</v>
      </c>
    </row>
    <row r="60" spans="1:32" ht="27" customHeight="1" thickBot="1">
      <c r="A60" s="465"/>
      <c r="B60" s="466"/>
      <c r="C60" s="243"/>
      <c r="D60" s="243"/>
      <c r="E60" s="243"/>
      <c r="F60" s="467"/>
      <c r="G60" s="467"/>
      <c r="H60" s="467"/>
      <c r="I60" s="467"/>
      <c r="J60" s="467"/>
      <c r="K60" s="467"/>
      <c r="L60" s="467"/>
      <c r="M60" s="468"/>
      <c r="N60" s="242"/>
      <c r="O60" s="121"/>
      <c r="P60" s="466"/>
      <c r="Q60" s="466"/>
      <c r="R60" s="466"/>
      <c r="S60" s="466"/>
      <c r="T60" s="466"/>
      <c r="U60" s="466"/>
      <c r="V60" s="467"/>
      <c r="W60" s="467"/>
      <c r="X60" s="467"/>
      <c r="Y60" s="467"/>
      <c r="Z60" s="467"/>
      <c r="AA60" s="467"/>
      <c r="AB60" s="467"/>
      <c r="AC60" s="467"/>
      <c r="AD60" s="468"/>
      <c r="AF60" s="94">
        <f>16*3000</f>
        <v>48000</v>
      </c>
    </row>
    <row r="61" spans="1:32" ht="27.75" thickBot="1">
      <c r="A61" s="469" t="s">
        <v>516</v>
      </c>
      <c r="B61" s="469"/>
      <c r="C61" s="469"/>
      <c r="D61" s="469"/>
      <c r="E61" s="469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70" t="s">
        <v>118</v>
      </c>
      <c r="B62" s="471"/>
      <c r="C62" s="239" t="s">
        <v>2</v>
      </c>
      <c r="D62" s="239" t="s">
        <v>38</v>
      </c>
      <c r="E62" s="239" t="s">
        <v>3</v>
      </c>
      <c r="F62" s="471" t="s">
        <v>115</v>
      </c>
      <c r="G62" s="471"/>
      <c r="H62" s="471"/>
      <c r="I62" s="471"/>
      <c r="J62" s="471"/>
      <c r="K62" s="471" t="s">
        <v>40</v>
      </c>
      <c r="L62" s="471"/>
      <c r="M62" s="239" t="s">
        <v>41</v>
      </c>
      <c r="N62" s="471" t="s">
        <v>42</v>
      </c>
      <c r="O62" s="471"/>
      <c r="P62" s="472" t="s">
        <v>43</v>
      </c>
      <c r="Q62" s="473"/>
      <c r="R62" s="472" t="s">
        <v>44</v>
      </c>
      <c r="S62" s="474"/>
      <c r="T62" s="474"/>
      <c r="U62" s="474"/>
      <c r="V62" s="474"/>
      <c r="W62" s="474"/>
      <c r="X62" s="474"/>
      <c r="Y62" s="474"/>
      <c r="Z62" s="474"/>
      <c r="AA62" s="473"/>
      <c r="AB62" s="471" t="s">
        <v>45</v>
      </c>
      <c r="AC62" s="471"/>
      <c r="AD62" s="475"/>
      <c r="AF62" s="94">
        <f>SUM(AF59:AF61)</f>
        <v>96000</v>
      </c>
    </row>
    <row r="63" spans="1:32" ht="25.5" customHeight="1">
      <c r="A63" s="476">
        <v>1</v>
      </c>
      <c r="B63" s="477"/>
      <c r="C63" s="133" t="s">
        <v>62</v>
      </c>
      <c r="D63" s="235"/>
      <c r="E63" s="237" t="s">
        <v>396</v>
      </c>
      <c r="F63" s="478" t="s">
        <v>392</v>
      </c>
      <c r="G63" s="479"/>
      <c r="H63" s="479"/>
      <c r="I63" s="479"/>
      <c r="J63" s="479"/>
      <c r="K63" s="479" t="s">
        <v>400</v>
      </c>
      <c r="L63" s="479"/>
      <c r="M63" s="54" t="s">
        <v>402</v>
      </c>
      <c r="N63" s="479">
        <v>1</v>
      </c>
      <c r="O63" s="479"/>
      <c r="P63" s="480">
        <v>50</v>
      </c>
      <c r="Q63" s="480"/>
      <c r="R63" s="459"/>
      <c r="S63" s="459"/>
      <c r="T63" s="459"/>
      <c r="U63" s="459"/>
      <c r="V63" s="459"/>
      <c r="W63" s="459"/>
      <c r="X63" s="459"/>
      <c r="Y63" s="459"/>
      <c r="Z63" s="459"/>
      <c r="AA63" s="459"/>
      <c r="AB63" s="479"/>
      <c r="AC63" s="479"/>
      <c r="AD63" s="481"/>
      <c r="AF63" s="53"/>
    </row>
    <row r="64" spans="1:32" ht="25.5" customHeight="1">
      <c r="A64" s="476">
        <v>2</v>
      </c>
      <c r="B64" s="477"/>
      <c r="C64" s="133"/>
      <c r="D64" s="235"/>
      <c r="E64" s="237"/>
      <c r="F64" s="478"/>
      <c r="G64" s="479"/>
      <c r="H64" s="479"/>
      <c r="I64" s="479"/>
      <c r="J64" s="479"/>
      <c r="K64" s="479"/>
      <c r="L64" s="479"/>
      <c r="M64" s="54"/>
      <c r="N64" s="479"/>
      <c r="O64" s="479"/>
      <c r="P64" s="480"/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</row>
    <row r="65" spans="1:32" ht="25.5" customHeight="1">
      <c r="A65" s="476">
        <v>3</v>
      </c>
      <c r="B65" s="477"/>
      <c r="C65" s="133"/>
      <c r="D65" s="235"/>
      <c r="E65" s="237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4</v>
      </c>
      <c r="B66" s="477"/>
      <c r="C66" s="133"/>
      <c r="D66" s="235"/>
      <c r="E66" s="237"/>
      <c r="F66" s="479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5</v>
      </c>
      <c r="B67" s="477"/>
      <c r="C67" s="133"/>
      <c r="D67" s="235"/>
      <c r="E67" s="237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6</v>
      </c>
      <c r="B68" s="477"/>
      <c r="C68" s="133"/>
      <c r="D68" s="235"/>
      <c r="E68" s="237"/>
      <c r="F68" s="478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7</v>
      </c>
      <c r="B69" s="477"/>
      <c r="C69" s="133"/>
      <c r="D69" s="235"/>
      <c r="E69" s="237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8</v>
      </c>
      <c r="B70" s="477"/>
      <c r="C70" s="133"/>
      <c r="D70" s="235"/>
      <c r="E70" s="237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6.25" customHeight="1" thickBot="1">
      <c r="A71" s="482" t="s">
        <v>517</v>
      </c>
      <c r="B71" s="482"/>
      <c r="C71" s="482"/>
      <c r="D71" s="482"/>
      <c r="E71" s="48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83" t="s">
        <v>118</v>
      </c>
      <c r="B72" s="484"/>
      <c r="C72" s="238" t="s">
        <v>2</v>
      </c>
      <c r="D72" s="238" t="s">
        <v>38</v>
      </c>
      <c r="E72" s="238" t="s">
        <v>3</v>
      </c>
      <c r="F72" s="484" t="s">
        <v>39</v>
      </c>
      <c r="G72" s="484"/>
      <c r="H72" s="484"/>
      <c r="I72" s="484"/>
      <c r="J72" s="484"/>
      <c r="K72" s="485" t="s">
        <v>60</v>
      </c>
      <c r="L72" s="486"/>
      <c r="M72" s="486"/>
      <c r="N72" s="486"/>
      <c r="O72" s="486"/>
      <c r="P72" s="486"/>
      <c r="Q72" s="486"/>
      <c r="R72" s="486"/>
      <c r="S72" s="487"/>
      <c r="T72" s="484" t="s">
        <v>50</v>
      </c>
      <c r="U72" s="484"/>
      <c r="V72" s="485" t="s">
        <v>51</v>
      </c>
      <c r="W72" s="487"/>
      <c r="X72" s="486" t="s">
        <v>52</v>
      </c>
      <c r="Y72" s="486"/>
      <c r="Z72" s="486"/>
      <c r="AA72" s="486"/>
      <c r="AB72" s="486"/>
      <c r="AC72" s="486"/>
      <c r="AD72" s="488"/>
      <c r="AF72" s="53"/>
    </row>
    <row r="73" spans="1:32" ht="33.75" customHeight="1">
      <c r="A73" s="497">
        <v>1</v>
      </c>
      <c r="B73" s="498"/>
      <c r="C73" s="236" t="s">
        <v>210</v>
      </c>
      <c r="D73" s="236"/>
      <c r="E73" s="71" t="s">
        <v>407</v>
      </c>
      <c r="F73" s="499" t="s">
        <v>408</v>
      </c>
      <c r="G73" s="500"/>
      <c r="H73" s="500"/>
      <c r="I73" s="500"/>
      <c r="J73" s="501"/>
      <c r="K73" s="502" t="s">
        <v>465</v>
      </c>
      <c r="L73" s="503"/>
      <c r="M73" s="503"/>
      <c r="N73" s="503"/>
      <c r="O73" s="503"/>
      <c r="P73" s="503"/>
      <c r="Q73" s="503"/>
      <c r="R73" s="503"/>
      <c r="S73" s="504"/>
      <c r="T73" s="505">
        <v>42865</v>
      </c>
      <c r="U73" s="506"/>
      <c r="V73" s="507"/>
      <c r="W73" s="507"/>
      <c r="X73" s="508"/>
      <c r="Y73" s="508"/>
      <c r="Z73" s="508"/>
      <c r="AA73" s="508"/>
      <c r="AB73" s="508"/>
      <c r="AC73" s="508"/>
      <c r="AD73" s="509"/>
      <c r="AF73" s="53"/>
    </row>
    <row r="74" spans="1:32" ht="30" customHeight="1">
      <c r="A74" s="489">
        <f>A73+1</f>
        <v>2</v>
      </c>
      <c r="B74" s="490"/>
      <c r="C74" s="235" t="s">
        <v>504</v>
      </c>
      <c r="D74" s="235"/>
      <c r="E74" s="35" t="s">
        <v>505</v>
      </c>
      <c r="F74" s="490"/>
      <c r="G74" s="490"/>
      <c r="H74" s="490"/>
      <c r="I74" s="490"/>
      <c r="J74" s="490"/>
      <c r="K74" s="491" t="s">
        <v>506</v>
      </c>
      <c r="L74" s="492"/>
      <c r="M74" s="492"/>
      <c r="N74" s="492"/>
      <c r="O74" s="492"/>
      <c r="P74" s="492"/>
      <c r="Q74" s="492"/>
      <c r="R74" s="492"/>
      <c r="S74" s="493"/>
      <c r="T74" s="494">
        <v>42866</v>
      </c>
      <c r="U74" s="494"/>
      <c r="V74" s="494"/>
      <c r="W74" s="494"/>
      <c r="X74" s="495"/>
      <c r="Y74" s="495"/>
      <c r="Z74" s="495"/>
      <c r="AA74" s="495"/>
      <c r="AB74" s="495"/>
      <c r="AC74" s="495"/>
      <c r="AD74" s="496"/>
      <c r="AF74" s="53"/>
    </row>
    <row r="75" spans="1:32" ht="30" customHeight="1">
      <c r="A75" s="489">
        <f t="shared" ref="A75:A81" si="12">A74+1</f>
        <v>3</v>
      </c>
      <c r="B75" s="490"/>
      <c r="C75" s="235" t="s">
        <v>201</v>
      </c>
      <c r="D75" s="235"/>
      <c r="E75" s="35" t="s">
        <v>520</v>
      </c>
      <c r="F75" s="490" t="s">
        <v>521</v>
      </c>
      <c r="G75" s="490"/>
      <c r="H75" s="490"/>
      <c r="I75" s="490"/>
      <c r="J75" s="490"/>
      <c r="K75" s="491" t="s">
        <v>522</v>
      </c>
      <c r="L75" s="492"/>
      <c r="M75" s="492"/>
      <c r="N75" s="492"/>
      <c r="O75" s="492"/>
      <c r="P75" s="492"/>
      <c r="Q75" s="492"/>
      <c r="R75" s="492"/>
      <c r="S75" s="493"/>
      <c r="T75" s="494">
        <v>42867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si="12"/>
        <v>4</v>
      </c>
      <c r="B76" s="490"/>
      <c r="C76" s="235"/>
      <c r="D76" s="235"/>
      <c r="E76" s="35"/>
      <c r="F76" s="490"/>
      <c r="G76" s="490"/>
      <c r="H76" s="490"/>
      <c r="I76" s="490"/>
      <c r="J76" s="490"/>
      <c r="K76" s="491"/>
      <c r="L76" s="492"/>
      <c r="M76" s="492"/>
      <c r="N76" s="492"/>
      <c r="O76" s="492"/>
      <c r="P76" s="492"/>
      <c r="Q76" s="492"/>
      <c r="R76" s="492"/>
      <c r="S76" s="493"/>
      <c r="T76" s="494"/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12"/>
        <v>5</v>
      </c>
      <c r="B77" s="490"/>
      <c r="C77" s="235"/>
      <c r="D77" s="235"/>
      <c r="E77" s="35"/>
      <c r="F77" s="490"/>
      <c r="G77" s="490"/>
      <c r="H77" s="490"/>
      <c r="I77" s="490"/>
      <c r="J77" s="490"/>
      <c r="K77" s="491"/>
      <c r="L77" s="492"/>
      <c r="M77" s="492"/>
      <c r="N77" s="492"/>
      <c r="O77" s="492"/>
      <c r="P77" s="492"/>
      <c r="Q77" s="492"/>
      <c r="R77" s="492"/>
      <c r="S77" s="493"/>
      <c r="T77" s="494"/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12"/>
        <v>6</v>
      </c>
      <c r="B78" s="490"/>
      <c r="C78" s="235"/>
      <c r="D78" s="235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12"/>
        <v>7</v>
      </c>
      <c r="B79" s="490"/>
      <c r="C79" s="235"/>
      <c r="D79" s="235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12"/>
        <v>8</v>
      </c>
      <c r="B80" s="490"/>
      <c r="C80" s="235"/>
      <c r="D80" s="235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12"/>
        <v>9</v>
      </c>
      <c r="B81" s="490"/>
      <c r="C81" s="235"/>
      <c r="D81" s="235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6" thickBot="1">
      <c r="A82" s="482" t="s">
        <v>518</v>
      </c>
      <c r="B82" s="482"/>
      <c r="C82" s="482"/>
      <c r="D82" s="482"/>
      <c r="E82" s="48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510" t="s">
        <v>37</v>
      </c>
      <c r="B83" s="511"/>
      <c r="C83" s="511" t="s">
        <v>53</v>
      </c>
      <c r="D83" s="511"/>
      <c r="E83" s="511" t="s">
        <v>54</v>
      </c>
      <c r="F83" s="511"/>
      <c r="G83" s="511"/>
      <c r="H83" s="511"/>
      <c r="I83" s="511"/>
      <c r="J83" s="511"/>
      <c r="K83" s="511" t="s">
        <v>55</v>
      </c>
      <c r="L83" s="511"/>
      <c r="M83" s="511"/>
      <c r="N83" s="511"/>
      <c r="O83" s="511"/>
      <c r="P83" s="511"/>
      <c r="Q83" s="511"/>
      <c r="R83" s="511"/>
      <c r="S83" s="511"/>
      <c r="T83" s="511" t="s">
        <v>56</v>
      </c>
      <c r="U83" s="511"/>
      <c r="V83" s="511" t="s">
        <v>57</v>
      </c>
      <c r="W83" s="511"/>
      <c r="X83" s="511"/>
      <c r="Y83" s="511" t="s">
        <v>52</v>
      </c>
      <c r="Z83" s="511"/>
      <c r="AA83" s="511"/>
      <c r="AB83" s="511"/>
      <c r="AC83" s="511"/>
      <c r="AD83" s="512"/>
      <c r="AF83" s="53"/>
    </row>
    <row r="84" spans="1:32" ht="30.75" customHeight="1">
      <c r="A84" s="513">
        <v>1</v>
      </c>
      <c r="B84" s="514"/>
      <c r="C84" s="515"/>
      <c r="D84" s="515"/>
      <c r="E84" s="515"/>
      <c r="F84" s="515"/>
      <c r="G84" s="515"/>
      <c r="H84" s="515"/>
      <c r="I84" s="515"/>
      <c r="J84" s="515"/>
      <c r="K84" s="515"/>
      <c r="L84" s="515"/>
      <c r="M84" s="515"/>
      <c r="N84" s="515"/>
      <c r="O84" s="515"/>
      <c r="P84" s="515"/>
      <c r="Q84" s="515"/>
      <c r="R84" s="515"/>
      <c r="S84" s="515"/>
      <c r="T84" s="515"/>
      <c r="U84" s="515"/>
      <c r="V84" s="516"/>
      <c r="W84" s="516"/>
      <c r="X84" s="516"/>
      <c r="Y84" s="517"/>
      <c r="Z84" s="517"/>
      <c r="AA84" s="517"/>
      <c r="AB84" s="517"/>
      <c r="AC84" s="517"/>
      <c r="AD84" s="518"/>
      <c r="AF84" s="53"/>
    </row>
    <row r="85" spans="1:32" ht="30.75" customHeight="1">
      <c r="A85" s="489">
        <v>2</v>
      </c>
      <c r="B85" s="490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 thickBot="1">
      <c r="A86" s="519">
        <v>3</v>
      </c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1"/>
      <c r="Z86" s="521"/>
      <c r="AA86" s="521"/>
      <c r="AB86" s="521"/>
      <c r="AC86" s="521"/>
      <c r="AD86" s="52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K68" sqref="K68:L6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523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247" t="s">
        <v>17</v>
      </c>
      <c r="L5" s="247" t="s">
        <v>18</v>
      </c>
      <c r="M5" s="247" t="s">
        <v>19</v>
      </c>
      <c r="N5" s="24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0.17746225304558721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127</v>
      </c>
      <c r="D7" s="55" t="s">
        <v>178</v>
      </c>
      <c r="E7" s="56" t="s">
        <v>179</v>
      </c>
      <c r="F7" s="12" t="s">
        <v>180</v>
      </c>
      <c r="G7" s="36">
        <v>2</v>
      </c>
      <c r="H7" s="38">
        <v>25</v>
      </c>
      <c r="I7" s="7">
        <v>40000</v>
      </c>
      <c r="J7" s="14">
        <v>3050</v>
      </c>
      <c r="K7" s="15">
        <f>L7+7596+10920+10616+10866+3048</f>
        <v>43046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0.17746225304558721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122</v>
      </c>
      <c r="D8" s="55" t="s">
        <v>474</v>
      </c>
      <c r="E8" s="57" t="s">
        <v>475</v>
      </c>
      <c r="F8" s="12" t="s">
        <v>128</v>
      </c>
      <c r="G8" s="36" t="s">
        <v>476</v>
      </c>
      <c r="H8" s="38">
        <v>25</v>
      </c>
      <c r="I8" s="7">
        <v>19000</v>
      </c>
      <c r="J8" s="14">
        <v>3430</v>
      </c>
      <c r="K8" s="15">
        <f>L8+3811+7483</f>
        <v>14719</v>
      </c>
      <c r="L8" s="15">
        <f>3425</f>
        <v>3425</v>
      </c>
      <c r="M8" s="16">
        <f t="shared" si="0"/>
        <v>3425</v>
      </c>
      <c r="N8" s="16">
        <v>0</v>
      </c>
      <c r="O8" s="62">
        <f t="shared" si="1"/>
        <v>0</v>
      </c>
      <c r="P8" s="42">
        <f t="shared" si="2"/>
        <v>10</v>
      </c>
      <c r="Q8" s="43">
        <f t="shared" si="3"/>
        <v>14</v>
      </c>
      <c r="R8" s="7"/>
      <c r="S8" s="6"/>
      <c r="T8" s="17"/>
      <c r="U8" s="17"/>
      <c r="V8" s="18">
        <v>14</v>
      </c>
      <c r="W8" s="19"/>
      <c r="X8" s="17"/>
      <c r="Y8" s="20"/>
      <c r="Z8" s="20"/>
      <c r="AA8" s="21"/>
      <c r="AB8" s="8">
        <f t="shared" si="4"/>
        <v>0.99854227405247808</v>
      </c>
      <c r="AC8" s="9">
        <f t="shared" si="5"/>
        <v>0.41666666666666669</v>
      </c>
      <c r="AD8" s="10">
        <f t="shared" si="6"/>
        <v>0.41605928085519922</v>
      </c>
      <c r="AE8" s="39">
        <f t="shared" si="7"/>
        <v>0.17746225304558721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524</v>
      </c>
      <c r="E9" s="57" t="s">
        <v>525</v>
      </c>
      <c r="F9" s="12">
        <v>7301</v>
      </c>
      <c r="G9" s="12">
        <v>1</v>
      </c>
      <c r="H9" s="13">
        <v>25</v>
      </c>
      <c r="I9" s="34">
        <v>1000</v>
      </c>
      <c r="J9" s="5">
        <v>510</v>
      </c>
      <c r="K9" s="15">
        <f>L9</f>
        <v>507</v>
      </c>
      <c r="L9" s="15">
        <v>507</v>
      </c>
      <c r="M9" s="16">
        <f t="shared" si="0"/>
        <v>507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>
        <v>20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0.99411764705882355</v>
      </c>
      <c r="AC9" s="9">
        <f t="shared" si="5"/>
        <v>0.16666666666666666</v>
      </c>
      <c r="AD9" s="10">
        <f t="shared" si="6"/>
        <v>0.16568627450980392</v>
      </c>
      <c r="AE9" s="39">
        <f t="shared" si="7"/>
        <v>0.17746225304558721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146</v>
      </c>
      <c r="D10" s="55" t="s">
        <v>145</v>
      </c>
      <c r="E10" s="57" t="s">
        <v>301</v>
      </c>
      <c r="F10" s="12" t="s">
        <v>479</v>
      </c>
      <c r="G10" s="12">
        <v>4</v>
      </c>
      <c r="H10" s="13">
        <v>25</v>
      </c>
      <c r="I10" s="34">
        <v>12000</v>
      </c>
      <c r="J10" s="14">
        <v>4060</v>
      </c>
      <c r="K10" s="15">
        <f>L10+4056</f>
        <v>4056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>
        <v>24</v>
      </c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0.17746225304558721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357</v>
      </c>
      <c r="F11" s="12" t="s">
        <v>358</v>
      </c>
      <c r="G11" s="12">
        <v>1</v>
      </c>
      <c r="H11" s="13">
        <v>25</v>
      </c>
      <c r="I11" s="34">
        <v>25000</v>
      </c>
      <c r="J11" s="14">
        <v>2070</v>
      </c>
      <c r="K11" s="15">
        <f>L11+3973+5965+4763+6085</f>
        <v>22855</v>
      </c>
      <c r="L11" s="15">
        <v>2069</v>
      </c>
      <c r="M11" s="16">
        <f t="shared" si="0"/>
        <v>2069</v>
      </c>
      <c r="N11" s="16">
        <v>0</v>
      </c>
      <c r="O11" s="62">
        <f t="shared" si="1"/>
        <v>0</v>
      </c>
      <c r="P11" s="42">
        <f t="shared" si="2"/>
        <v>10</v>
      </c>
      <c r="Q11" s="43">
        <f t="shared" si="3"/>
        <v>14</v>
      </c>
      <c r="R11" s="7"/>
      <c r="S11" s="6">
        <v>14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0.99951690821256034</v>
      </c>
      <c r="AC11" s="9">
        <f t="shared" si="5"/>
        <v>0.41666666666666669</v>
      </c>
      <c r="AD11" s="10">
        <f t="shared" si="6"/>
        <v>0.41646537842190018</v>
      </c>
      <c r="AE11" s="39">
        <f t="shared" si="7"/>
        <v>0.17746225304558721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411</v>
      </c>
      <c r="D12" s="55" t="s">
        <v>381</v>
      </c>
      <c r="E12" s="57" t="s">
        <v>413</v>
      </c>
      <c r="F12" s="12" t="s">
        <v>414</v>
      </c>
      <c r="G12" s="12">
        <v>1</v>
      </c>
      <c r="H12" s="13">
        <v>25</v>
      </c>
      <c r="I12" s="34">
        <v>1000</v>
      </c>
      <c r="J12" s="5">
        <v>2320</v>
      </c>
      <c r="K12" s="15">
        <f>L12+2316</f>
        <v>2316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0.17746225304558721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381</v>
      </c>
      <c r="E13" s="57" t="s">
        <v>481</v>
      </c>
      <c r="F13" s="12">
        <v>7301</v>
      </c>
      <c r="G13" s="12">
        <v>1</v>
      </c>
      <c r="H13" s="13">
        <v>25</v>
      </c>
      <c r="I13" s="7">
        <v>19000</v>
      </c>
      <c r="J13" s="14">
        <v>1820</v>
      </c>
      <c r="K13" s="15">
        <f>L13+2220+5017</f>
        <v>9054</v>
      </c>
      <c r="L13" s="15">
        <f>1817</f>
        <v>1817</v>
      </c>
      <c r="M13" s="16">
        <f t="shared" si="0"/>
        <v>1817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>
        <v>14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0.99835164835164836</v>
      </c>
      <c r="AC13" s="9">
        <f t="shared" si="5"/>
        <v>0.41666666666666669</v>
      </c>
      <c r="AD13" s="10">
        <f t="shared" si="6"/>
        <v>0.4159798534798535</v>
      </c>
      <c r="AE13" s="39">
        <f t="shared" si="7"/>
        <v>0.17746225304558721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127</v>
      </c>
      <c r="D14" s="55" t="s">
        <v>145</v>
      </c>
      <c r="E14" s="57" t="s">
        <v>150</v>
      </c>
      <c r="F14" s="33" t="s">
        <v>147</v>
      </c>
      <c r="G14" s="36">
        <v>1</v>
      </c>
      <c r="H14" s="38">
        <v>25</v>
      </c>
      <c r="I14" s="7">
        <v>10000</v>
      </c>
      <c r="J14" s="5">
        <v>4790</v>
      </c>
      <c r="K14" s="15">
        <f>L14+2472+5133+4788</f>
        <v>12393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0.17746225304558721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422</v>
      </c>
      <c r="D15" s="55" t="s">
        <v>423</v>
      </c>
      <c r="E15" s="57" t="s">
        <v>430</v>
      </c>
      <c r="F15" s="12" t="s">
        <v>424</v>
      </c>
      <c r="G15" s="12">
        <v>1</v>
      </c>
      <c r="H15" s="13">
        <v>25</v>
      </c>
      <c r="I15" s="34">
        <v>200</v>
      </c>
      <c r="J15" s="5">
        <v>300</v>
      </c>
      <c r="K15" s="15">
        <f>L15+2138+3980+300</f>
        <v>6418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/>
      <c r="X15" s="17"/>
      <c r="Y15" s="20"/>
      <c r="Z15" s="20"/>
      <c r="AA15" s="21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0.17746225304558721</v>
      </c>
      <c r="AF15" s="94">
        <f t="shared" si="8"/>
        <v>10</v>
      </c>
    </row>
    <row r="16" spans="1:32" ht="27" customHeight="1">
      <c r="A16" s="109">
        <v>11</v>
      </c>
      <c r="B16" s="11" t="s">
        <v>293</v>
      </c>
      <c r="C16" s="11" t="s">
        <v>138</v>
      </c>
      <c r="D16" s="55" t="s">
        <v>416</v>
      </c>
      <c r="E16" s="57" t="s">
        <v>417</v>
      </c>
      <c r="F16" s="12">
        <v>7301</v>
      </c>
      <c r="G16" s="36">
        <v>1</v>
      </c>
      <c r="H16" s="38">
        <v>25</v>
      </c>
      <c r="I16" s="7">
        <v>30000</v>
      </c>
      <c r="J16" s="14">
        <v>2540</v>
      </c>
      <c r="K16" s="15">
        <f>L16+3793+3239+5431</f>
        <v>14998</v>
      </c>
      <c r="L16" s="15">
        <f>2535</f>
        <v>2535</v>
      </c>
      <c r="M16" s="16">
        <f t="shared" si="0"/>
        <v>2535</v>
      </c>
      <c r="N16" s="16">
        <v>0</v>
      </c>
      <c r="O16" s="62">
        <f t="shared" si="1"/>
        <v>0</v>
      </c>
      <c r="P16" s="42">
        <f t="shared" si="2"/>
        <v>10</v>
      </c>
      <c r="Q16" s="43">
        <f t="shared" si="3"/>
        <v>14</v>
      </c>
      <c r="R16" s="7"/>
      <c r="S16" s="6"/>
      <c r="T16" s="17"/>
      <c r="U16" s="17"/>
      <c r="V16" s="18">
        <v>14</v>
      </c>
      <c r="W16" s="19"/>
      <c r="X16" s="17"/>
      <c r="Y16" s="20"/>
      <c r="Z16" s="20"/>
      <c r="AA16" s="21"/>
      <c r="AB16" s="8">
        <f t="shared" si="4"/>
        <v>0.99803149606299213</v>
      </c>
      <c r="AC16" s="9">
        <f t="shared" si="5"/>
        <v>0.41666666666666669</v>
      </c>
      <c r="AD16" s="10">
        <f t="shared" si="6"/>
        <v>0.41584645669291342</v>
      </c>
      <c r="AE16" s="39">
        <f t="shared" si="7"/>
        <v>0.17746225304558721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411</v>
      </c>
      <c r="D17" s="55" t="s">
        <v>419</v>
      </c>
      <c r="E17" s="56" t="s">
        <v>389</v>
      </c>
      <c r="F17" s="12">
        <v>8301</v>
      </c>
      <c r="G17" s="12">
        <v>1</v>
      </c>
      <c r="H17" s="13">
        <v>25</v>
      </c>
      <c r="I17" s="34">
        <v>8000</v>
      </c>
      <c r="J17" s="5">
        <v>4730</v>
      </c>
      <c r="K17" s="15">
        <f>L17+3739+4348+4721</f>
        <v>12808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/>
      <c r="X17" s="17"/>
      <c r="Y17" s="20"/>
      <c r="Z17" s="20"/>
      <c r="AA17" s="21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0.17746225304558721</v>
      </c>
      <c r="AF17" s="94">
        <f t="shared" si="8"/>
        <v>12</v>
      </c>
    </row>
    <row r="18" spans="1:32" ht="27" customHeight="1">
      <c r="A18" s="110">
        <v>13</v>
      </c>
      <c r="B18" s="11" t="s">
        <v>293</v>
      </c>
      <c r="C18" s="37" t="s">
        <v>127</v>
      </c>
      <c r="D18" s="55" t="s">
        <v>58</v>
      </c>
      <c r="E18" s="57" t="s">
        <v>155</v>
      </c>
      <c r="F18" s="12" t="s">
        <v>156</v>
      </c>
      <c r="G18" s="12">
        <v>1</v>
      </c>
      <c r="H18" s="13">
        <v>25</v>
      </c>
      <c r="I18" s="34">
        <v>30000</v>
      </c>
      <c r="J18" s="5">
        <v>2030</v>
      </c>
      <c r="K18" s="15">
        <f>L18+3759+4632+4258+3104+2109+2902+3658</f>
        <v>26445</v>
      </c>
      <c r="L18" s="15">
        <f>2023</f>
        <v>2023</v>
      </c>
      <c r="M18" s="16">
        <f t="shared" si="0"/>
        <v>2023</v>
      </c>
      <c r="N18" s="16">
        <v>0</v>
      </c>
      <c r="O18" s="62">
        <f t="shared" si="1"/>
        <v>0</v>
      </c>
      <c r="P18" s="42">
        <f t="shared" si="2"/>
        <v>10</v>
      </c>
      <c r="Q18" s="43">
        <f t="shared" si="3"/>
        <v>14</v>
      </c>
      <c r="R18" s="7"/>
      <c r="S18" s="6"/>
      <c r="T18" s="17"/>
      <c r="U18" s="17"/>
      <c r="V18" s="18">
        <v>14</v>
      </c>
      <c r="W18" s="19"/>
      <c r="X18" s="17"/>
      <c r="Y18" s="20"/>
      <c r="Z18" s="20"/>
      <c r="AA18" s="21"/>
      <c r="AB18" s="8">
        <f t="shared" si="4"/>
        <v>0.99655172413793103</v>
      </c>
      <c r="AC18" s="9">
        <f t="shared" si="5"/>
        <v>0.41666666666666669</v>
      </c>
      <c r="AD18" s="10">
        <f t="shared" si="6"/>
        <v>0.41522988505747127</v>
      </c>
      <c r="AE18" s="39">
        <f t="shared" si="7"/>
        <v>0.17746225304558721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146</v>
      </c>
      <c r="D19" s="55" t="s">
        <v>58</v>
      </c>
      <c r="E19" s="57" t="s">
        <v>301</v>
      </c>
      <c r="F19" s="33" t="s">
        <v>258</v>
      </c>
      <c r="G19" s="36">
        <v>2</v>
      </c>
      <c r="H19" s="38">
        <v>25</v>
      </c>
      <c r="I19" s="34">
        <v>12000</v>
      </c>
      <c r="J19" s="5">
        <v>4350</v>
      </c>
      <c r="K19" s="15">
        <f>L19+8110+4344</f>
        <v>12454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>
        <v>20</v>
      </c>
      <c r="S19" s="6"/>
      <c r="T19" s="17"/>
      <c r="U19" s="17"/>
      <c r="V19" s="18"/>
      <c r="W19" s="19"/>
      <c r="X19" s="17"/>
      <c r="Y19" s="20"/>
      <c r="Z19" s="20"/>
      <c r="AA19" s="21">
        <v>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0.17746225304558721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421</v>
      </c>
      <c r="F20" s="12" t="s">
        <v>120</v>
      </c>
      <c r="G20" s="12">
        <v>4</v>
      </c>
      <c r="H20" s="38">
        <v>20</v>
      </c>
      <c r="I20" s="7">
        <v>300000</v>
      </c>
      <c r="J20" s="14">
        <v>21560</v>
      </c>
      <c r="K20" s="15">
        <f>L20+42812+51888+32020</f>
        <v>148280</v>
      </c>
      <c r="L20" s="15">
        <f>5390*4</f>
        <v>21560</v>
      </c>
      <c r="M20" s="16">
        <f t="shared" si="0"/>
        <v>21560</v>
      </c>
      <c r="N20" s="16">
        <v>0</v>
      </c>
      <c r="O20" s="62">
        <f t="shared" si="1"/>
        <v>0</v>
      </c>
      <c r="P20" s="42">
        <f t="shared" si="2"/>
        <v>10</v>
      </c>
      <c r="Q20" s="43">
        <f t="shared" si="3"/>
        <v>14</v>
      </c>
      <c r="R20" s="7"/>
      <c r="S20" s="6"/>
      <c r="T20" s="17"/>
      <c r="U20" s="17"/>
      <c r="V20" s="18">
        <v>14</v>
      </c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0.41666666666666669</v>
      </c>
      <c r="AD20" s="10">
        <f t="shared" si="6"/>
        <v>0.41666666666666669</v>
      </c>
      <c r="AE20" s="39">
        <f t="shared" si="7"/>
        <v>0.17746225304558721</v>
      </c>
      <c r="AF20" s="94">
        <f t="shared" si="8"/>
        <v>15</v>
      </c>
    </row>
    <row r="21" spans="1:32" ht="31.5" customHeight="1" thickBot="1">
      <c r="A21" s="430" t="s">
        <v>34</v>
      </c>
      <c r="B21" s="431"/>
      <c r="C21" s="431"/>
      <c r="D21" s="431"/>
      <c r="E21" s="431"/>
      <c r="F21" s="431"/>
      <c r="G21" s="431"/>
      <c r="H21" s="432"/>
      <c r="I21" s="25">
        <f t="shared" ref="I21:N21" si="10">SUM(I6:I20)</f>
        <v>511200</v>
      </c>
      <c r="J21" s="22">
        <f t="shared" si="10"/>
        <v>63700</v>
      </c>
      <c r="K21" s="23">
        <f t="shared" si="10"/>
        <v>336483</v>
      </c>
      <c r="L21" s="24">
        <f t="shared" si="10"/>
        <v>33936</v>
      </c>
      <c r="M21" s="23">
        <f t="shared" si="10"/>
        <v>33936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64</v>
      </c>
      <c r="Q21" s="46">
        <f t="shared" si="11"/>
        <v>296</v>
      </c>
      <c r="R21" s="26">
        <f t="shared" si="11"/>
        <v>20</v>
      </c>
      <c r="S21" s="27">
        <f t="shared" si="11"/>
        <v>48</v>
      </c>
      <c r="T21" s="27">
        <f t="shared" si="11"/>
        <v>0</v>
      </c>
      <c r="U21" s="27">
        <f t="shared" si="11"/>
        <v>0</v>
      </c>
      <c r="V21" s="28">
        <f t="shared" si="11"/>
        <v>80</v>
      </c>
      <c r="W21" s="29">
        <f t="shared" si="11"/>
        <v>96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52</v>
      </c>
      <c r="AB21" s="31">
        <f>SUM(AB6:AB20)/15</f>
        <v>0.46567411319176222</v>
      </c>
      <c r="AC21" s="4">
        <f>SUM(AC6:AC20)/15</f>
        <v>0.17777777777777776</v>
      </c>
      <c r="AD21" s="4">
        <f>SUM(AD6:AD20)/15</f>
        <v>0.17746225304558721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33" t="s">
        <v>46</v>
      </c>
      <c r="B48" s="433"/>
      <c r="C48" s="433"/>
      <c r="D48" s="433"/>
      <c r="E48" s="43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4" t="s">
        <v>526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6"/>
      <c r="N49" s="437" t="s">
        <v>536</v>
      </c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9"/>
    </row>
    <row r="50" spans="1:32" ht="27" customHeight="1">
      <c r="A50" s="440" t="s">
        <v>2</v>
      </c>
      <c r="B50" s="441"/>
      <c r="C50" s="248" t="s">
        <v>47</v>
      </c>
      <c r="D50" s="248" t="s">
        <v>48</v>
      </c>
      <c r="E50" s="248" t="s">
        <v>113</v>
      </c>
      <c r="F50" s="441" t="s">
        <v>112</v>
      </c>
      <c r="G50" s="441"/>
      <c r="H50" s="441"/>
      <c r="I50" s="441"/>
      <c r="J50" s="441"/>
      <c r="K50" s="441"/>
      <c r="L50" s="441"/>
      <c r="M50" s="442"/>
      <c r="N50" s="73" t="s">
        <v>117</v>
      </c>
      <c r="O50" s="248" t="s">
        <v>47</v>
      </c>
      <c r="P50" s="443" t="s">
        <v>48</v>
      </c>
      <c r="Q50" s="444"/>
      <c r="R50" s="443" t="s">
        <v>39</v>
      </c>
      <c r="S50" s="445"/>
      <c r="T50" s="445"/>
      <c r="U50" s="444"/>
      <c r="V50" s="443" t="s">
        <v>49</v>
      </c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57" t="s">
        <v>122</v>
      </c>
      <c r="B51" s="458"/>
      <c r="C51" s="249" t="s">
        <v>132</v>
      </c>
      <c r="D51" s="250" t="s">
        <v>524</v>
      </c>
      <c r="E51" s="249" t="s">
        <v>525</v>
      </c>
      <c r="F51" s="459" t="s">
        <v>527</v>
      </c>
      <c r="G51" s="459"/>
      <c r="H51" s="459"/>
      <c r="I51" s="459"/>
      <c r="J51" s="459"/>
      <c r="K51" s="459"/>
      <c r="L51" s="459"/>
      <c r="M51" s="460"/>
      <c r="N51" s="251" t="s">
        <v>537</v>
      </c>
      <c r="O51" s="74" t="s">
        <v>132</v>
      </c>
      <c r="P51" s="461" t="s">
        <v>524</v>
      </c>
      <c r="Q51" s="462"/>
      <c r="R51" s="463" t="s">
        <v>525</v>
      </c>
      <c r="S51" s="463"/>
      <c r="T51" s="463"/>
      <c r="U51" s="463"/>
      <c r="V51" s="459" t="s">
        <v>538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57" t="s">
        <v>122</v>
      </c>
      <c r="B52" s="458"/>
      <c r="C52" s="249" t="s">
        <v>528</v>
      </c>
      <c r="D52" s="250" t="s">
        <v>529</v>
      </c>
      <c r="E52" s="249" t="s">
        <v>530</v>
      </c>
      <c r="F52" s="459" t="s">
        <v>531</v>
      </c>
      <c r="G52" s="459"/>
      <c r="H52" s="459"/>
      <c r="I52" s="459"/>
      <c r="J52" s="459"/>
      <c r="K52" s="459"/>
      <c r="L52" s="459"/>
      <c r="M52" s="460"/>
      <c r="N52" s="251" t="s">
        <v>532</v>
      </c>
      <c r="O52" s="74" t="s">
        <v>533</v>
      </c>
      <c r="P52" s="461" t="s">
        <v>534</v>
      </c>
      <c r="Q52" s="462"/>
      <c r="R52" s="463" t="s">
        <v>540</v>
      </c>
      <c r="S52" s="463"/>
      <c r="T52" s="463"/>
      <c r="U52" s="463"/>
      <c r="V52" s="459" t="s">
        <v>538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64" t="s">
        <v>532</v>
      </c>
      <c r="B53" s="463"/>
      <c r="C53" s="250" t="s">
        <v>533</v>
      </c>
      <c r="D53" s="250" t="s">
        <v>534</v>
      </c>
      <c r="E53" s="249" t="s">
        <v>539</v>
      </c>
      <c r="F53" s="459" t="s">
        <v>535</v>
      </c>
      <c r="G53" s="459"/>
      <c r="H53" s="459"/>
      <c r="I53" s="459"/>
      <c r="J53" s="459"/>
      <c r="K53" s="459"/>
      <c r="L53" s="459"/>
      <c r="M53" s="460"/>
      <c r="N53" s="251" t="s">
        <v>122</v>
      </c>
      <c r="O53" s="74" t="s">
        <v>528</v>
      </c>
      <c r="P53" s="461" t="s">
        <v>541</v>
      </c>
      <c r="Q53" s="462"/>
      <c r="R53" s="463" t="s">
        <v>542</v>
      </c>
      <c r="S53" s="463"/>
      <c r="T53" s="463"/>
      <c r="U53" s="463"/>
      <c r="V53" s="459" t="s">
        <v>543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/>
      <c r="B54" s="458"/>
      <c r="C54" s="249"/>
      <c r="D54" s="250"/>
      <c r="E54" s="249"/>
      <c r="F54" s="459"/>
      <c r="G54" s="459"/>
      <c r="H54" s="459"/>
      <c r="I54" s="459"/>
      <c r="J54" s="459"/>
      <c r="K54" s="459"/>
      <c r="L54" s="459"/>
      <c r="M54" s="460"/>
      <c r="N54" s="251" t="s">
        <v>544</v>
      </c>
      <c r="O54" s="74" t="s">
        <v>545</v>
      </c>
      <c r="P54" s="461" t="s">
        <v>58</v>
      </c>
      <c r="Q54" s="462"/>
      <c r="R54" s="463" t="s">
        <v>546</v>
      </c>
      <c r="S54" s="463"/>
      <c r="T54" s="463"/>
      <c r="U54" s="463"/>
      <c r="V54" s="459" t="s">
        <v>460</v>
      </c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64"/>
      <c r="B55" s="463"/>
      <c r="C55" s="250"/>
      <c r="D55" s="250"/>
      <c r="E55" s="249"/>
      <c r="F55" s="459"/>
      <c r="G55" s="459"/>
      <c r="H55" s="459"/>
      <c r="I55" s="459"/>
      <c r="J55" s="459"/>
      <c r="K55" s="459"/>
      <c r="L55" s="459"/>
      <c r="M55" s="460"/>
      <c r="N55" s="251"/>
      <c r="O55" s="74"/>
      <c r="P55" s="461"/>
      <c r="Q55" s="462"/>
      <c r="R55" s="463"/>
      <c r="S55" s="463"/>
      <c r="T55" s="463"/>
      <c r="U55" s="463"/>
      <c r="V55" s="459"/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/>
      <c r="B56" s="463"/>
      <c r="C56" s="250"/>
      <c r="D56" s="250"/>
      <c r="E56" s="249"/>
      <c r="F56" s="459"/>
      <c r="G56" s="459"/>
      <c r="H56" s="459"/>
      <c r="I56" s="459"/>
      <c r="J56" s="459"/>
      <c r="K56" s="459"/>
      <c r="L56" s="459"/>
      <c r="M56" s="460"/>
      <c r="N56" s="251"/>
      <c r="O56" s="74"/>
      <c r="P56" s="463"/>
      <c r="Q56" s="463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250"/>
      <c r="D57" s="250"/>
      <c r="E57" s="249"/>
      <c r="F57" s="459"/>
      <c r="G57" s="459"/>
      <c r="H57" s="459"/>
      <c r="I57" s="459"/>
      <c r="J57" s="459"/>
      <c r="K57" s="459"/>
      <c r="L57" s="459"/>
      <c r="M57" s="460"/>
      <c r="N57" s="251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57"/>
      <c r="B58" s="458"/>
      <c r="C58" s="249"/>
      <c r="D58" s="250"/>
      <c r="E58" s="249"/>
      <c r="F58" s="459"/>
      <c r="G58" s="459"/>
      <c r="H58" s="459"/>
      <c r="I58" s="459"/>
      <c r="J58" s="459"/>
      <c r="K58" s="459"/>
      <c r="L58" s="459"/>
      <c r="M58" s="460"/>
      <c r="N58" s="251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250"/>
      <c r="D59" s="250"/>
      <c r="E59" s="250"/>
      <c r="F59" s="459"/>
      <c r="G59" s="459"/>
      <c r="H59" s="459"/>
      <c r="I59" s="459"/>
      <c r="J59" s="459"/>
      <c r="K59" s="459"/>
      <c r="L59" s="459"/>
      <c r="M59" s="460"/>
      <c r="N59" s="251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  <c r="AF59" s="94">
        <f>8*3000</f>
        <v>24000</v>
      </c>
    </row>
    <row r="60" spans="1:32" ht="27" customHeight="1" thickBot="1">
      <c r="A60" s="465"/>
      <c r="B60" s="466"/>
      <c r="C60" s="253"/>
      <c r="D60" s="253"/>
      <c r="E60" s="253"/>
      <c r="F60" s="467"/>
      <c r="G60" s="467"/>
      <c r="H60" s="467"/>
      <c r="I60" s="467"/>
      <c r="J60" s="467"/>
      <c r="K60" s="467"/>
      <c r="L60" s="467"/>
      <c r="M60" s="468"/>
      <c r="N60" s="252"/>
      <c r="O60" s="121"/>
      <c r="P60" s="466"/>
      <c r="Q60" s="466"/>
      <c r="R60" s="466"/>
      <c r="S60" s="466"/>
      <c r="T60" s="466"/>
      <c r="U60" s="466"/>
      <c r="V60" s="467"/>
      <c r="W60" s="467"/>
      <c r="X60" s="467"/>
      <c r="Y60" s="467"/>
      <c r="Z60" s="467"/>
      <c r="AA60" s="467"/>
      <c r="AB60" s="467"/>
      <c r="AC60" s="467"/>
      <c r="AD60" s="468"/>
      <c r="AF60" s="94">
        <f>16*3000</f>
        <v>48000</v>
      </c>
    </row>
    <row r="61" spans="1:32" ht="27.75" thickBot="1">
      <c r="A61" s="469" t="s">
        <v>547</v>
      </c>
      <c r="B61" s="469"/>
      <c r="C61" s="469"/>
      <c r="D61" s="469"/>
      <c r="E61" s="469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70" t="s">
        <v>118</v>
      </c>
      <c r="B62" s="471"/>
      <c r="C62" s="254" t="s">
        <v>2</v>
      </c>
      <c r="D62" s="254" t="s">
        <v>38</v>
      </c>
      <c r="E62" s="254" t="s">
        <v>3</v>
      </c>
      <c r="F62" s="471" t="s">
        <v>115</v>
      </c>
      <c r="G62" s="471"/>
      <c r="H62" s="471"/>
      <c r="I62" s="471"/>
      <c r="J62" s="471"/>
      <c r="K62" s="471" t="s">
        <v>40</v>
      </c>
      <c r="L62" s="471"/>
      <c r="M62" s="254" t="s">
        <v>41</v>
      </c>
      <c r="N62" s="471" t="s">
        <v>42</v>
      </c>
      <c r="O62" s="471"/>
      <c r="P62" s="472" t="s">
        <v>43</v>
      </c>
      <c r="Q62" s="473"/>
      <c r="R62" s="472" t="s">
        <v>44</v>
      </c>
      <c r="S62" s="474"/>
      <c r="T62" s="474"/>
      <c r="U62" s="474"/>
      <c r="V62" s="474"/>
      <c r="W62" s="474"/>
      <c r="X62" s="474"/>
      <c r="Y62" s="474"/>
      <c r="Z62" s="474"/>
      <c r="AA62" s="473"/>
      <c r="AB62" s="471" t="s">
        <v>45</v>
      </c>
      <c r="AC62" s="471"/>
      <c r="AD62" s="475"/>
      <c r="AF62" s="94">
        <f>SUM(AF59:AF61)</f>
        <v>96000</v>
      </c>
    </row>
    <row r="63" spans="1:32" ht="25.5" customHeight="1">
      <c r="A63" s="476">
        <v>1</v>
      </c>
      <c r="B63" s="477"/>
      <c r="C63" s="133" t="s">
        <v>221</v>
      </c>
      <c r="D63" s="257"/>
      <c r="E63" s="255" t="s">
        <v>284</v>
      </c>
      <c r="F63" s="478" t="s">
        <v>286</v>
      </c>
      <c r="G63" s="479"/>
      <c r="H63" s="479"/>
      <c r="I63" s="479"/>
      <c r="J63" s="479"/>
      <c r="K63" s="479" t="s">
        <v>287</v>
      </c>
      <c r="L63" s="479"/>
      <c r="M63" s="54" t="s">
        <v>548</v>
      </c>
      <c r="N63" s="479">
        <v>12</v>
      </c>
      <c r="O63" s="479"/>
      <c r="P63" s="480">
        <v>200</v>
      </c>
      <c r="Q63" s="480"/>
      <c r="R63" s="459"/>
      <c r="S63" s="459"/>
      <c r="T63" s="459"/>
      <c r="U63" s="459"/>
      <c r="V63" s="459"/>
      <c r="W63" s="459"/>
      <c r="X63" s="459"/>
      <c r="Y63" s="459"/>
      <c r="Z63" s="459"/>
      <c r="AA63" s="459"/>
      <c r="AB63" s="479"/>
      <c r="AC63" s="479"/>
      <c r="AD63" s="481"/>
      <c r="AF63" s="53"/>
    </row>
    <row r="64" spans="1:32" ht="25.5" customHeight="1">
      <c r="A64" s="476">
        <v>2</v>
      </c>
      <c r="B64" s="477"/>
      <c r="C64" s="133"/>
      <c r="D64" s="257"/>
      <c r="E64" s="255"/>
      <c r="F64" s="478"/>
      <c r="G64" s="479"/>
      <c r="H64" s="479"/>
      <c r="I64" s="479"/>
      <c r="J64" s="479"/>
      <c r="K64" s="479"/>
      <c r="L64" s="479"/>
      <c r="M64" s="54"/>
      <c r="N64" s="479"/>
      <c r="O64" s="479"/>
      <c r="P64" s="480"/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</row>
    <row r="65" spans="1:32" ht="25.5" customHeight="1">
      <c r="A65" s="476">
        <v>3</v>
      </c>
      <c r="B65" s="477"/>
      <c r="C65" s="133"/>
      <c r="D65" s="257"/>
      <c r="E65" s="255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4</v>
      </c>
      <c r="B66" s="477"/>
      <c r="C66" s="133"/>
      <c r="D66" s="257"/>
      <c r="E66" s="255"/>
      <c r="F66" s="479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5</v>
      </c>
      <c r="B67" s="477"/>
      <c r="C67" s="133"/>
      <c r="D67" s="257"/>
      <c r="E67" s="255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6</v>
      </c>
      <c r="B68" s="477"/>
      <c r="C68" s="133"/>
      <c r="D68" s="257"/>
      <c r="E68" s="255"/>
      <c r="F68" s="478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7</v>
      </c>
      <c r="B69" s="477"/>
      <c r="C69" s="133"/>
      <c r="D69" s="257"/>
      <c r="E69" s="255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8</v>
      </c>
      <c r="B70" s="477"/>
      <c r="C70" s="133"/>
      <c r="D70" s="257"/>
      <c r="E70" s="255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6.25" customHeight="1" thickBot="1">
      <c r="A71" s="482" t="s">
        <v>549</v>
      </c>
      <c r="B71" s="482"/>
      <c r="C71" s="482"/>
      <c r="D71" s="482"/>
      <c r="E71" s="48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83" t="s">
        <v>118</v>
      </c>
      <c r="B72" s="484"/>
      <c r="C72" s="256" t="s">
        <v>2</v>
      </c>
      <c r="D72" s="256" t="s">
        <v>38</v>
      </c>
      <c r="E72" s="256" t="s">
        <v>3</v>
      </c>
      <c r="F72" s="484" t="s">
        <v>39</v>
      </c>
      <c r="G72" s="484"/>
      <c r="H72" s="484"/>
      <c r="I72" s="484"/>
      <c r="J72" s="484"/>
      <c r="K72" s="485" t="s">
        <v>60</v>
      </c>
      <c r="L72" s="486"/>
      <c r="M72" s="486"/>
      <c r="N72" s="486"/>
      <c r="O72" s="486"/>
      <c r="P72" s="486"/>
      <c r="Q72" s="486"/>
      <c r="R72" s="486"/>
      <c r="S72" s="487"/>
      <c r="T72" s="484" t="s">
        <v>50</v>
      </c>
      <c r="U72" s="484"/>
      <c r="V72" s="485" t="s">
        <v>51</v>
      </c>
      <c r="W72" s="487"/>
      <c r="X72" s="486" t="s">
        <v>52</v>
      </c>
      <c r="Y72" s="486"/>
      <c r="Z72" s="486"/>
      <c r="AA72" s="486"/>
      <c r="AB72" s="486"/>
      <c r="AC72" s="486"/>
      <c r="AD72" s="488"/>
      <c r="AF72" s="53"/>
    </row>
    <row r="73" spans="1:32" ht="33.75" customHeight="1">
      <c r="A73" s="497">
        <v>1</v>
      </c>
      <c r="B73" s="498"/>
      <c r="C73" s="258" t="s">
        <v>210</v>
      </c>
      <c r="D73" s="258"/>
      <c r="E73" s="71" t="s">
        <v>407</v>
      </c>
      <c r="F73" s="499" t="s">
        <v>408</v>
      </c>
      <c r="G73" s="500"/>
      <c r="H73" s="500"/>
      <c r="I73" s="500"/>
      <c r="J73" s="501"/>
      <c r="K73" s="502" t="s">
        <v>465</v>
      </c>
      <c r="L73" s="503"/>
      <c r="M73" s="503"/>
      <c r="N73" s="503"/>
      <c r="O73" s="503"/>
      <c r="P73" s="503"/>
      <c r="Q73" s="503"/>
      <c r="R73" s="503"/>
      <c r="S73" s="504"/>
      <c r="T73" s="505">
        <v>42865</v>
      </c>
      <c r="U73" s="506"/>
      <c r="V73" s="507"/>
      <c r="W73" s="507"/>
      <c r="X73" s="508"/>
      <c r="Y73" s="508"/>
      <c r="Z73" s="508"/>
      <c r="AA73" s="508"/>
      <c r="AB73" s="508"/>
      <c r="AC73" s="508"/>
      <c r="AD73" s="509"/>
      <c r="AF73" s="53"/>
    </row>
    <row r="74" spans="1:32" ht="30" customHeight="1">
      <c r="A74" s="489">
        <f>A73+1</f>
        <v>2</v>
      </c>
      <c r="B74" s="490"/>
      <c r="C74" s="257" t="s">
        <v>504</v>
      </c>
      <c r="D74" s="257"/>
      <c r="E74" s="35" t="s">
        <v>505</v>
      </c>
      <c r="F74" s="490"/>
      <c r="G74" s="490"/>
      <c r="H74" s="490"/>
      <c r="I74" s="490"/>
      <c r="J74" s="490"/>
      <c r="K74" s="491" t="s">
        <v>469</v>
      </c>
      <c r="L74" s="492"/>
      <c r="M74" s="492"/>
      <c r="N74" s="492"/>
      <c r="O74" s="492"/>
      <c r="P74" s="492"/>
      <c r="Q74" s="492"/>
      <c r="R74" s="492"/>
      <c r="S74" s="493"/>
      <c r="T74" s="494">
        <v>42866</v>
      </c>
      <c r="U74" s="494"/>
      <c r="V74" s="494"/>
      <c r="W74" s="494"/>
      <c r="X74" s="495"/>
      <c r="Y74" s="495"/>
      <c r="Z74" s="495"/>
      <c r="AA74" s="495"/>
      <c r="AB74" s="495"/>
      <c r="AC74" s="495"/>
      <c r="AD74" s="496"/>
      <c r="AF74" s="53"/>
    </row>
    <row r="75" spans="1:32" ht="30" customHeight="1">
      <c r="A75" s="489">
        <f t="shared" ref="A75:A81" si="12">A74+1</f>
        <v>3</v>
      </c>
      <c r="B75" s="490"/>
      <c r="C75" s="257" t="s">
        <v>201</v>
      </c>
      <c r="D75" s="257"/>
      <c r="E75" s="35" t="s">
        <v>520</v>
      </c>
      <c r="F75" s="490" t="s">
        <v>521</v>
      </c>
      <c r="G75" s="490"/>
      <c r="H75" s="490"/>
      <c r="I75" s="490"/>
      <c r="J75" s="490"/>
      <c r="K75" s="491" t="s">
        <v>522</v>
      </c>
      <c r="L75" s="492"/>
      <c r="M75" s="492"/>
      <c r="N75" s="492"/>
      <c r="O75" s="492"/>
      <c r="P75" s="492"/>
      <c r="Q75" s="492"/>
      <c r="R75" s="492"/>
      <c r="S75" s="493"/>
      <c r="T75" s="494">
        <v>42867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si="12"/>
        <v>4</v>
      </c>
      <c r="B76" s="490"/>
      <c r="C76" s="257"/>
      <c r="D76" s="257"/>
      <c r="E76" s="35"/>
      <c r="F76" s="490"/>
      <c r="G76" s="490"/>
      <c r="H76" s="490"/>
      <c r="I76" s="490"/>
      <c r="J76" s="490"/>
      <c r="K76" s="491"/>
      <c r="L76" s="492"/>
      <c r="M76" s="492"/>
      <c r="N76" s="492"/>
      <c r="O76" s="492"/>
      <c r="P76" s="492"/>
      <c r="Q76" s="492"/>
      <c r="R76" s="492"/>
      <c r="S76" s="493"/>
      <c r="T76" s="494"/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12"/>
        <v>5</v>
      </c>
      <c r="B77" s="490"/>
      <c r="C77" s="257"/>
      <c r="D77" s="257"/>
      <c r="E77" s="35"/>
      <c r="F77" s="490"/>
      <c r="G77" s="490"/>
      <c r="H77" s="490"/>
      <c r="I77" s="490"/>
      <c r="J77" s="490"/>
      <c r="K77" s="491"/>
      <c r="L77" s="492"/>
      <c r="M77" s="492"/>
      <c r="N77" s="492"/>
      <c r="O77" s="492"/>
      <c r="P77" s="492"/>
      <c r="Q77" s="492"/>
      <c r="R77" s="492"/>
      <c r="S77" s="493"/>
      <c r="T77" s="494"/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12"/>
        <v>6</v>
      </c>
      <c r="B78" s="490"/>
      <c r="C78" s="257"/>
      <c r="D78" s="257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12"/>
        <v>7</v>
      </c>
      <c r="B79" s="490"/>
      <c r="C79" s="257"/>
      <c r="D79" s="257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12"/>
        <v>8</v>
      </c>
      <c r="B80" s="490"/>
      <c r="C80" s="257"/>
      <c r="D80" s="257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12"/>
        <v>9</v>
      </c>
      <c r="B81" s="490"/>
      <c r="C81" s="257"/>
      <c r="D81" s="257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6" thickBot="1">
      <c r="A82" s="482" t="s">
        <v>550</v>
      </c>
      <c r="B82" s="482"/>
      <c r="C82" s="482"/>
      <c r="D82" s="482"/>
      <c r="E82" s="48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510" t="s">
        <v>37</v>
      </c>
      <c r="B83" s="511"/>
      <c r="C83" s="511" t="s">
        <v>53</v>
      </c>
      <c r="D83" s="511"/>
      <c r="E83" s="511" t="s">
        <v>54</v>
      </c>
      <c r="F83" s="511"/>
      <c r="G83" s="511"/>
      <c r="H83" s="511"/>
      <c r="I83" s="511"/>
      <c r="J83" s="511"/>
      <c r="K83" s="511" t="s">
        <v>55</v>
      </c>
      <c r="L83" s="511"/>
      <c r="M83" s="511"/>
      <c r="N83" s="511"/>
      <c r="O83" s="511"/>
      <c r="P83" s="511"/>
      <c r="Q83" s="511"/>
      <c r="R83" s="511"/>
      <c r="S83" s="511"/>
      <c r="T83" s="511" t="s">
        <v>56</v>
      </c>
      <c r="U83" s="511"/>
      <c r="V83" s="511" t="s">
        <v>57</v>
      </c>
      <c r="W83" s="511"/>
      <c r="X83" s="511"/>
      <c r="Y83" s="511" t="s">
        <v>52</v>
      </c>
      <c r="Z83" s="511"/>
      <c r="AA83" s="511"/>
      <c r="AB83" s="511"/>
      <c r="AC83" s="511"/>
      <c r="AD83" s="512"/>
      <c r="AF83" s="53"/>
    </row>
    <row r="84" spans="1:32" ht="30.75" customHeight="1">
      <c r="A84" s="513">
        <v>1</v>
      </c>
      <c r="B84" s="514"/>
      <c r="C84" s="515">
        <v>14</v>
      </c>
      <c r="D84" s="515"/>
      <c r="E84" s="515" t="s">
        <v>551</v>
      </c>
      <c r="F84" s="515"/>
      <c r="G84" s="515"/>
      <c r="H84" s="515"/>
      <c r="I84" s="515"/>
      <c r="J84" s="515"/>
      <c r="K84" s="515" t="s">
        <v>554</v>
      </c>
      <c r="L84" s="515"/>
      <c r="M84" s="515"/>
      <c r="N84" s="515"/>
      <c r="O84" s="515"/>
      <c r="P84" s="515"/>
      <c r="Q84" s="515"/>
      <c r="R84" s="515"/>
      <c r="S84" s="515"/>
      <c r="T84" s="515" t="s">
        <v>552</v>
      </c>
      <c r="U84" s="515"/>
      <c r="V84" s="516" t="s">
        <v>553</v>
      </c>
      <c r="W84" s="516"/>
      <c r="X84" s="516"/>
      <c r="Y84" s="517"/>
      <c r="Z84" s="517"/>
      <c r="AA84" s="517"/>
      <c r="AB84" s="517"/>
      <c r="AC84" s="517"/>
      <c r="AD84" s="518"/>
      <c r="AF84" s="53"/>
    </row>
    <row r="85" spans="1:32" ht="30.75" customHeight="1">
      <c r="A85" s="489">
        <v>2</v>
      </c>
      <c r="B85" s="490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 thickBot="1">
      <c r="A86" s="519">
        <v>3</v>
      </c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1"/>
      <c r="Z86" s="521"/>
      <c r="AA86" s="521"/>
      <c r="AB86" s="521"/>
      <c r="AC86" s="521"/>
      <c r="AD86" s="522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L97" sqref="L9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555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270" t="s">
        <v>17</v>
      </c>
      <c r="L5" s="270" t="s">
        <v>18</v>
      </c>
      <c r="M5" s="270" t="s">
        <v>19</v>
      </c>
      <c r="N5" s="27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0.55995842175297195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127</v>
      </c>
      <c r="D7" s="55" t="s">
        <v>178</v>
      </c>
      <c r="E7" s="56" t="s">
        <v>179</v>
      </c>
      <c r="F7" s="12" t="s">
        <v>180</v>
      </c>
      <c r="G7" s="36">
        <v>2</v>
      </c>
      <c r="H7" s="38">
        <v>25</v>
      </c>
      <c r="I7" s="7">
        <v>40000</v>
      </c>
      <c r="J7" s="14">
        <v>3050</v>
      </c>
      <c r="K7" s="15">
        <f>L7+7596+10920+10616+10866+3048</f>
        <v>43046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0.55995842175297195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122</v>
      </c>
      <c r="D8" s="55" t="s">
        <v>474</v>
      </c>
      <c r="E8" s="57" t="s">
        <v>475</v>
      </c>
      <c r="F8" s="12" t="s">
        <v>128</v>
      </c>
      <c r="G8" s="36" t="s">
        <v>476</v>
      </c>
      <c r="H8" s="38">
        <v>25</v>
      </c>
      <c r="I8" s="7">
        <v>19000</v>
      </c>
      <c r="J8" s="14">
        <v>6690</v>
      </c>
      <c r="K8" s="15">
        <f>L8+3811+7483+3425</f>
        <v>21406</v>
      </c>
      <c r="L8" s="15">
        <f>3930+2757</f>
        <v>6687</v>
      </c>
      <c r="M8" s="16">
        <f t="shared" si="0"/>
        <v>6687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0.99955156950672641</v>
      </c>
      <c r="AC8" s="9">
        <f t="shared" si="5"/>
        <v>1</v>
      </c>
      <c r="AD8" s="10">
        <f t="shared" si="6"/>
        <v>0.99955156950672641</v>
      </c>
      <c r="AE8" s="39">
        <f t="shared" si="7"/>
        <v>0.55995842175297195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144</v>
      </c>
      <c r="E9" s="57" t="s">
        <v>525</v>
      </c>
      <c r="F9" s="12">
        <v>7301</v>
      </c>
      <c r="G9" s="12">
        <v>1</v>
      </c>
      <c r="H9" s="13">
        <v>25</v>
      </c>
      <c r="I9" s="34">
        <v>1000</v>
      </c>
      <c r="J9" s="5">
        <v>4620</v>
      </c>
      <c r="K9" s="15">
        <f>L9+507</f>
        <v>5118</v>
      </c>
      <c r="L9" s="15">
        <f>2647+1964</f>
        <v>4611</v>
      </c>
      <c r="M9" s="16">
        <f t="shared" si="0"/>
        <v>4611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0.99805194805194808</v>
      </c>
      <c r="AC9" s="9">
        <f t="shared" si="5"/>
        <v>1</v>
      </c>
      <c r="AD9" s="10">
        <f t="shared" si="6"/>
        <v>0.99805194805194808</v>
      </c>
      <c r="AE9" s="39">
        <f t="shared" si="7"/>
        <v>0.55995842175297195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122</v>
      </c>
      <c r="D10" s="55" t="s">
        <v>556</v>
      </c>
      <c r="E10" s="57" t="s">
        <v>557</v>
      </c>
      <c r="F10" s="12" t="s">
        <v>558</v>
      </c>
      <c r="G10" s="12">
        <v>1</v>
      </c>
      <c r="H10" s="13">
        <v>25</v>
      </c>
      <c r="I10" s="34">
        <v>3000</v>
      </c>
      <c r="J10" s="14">
        <v>3185</v>
      </c>
      <c r="K10" s="15">
        <f>L10</f>
        <v>3184</v>
      </c>
      <c r="L10" s="15">
        <f>324+2408+452</f>
        <v>3184</v>
      </c>
      <c r="M10" s="16">
        <f t="shared" si="0"/>
        <v>3184</v>
      </c>
      <c r="N10" s="16">
        <v>0</v>
      </c>
      <c r="O10" s="62">
        <f t="shared" si="1"/>
        <v>0</v>
      </c>
      <c r="P10" s="42">
        <f t="shared" si="2"/>
        <v>19</v>
      </c>
      <c r="Q10" s="43">
        <f t="shared" si="3"/>
        <v>5</v>
      </c>
      <c r="R10" s="7"/>
      <c r="S10" s="6">
        <v>5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0.99968602825745678</v>
      </c>
      <c r="AC10" s="9">
        <f t="shared" si="5"/>
        <v>0.79166666666666663</v>
      </c>
      <c r="AD10" s="10">
        <f t="shared" si="6"/>
        <v>0.79141810570381987</v>
      </c>
      <c r="AE10" s="39">
        <f t="shared" si="7"/>
        <v>0.55995842175297195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357</v>
      </c>
      <c r="F11" s="12" t="s">
        <v>358</v>
      </c>
      <c r="G11" s="12">
        <v>1</v>
      </c>
      <c r="H11" s="13">
        <v>25</v>
      </c>
      <c r="I11" s="34">
        <v>25000</v>
      </c>
      <c r="J11" s="14">
        <v>2070</v>
      </c>
      <c r="K11" s="15">
        <f>L11+3973+5965+4763+6085+2069</f>
        <v>28102</v>
      </c>
      <c r="L11" s="15">
        <f>3019+470+1758</f>
        <v>5247</v>
      </c>
      <c r="M11" s="16">
        <f t="shared" si="0"/>
        <v>5247</v>
      </c>
      <c r="N11" s="16">
        <v>0</v>
      </c>
      <c r="O11" s="62">
        <f t="shared" si="1"/>
        <v>0</v>
      </c>
      <c r="P11" s="42">
        <f t="shared" si="2"/>
        <v>22</v>
      </c>
      <c r="Q11" s="43">
        <f t="shared" si="3"/>
        <v>2</v>
      </c>
      <c r="R11" s="7"/>
      <c r="S11" s="6">
        <v>2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2.534782608695652</v>
      </c>
      <c r="AC11" s="9">
        <f t="shared" si="5"/>
        <v>0.91666666666666663</v>
      </c>
      <c r="AD11" s="10">
        <f t="shared" si="6"/>
        <v>2.323550724637681</v>
      </c>
      <c r="AE11" s="39">
        <f t="shared" si="7"/>
        <v>0.55995842175297195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411</v>
      </c>
      <c r="D12" s="55" t="s">
        <v>381</v>
      </c>
      <c r="E12" s="57" t="s">
        <v>382</v>
      </c>
      <c r="F12" s="12" t="s">
        <v>128</v>
      </c>
      <c r="G12" s="12">
        <v>1</v>
      </c>
      <c r="H12" s="13">
        <v>25</v>
      </c>
      <c r="I12" s="34">
        <v>1000</v>
      </c>
      <c r="J12" s="5">
        <v>2320</v>
      </c>
      <c r="K12" s="15">
        <f>L12+2316</f>
        <v>2316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0.55995842175297195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381</v>
      </c>
      <c r="E13" s="57" t="s">
        <v>481</v>
      </c>
      <c r="F13" s="12">
        <v>7301</v>
      </c>
      <c r="G13" s="12">
        <v>1</v>
      </c>
      <c r="H13" s="13">
        <v>25</v>
      </c>
      <c r="I13" s="7">
        <v>19000</v>
      </c>
      <c r="J13" s="14">
        <v>2810</v>
      </c>
      <c r="K13" s="15">
        <f>L13+2220+5017+1817</f>
        <v>11857</v>
      </c>
      <c r="L13" s="15">
        <f>2477+326</f>
        <v>2803</v>
      </c>
      <c r="M13" s="16">
        <f t="shared" si="0"/>
        <v>2803</v>
      </c>
      <c r="N13" s="16">
        <v>0</v>
      </c>
      <c r="O13" s="62">
        <f t="shared" si="1"/>
        <v>0</v>
      </c>
      <c r="P13" s="42">
        <f t="shared" si="2"/>
        <v>18</v>
      </c>
      <c r="Q13" s="43">
        <f t="shared" si="3"/>
        <v>6</v>
      </c>
      <c r="R13" s="7"/>
      <c r="S13" s="6">
        <v>6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0.99750889679715304</v>
      </c>
      <c r="AC13" s="9">
        <f t="shared" si="5"/>
        <v>0.75</v>
      </c>
      <c r="AD13" s="10">
        <f t="shared" si="6"/>
        <v>0.74813167259786484</v>
      </c>
      <c r="AE13" s="39">
        <f t="shared" si="7"/>
        <v>0.55995842175297195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559</v>
      </c>
      <c r="E14" s="57" t="s">
        <v>560</v>
      </c>
      <c r="F14" s="33" t="s">
        <v>561</v>
      </c>
      <c r="G14" s="36">
        <v>1</v>
      </c>
      <c r="H14" s="38">
        <v>50</v>
      </c>
      <c r="I14" s="7">
        <v>100</v>
      </c>
      <c r="J14" s="5">
        <v>4790</v>
      </c>
      <c r="K14" s="15">
        <f>L14</f>
        <v>0</v>
      </c>
      <c r="L14" s="15">
        <f>0</f>
        <v>0</v>
      </c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0.55995842175297195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154</v>
      </c>
      <c r="D15" s="55" t="s">
        <v>284</v>
      </c>
      <c r="E15" s="57" t="s">
        <v>430</v>
      </c>
      <c r="F15" s="12" t="s">
        <v>424</v>
      </c>
      <c r="G15" s="12">
        <v>1</v>
      </c>
      <c r="H15" s="13">
        <v>25</v>
      </c>
      <c r="I15" s="34">
        <v>200</v>
      </c>
      <c r="J15" s="5">
        <v>300</v>
      </c>
      <c r="K15" s="15">
        <f>L15+2138+3980+300</f>
        <v>6418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/>
      <c r="X15" s="17"/>
      <c r="Y15" s="20"/>
      <c r="Z15" s="20"/>
      <c r="AA15" s="21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0.55995842175297195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122</v>
      </c>
      <c r="D16" s="55" t="s">
        <v>562</v>
      </c>
      <c r="E16" s="57" t="s">
        <v>563</v>
      </c>
      <c r="F16" s="12">
        <v>7301</v>
      </c>
      <c r="G16" s="36">
        <v>1</v>
      </c>
      <c r="H16" s="38">
        <v>25</v>
      </c>
      <c r="I16" s="7">
        <v>3000</v>
      </c>
      <c r="J16" s="14">
        <v>3280</v>
      </c>
      <c r="K16" s="15">
        <f>L16</f>
        <v>3278</v>
      </c>
      <c r="L16" s="15">
        <f>696+2582</f>
        <v>3278</v>
      </c>
      <c r="M16" s="16">
        <f t="shared" si="0"/>
        <v>3278</v>
      </c>
      <c r="N16" s="16">
        <v>0</v>
      </c>
      <c r="O16" s="62">
        <f t="shared" si="1"/>
        <v>0</v>
      </c>
      <c r="P16" s="42">
        <f t="shared" si="2"/>
        <v>20</v>
      </c>
      <c r="Q16" s="43">
        <f t="shared" si="3"/>
        <v>4</v>
      </c>
      <c r="R16" s="7"/>
      <c r="S16" s="6">
        <v>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0.99939024390243902</v>
      </c>
      <c r="AC16" s="9">
        <f t="shared" si="5"/>
        <v>0.83333333333333337</v>
      </c>
      <c r="AD16" s="10">
        <f t="shared" si="6"/>
        <v>0.83282520325203258</v>
      </c>
      <c r="AE16" s="39">
        <f t="shared" si="7"/>
        <v>0.55995842175297195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411</v>
      </c>
      <c r="D17" s="55" t="s">
        <v>388</v>
      </c>
      <c r="E17" s="56" t="s">
        <v>389</v>
      </c>
      <c r="F17" s="12">
        <v>8301</v>
      </c>
      <c r="G17" s="12">
        <v>1</v>
      </c>
      <c r="H17" s="13">
        <v>25</v>
      </c>
      <c r="I17" s="34">
        <v>8000</v>
      </c>
      <c r="J17" s="5">
        <v>4730</v>
      </c>
      <c r="K17" s="15">
        <f>L17+3739+4348+4721</f>
        <v>12808</v>
      </c>
      <c r="L17" s="15">
        <v>0</v>
      </c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/>
      <c r="X17" s="17"/>
      <c r="Y17" s="20"/>
      <c r="Z17" s="20"/>
      <c r="AA17" s="21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0.55995842175297195</v>
      </c>
      <c r="AF17" s="94">
        <f t="shared" si="8"/>
        <v>12</v>
      </c>
    </row>
    <row r="18" spans="1:32" ht="27" customHeight="1">
      <c r="A18" s="110">
        <v>13</v>
      </c>
      <c r="B18" s="11" t="s">
        <v>293</v>
      </c>
      <c r="C18" s="37" t="s">
        <v>127</v>
      </c>
      <c r="D18" s="55" t="s">
        <v>58</v>
      </c>
      <c r="E18" s="57" t="s">
        <v>155</v>
      </c>
      <c r="F18" s="12" t="s">
        <v>156</v>
      </c>
      <c r="G18" s="12">
        <v>1</v>
      </c>
      <c r="H18" s="13">
        <v>25</v>
      </c>
      <c r="I18" s="34">
        <v>30000</v>
      </c>
      <c r="J18" s="5">
        <v>2870</v>
      </c>
      <c r="K18" s="15">
        <f>L18+3759+4632+4258+3104+2109+2902+3658+2023</f>
        <v>29306</v>
      </c>
      <c r="L18" s="15">
        <f>1976+885</f>
        <v>2861</v>
      </c>
      <c r="M18" s="16">
        <f t="shared" si="0"/>
        <v>2861</v>
      </c>
      <c r="N18" s="16">
        <v>0</v>
      </c>
      <c r="O18" s="62">
        <f t="shared" si="1"/>
        <v>0</v>
      </c>
      <c r="P18" s="42">
        <f t="shared" si="2"/>
        <v>18</v>
      </c>
      <c r="Q18" s="43">
        <f t="shared" si="3"/>
        <v>6</v>
      </c>
      <c r="R18" s="7"/>
      <c r="S18" s="6">
        <v>6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0.99686411149825782</v>
      </c>
      <c r="AC18" s="9">
        <f t="shared" si="5"/>
        <v>0.75</v>
      </c>
      <c r="AD18" s="10">
        <f t="shared" si="6"/>
        <v>0.74764808362369339</v>
      </c>
      <c r="AE18" s="39">
        <f t="shared" si="7"/>
        <v>0.55995842175297195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146</v>
      </c>
      <c r="D19" s="55" t="s">
        <v>58</v>
      </c>
      <c r="E19" s="57" t="s">
        <v>301</v>
      </c>
      <c r="F19" s="33" t="s">
        <v>137</v>
      </c>
      <c r="G19" s="36">
        <v>2</v>
      </c>
      <c r="H19" s="38">
        <v>25</v>
      </c>
      <c r="I19" s="34">
        <v>12000</v>
      </c>
      <c r="J19" s="5">
        <v>4350</v>
      </c>
      <c r="K19" s="15">
        <f>L19+8110+4344</f>
        <v>12454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28</v>
      </c>
      <c r="R19" s="7">
        <v>24</v>
      </c>
      <c r="S19" s="6"/>
      <c r="T19" s="17"/>
      <c r="U19" s="17"/>
      <c r="V19" s="18"/>
      <c r="W19" s="19"/>
      <c r="X19" s="17"/>
      <c r="Y19" s="20"/>
      <c r="Z19" s="20"/>
      <c r="AA19" s="21">
        <v>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0.55995842175297195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421</v>
      </c>
      <c r="F20" s="12" t="s">
        <v>120</v>
      </c>
      <c r="G20" s="12">
        <v>4</v>
      </c>
      <c r="H20" s="38">
        <v>20</v>
      </c>
      <c r="I20" s="7">
        <v>300000</v>
      </c>
      <c r="J20" s="14">
        <v>42810</v>
      </c>
      <c r="K20" s="15">
        <f>L20+42812+51888+32020+21560</f>
        <v>191084</v>
      </c>
      <c r="L20" s="15">
        <f>6330*4+4371*4</f>
        <v>42804</v>
      </c>
      <c r="M20" s="16">
        <f t="shared" si="0"/>
        <v>42804</v>
      </c>
      <c r="N20" s="16">
        <v>0</v>
      </c>
      <c r="O20" s="62">
        <f t="shared" si="1"/>
        <v>0</v>
      </c>
      <c r="P20" s="42">
        <f t="shared" si="2"/>
        <v>23</v>
      </c>
      <c r="Q20" s="43">
        <f t="shared" si="3"/>
        <v>1</v>
      </c>
      <c r="R20" s="7"/>
      <c r="S20" s="6"/>
      <c r="T20" s="17"/>
      <c r="U20" s="17"/>
      <c r="V20" s="18">
        <v>1</v>
      </c>
      <c r="W20" s="19"/>
      <c r="X20" s="17"/>
      <c r="Y20" s="20"/>
      <c r="Z20" s="20"/>
      <c r="AA20" s="21"/>
      <c r="AB20" s="8">
        <f t="shared" si="4"/>
        <v>0.99985984583041343</v>
      </c>
      <c r="AC20" s="9">
        <f t="shared" si="5"/>
        <v>0.95833333333333337</v>
      </c>
      <c r="AD20" s="10">
        <f t="shared" si="6"/>
        <v>0.95819901892081294</v>
      </c>
      <c r="AE20" s="39">
        <f t="shared" si="7"/>
        <v>0.55995842175297195</v>
      </c>
      <c r="AF20" s="94">
        <f t="shared" si="8"/>
        <v>15</v>
      </c>
    </row>
    <row r="21" spans="1:32" ht="31.5" customHeight="1" thickBot="1">
      <c r="A21" s="430" t="s">
        <v>34</v>
      </c>
      <c r="B21" s="431"/>
      <c r="C21" s="431"/>
      <c r="D21" s="431"/>
      <c r="E21" s="431"/>
      <c r="F21" s="431"/>
      <c r="G21" s="431"/>
      <c r="H21" s="432"/>
      <c r="I21" s="25">
        <f t="shared" ref="I21:N21" si="10">SUM(I6:I20)</f>
        <v>465300</v>
      </c>
      <c r="J21" s="22">
        <f t="shared" si="10"/>
        <v>94015</v>
      </c>
      <c r="K21" s="23">
        <f t="shared" si="10"/>
        <v>376511</v>
      </c>
      <c r="L21" s="24">
        <f t="shared" si="10"/>
        <v>71475</v>
      </c>
      <c r="M21" s="23">
        <f t="shared" si="10"/>
        <v>71475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168</v>
      </c>
      <c r="Q21" s="46">
        <f t="shared" si="11"/>
        <v>196</v>
      </c>
      <c r="R21" s="26">
        <f t="shared" si="11"/>
        <v>24</v>
      </c>
      <c r="S21" s="27">
        <f t="shared" si="11"/>
        <v>47</v>
      </c>
      <c r="T21" s="27">
        <f t="shared" si="11"/>
        <v>0</v>
      </c>
      <c r="U21" s="27">
        <f t="shared" si="11"/>
        <v>0</v>
      </c>
      <c r="V21" s="28">
        <f t="shared" si="11"/>
        <v>1</v>
      </c>
      <c r="W21" s="29">
        <f t="shared" si="11"/>
        <v>72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52</v>
      </c>
      <c r="AB21" s="31">
        <f>SUM(AB6:AB20)/15</f>
        <v>0.6350463501693363</v>
      </c>
      <c r="AC21" s="4">
        <f>SUM(AC6:AC20)/15</f>
        <v>0.46666666666666662</v>
      </c>
      <c r="AD21" s="4">
        <f>SUM(AD6:AD20)/15</f>
        <v>0.55995842175297195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33" t="s">
        <v>46</v>
      </c>
      <c r="B48" s="433"/>
      <c r="C48" s="433"/>
      <c r="D48" s="433"/>
      <c r="E48" s="43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4" t="s">
        <v>564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6"/>
      <c r="N49" s="437" t="s">
        <v>582</v>
      </c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9"/>
    </row>
    <row r="50" spans="1:32" ht="27" customHeight="1">
      <c r="A50" s="440" t="s">
        <v>2</v>
      </c>
      <c r="B50" s="441"/>
      <c r="C50" s="269" t="s">
        <v>47</v>
      </c>
      <c r="D50" s="269" t="s">
        <v>48</v>
      </c>
      <c r="E50" s="269" t="s">
        <v>113</v>
      </c>
      <c r="F50" s="441" t="s">
        <v>112</v>
      </c>
      <c r="G50" s="441"/>
      <c r="H50" s="441"/>
      <c r="I50" s="441"/>
      <c r="J50" s="441"/>
      <c r="K50" s="441"/>
      <c r="L50" s="441"/>
      <c r="M50" s="442"/>
      <c r="N50" s="73" t="s">
        <v>117</v>
      </c>
      <c r="O50" s="269" t="s">
        <v>47</v>
      </c>
      <c r="P50" s="443" t="s">
        <v>48</v>
      </c>
      <c r="Q50" s="444"/>
      <c r="R50" s="443" t="s">
        <v>39</v>
      </c>
      <c r="S50" s="445"/>
      <c r="T50" s="445"/>
      <c r="U50" s="444"/>
      <c r="V50" s="443" t="s">
        <v>49</v>
      </c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57" t="s">
        <v>122</v>
      </c>
      <c r="B51" s="458"/>
      <c r="C51" s="268" t="s">
        <v>132</v>
      </c>
      <c r="D51" s="265" t="s">
        <v>144</v>
      </c>
      <c r="E51" s="268" t="s">
        <v>525</v>
      </c>
      <c r="F51" s="459" t="s">
        <v>565</v>
      </c>
      <c r="G51" s="459"/>
      <c r="H51" s="459"/>
      <c r="I51" s="459"/>
      <c r="J51" s="459"/>
      <c r="K51" s="459"/>
      <c r="L51" s="459"/>
      <c r="M51" s="460"/>
      <c r="N51" s="264" t="s">
        <v>583</v>
      </c>
      <c r="O51" s="74" t="s">
        <v>569</v>
      </c>
      <c r="P51" s="461" t="s">
        <v>58</v>
      </c>
      <c r="Q51" s="462"/>
      <c r="R51" s="463" t="s">
        <v>570</v>
      </c>
      <c r="S51" s="463"/>
      <c r="T51" s="463"/>
      <c r="U51" s="463"/>
      <c r="V51" s="459" t="s">
        <v>584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57" t="s">
        <v>122</v>
      </c>
      <c r="B52" s="458"/>
      <c r="C52" s="268" t="s">
        <v>280</v>
      </c>
      <c r="D52" s="265" t="s">
        <v>381</v>
      </c>
      <c r="E52" s="268" t="s">
        <v>481</v>
      </c>
      <c r="F52" s="459" t="s">
        <v>566</v>
      </c>
      <c r="G52" s="459"/>
      <c r="H52" s="459"/>
      <c r="I52" s="459"/>
      <c r="J52" s="459"/>
      <c r="K52" s="459"/>
      <c r="L52" s="459"/>
      <c r="M52" s="460"/>
      <c r="N52" s="264" t="s">
        <v>586</v>
      </c>
      <c r="O52" s="74" t="s">
        <v>132</v>
      </c>
      <c r="P52" s="461" t="s">
        <v>121</v>
      </c>
      <c r="Q52" s="462"/>
      <c r="R52" s="463" t="s">
        <v>585</v>
      </c>
      <c r="S52" s="463"/>
      <c r="T52" s="463"/>
      <c r="U52" s="463"/>
      <c r="V52" s="459" t="s">
        <v>587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64" t="s">
        <v>206</v>
      </c>
      <c r="B53" s="463"/>
      <c r="C53" s="265" t="s">
        <v>207</v>
      </c>
      <c r="D53" s="265" t="s">
        <v>256</v>
      </c>
      <c r="E53" s="268" t="s">
        <v>539</v>
      </c>
      <c r="F53" s="459" t="s">
        <v>565</v>
      </c>
      <c r="G53" s="459"/>
      <c r="H53" s="459"/>
      <c r="I53" s="459"/>
      <c r="J53" s="459"/>
      <c r="K53" s="459"/>
      <c r="L53" s="459"/>
      <c r="M53" s="460"/>
      <c r="N53" s="264"/>
      <c r="O53" s="74"/>
      <c r="P53" s="461"/>
      <c r="Q53" s="462"/>
      <c r="R53" s="463"/>
      <c r="S53" s="463"/>
      <c r="T53" s="463"/>
      <c r="U53" s="463"/>
      <c r="V53" s="459"/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 t="s">
        <v>122</v>
      </c>
      <c r="B54" s="458"/>
      <c r="C54" s="268" t="s">
        <v>131</v>
      </c>
      <c r="D54" s="265" t="s">
        <v>567</v>
      </c>
      <c r="E54" s="268" t="s">
        <v>557</v>
      </c>
      <c r="F54" s="459" t="s">
        <v>568</v>
      </c>
      <c r="G54" s="459"/>
      <c r="H54" s="459"/>
      <c r="I54" s="459"/>
      <c r="J54" s="459"/>
      <c r="K54" s="459"/>
      <c r="L54" s="459"/>
      <c r="M54" s="460"/>
      <c r="N54" s="264"/>
      <c r="O54" s="74"/>
      <c r="P54" s="461"/>
      <c r="Q54" s="462"/>
      <c r="R54" s="463"/>
      <c r="S54" s="463"/>
      <c r="T54" s="463"/>
      <c r="U54" s="463"/>
      <c r="V54" s="459"/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64" t="s">
        <v>122</v>
      </c>
      <c r="B55" s="463"/>
      <c r="C55" s="265" t="s">
        <v>569</v>
      </c>
      <c r="D55" s="265" t="s">
        <v>58</v>
      </c>
      <c r="E55" s="268" t="s">
        <v>570</v>
      </c>
      <c r="F55" s="459" t="s">
        <v>571</v>
      </c>
      <c r="G55" s="459"/>
      <c r="H55" s="459"/>
      <c r="I55" s="459"/>
      <c r="J55" s="459"/>
      <c r="K55" s="459"/>
      <c r="L55" s="459"/>
      <c r="M55" s="460"/>
      <c r="N55" s="264"/>
      <c r="O55" s="74"/>
      <c r="P55" s="461"/>
      <c r="Q55" s="462"/>
      <c r="R55" s="463"/>
      <c r="S55" s="463"/>
      <c r="T55" s="463"/>
      <c r="U55" s="463"/>
      <c r="V55" s="459"/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 t="s">
        <v>572</v>
      </c>
      <c r="B56" s="463"/>
      <c r="C56" s="265" t="s">
        <v>573</v>
      </c>
      <c r="D56" s="265" t="s">
        <v>574</v>
      </c>
      <c r="E56" s="268" t="s">
        <v>575</v>
      </c>
      <c r="F56" s="459" t="s">
        <v>576</v>
      </c>
      <c r="G56" s="459"/>
      <c r="H56" s="459"/>
      <c r="I56" s="459"/>
      <c r="J56" s="459"/>
      <c r="K56" s="459"/>
      <c r="L56" s="459"/>
      <c r="M56" s="460"/>
      <c r="N56" s="264"/>
      <c r="O56" s="74"/>
      <c r="P56" s="463"/>
      <c r="Q56" s="463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 t="s">
        <v>122</v>
      </c>
      <c r="B57" s="463"/>
      <c r="C57" s="265" t="s">
        <v>573</v>
      </c>
      <c r="D57" s="265" t="s">
        <v>577</v>
      </c>
      <c r="E57" s="268" t="s">
        <v>578</v>
      </c>
      <c r="F57" s="459" t="s">
        <v>243</v>
      </c>
      <c r="G57" s="459"/>
      <c r="H57" s="459"/>
      <c r="I57" s="459"/>
      <c r="J57" s="459"/>
      <c r="K57" s="459"/>
      <c r="L57" s="459"/>
      <c r="M57" s="460"/>
      <c r="N57" s="264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57" t="s">
        <v>138</v>
      </c>
      <c r="B58" s="458"/>
      <c r="C58" s="268" t="s">
        <v>579</v>
      </c>
      <c r="D58" s="265" t="s">
        <v>580</v>
      </c>
      <c r="E58" s="268" t="s">
        <v>581</v>
      </c>
      <c r="F58" s="459" t="s">
        <v>135</v>
      </c>
      <c r="G58" s="459"/>
      <c r="H58" s="459"/>
      <c r="I58" s="459"/>
      <c r="J58" s="459"/>
      <c r="K58" s="459"/>
      <c r="L58" s="459"/>
      <c r="M58" s="460"/>
      <c r="N58" s="264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265"/>
      <c r="D59" s="265"/>
      <c r="E59" s="265"/>
      <c r="F59" s="459"/>
      <c r="G59" s="459"/>
      <c r="H59" s="459"/>
      <c r="I59" s="459"/>
      <c r="J59" s="459"/>
      <c r="K59" s="459"/>
      <c r="L59" s="459"/>
      <c r="M59" s="460"/>
      <c r="N59" s="264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  <c r="AF59" s="94">
        <f>8*3000</f>
        <v>24000</v>
      </c>
    </row>
    <row r="60" spans="1:32" ht="27" customHeight="1" thickBot="1">
      <c r="A60" s="465"/>
      <c r="B60" s="466"/>
      <c r="C60" s="267"/>
      <c r="D60" s="267"/>
      <c r="E60" s="267"/>
      <c r="F60" s="467"/>
      <c r="G60" s="467"/>
      <c r="H60" s="467"/>
      <c r="I60" s="467"/>
      <c r="J60" s="467"/>
      <c r="K60" s="467"/>
      <c r="L60" s="467"/>
      <c r="M60" s="468"/>
      <c r="N60" s="266"/>
      <c r="O60" s="121"/>
      <c r="P60" s="466"/>
      <c r="Q60" s="466"/>
      <c r="R60" s="466"/>
      <c r="S60" s="466"/>
      <c r="T60" s="466"/>
      <c r="U60" s="466"/>
      <c r="V60" s="467"/>
      <c r="W60" s="467"/>
      <c r="X60" s="467"/>
      <c r="Y60" s="467"/>
      <c r="Z60" s="467"/>
      <c r="AA60" s="467"/>
      <c r="AB60" s="467"/>
      <c r="AC60" s="467"/>
      <c r="AD60" s="468"/>
      <c r="AF60" s="94">
        <f>16*3000</f>
        <v>48000</v>
      </c>
    </row>
    <row r="61" spans="1:32" ht="27.75" thickBot="1">
      <c r="A61" s="469" t="s">
        <v>588</v>
      </c>
      <c r="B61" s="469"/>
      <c r="C61" s="469"/>
      <c r="D61" s="469"/>
      <c r="E61" s="469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70" t="s">
        <v>118</v>
      </c>
      <c r="B62" s="471"/>
      <c r="C62" s="263" t="s">
        <v>2</v>
      </c>
      <c r="D62" s="263" t="s">
        <v>38</v>
      </c>
      <c r="E62" s="263" t="s">
        <v>3</v>
      </c>
      <c r="F62" s="471" t="s">
        <v>115</v>
      </c>
      <c r="G62" s="471"/>
      <c r="H62" s="471"/>
      <c r="I62" s="471"/>
      <c r="J62" s="471"/>
      <c r="K62" s="471" t="s">
        <v>40</v>
      </c>
      <c r="L62" s="471"/>
      <c r="M62" s="263" t="s">
        <v>41</v>
      </c>
      <c r="N62" s="471" t="s">
        <v>42</v>
      </c>
      <c r="O62" s="471"/>
      <c r="P62" s="472" t="s">
        <v>43</v>
      </c>
      <c r="Q62" s="473"/>
      <c r="R62" s="472" t="s">
        <v>44</v>
      </c>
      <c r="S62" s="474"/>
      <c r="T62" s="474"/>
      <c r="U62" s="474"/>
      <c r="V62" s="474"/>
      <c r="W62" s="474"/>
      <c r="X62" s="474"/>
      <c r="Y62" s="474"/>
      <c r="Z62" s="474"/>
      <c r="AA62" s="473"/>
      <c r="AB62" s="471" t="s">
        <v>45</v>
      </c>
      <c r="AC62" s="471"/>
      <c r="AD62" s="475"/>
      <c r="AF62" s="94">
        <f>SUM(AF59:AF61)</f>
        <v>96000</v>
      </c>
    </row>
    <row r="63" spans="1:32" ht="25.5" customHeight="1">
      <c r="A63" s="476">
        <v>1</v>
      </c>
      <c r="B63" s="477"/>
      <c r="C63" s="133" t="s">
        <v>586</v>
      </c>
      <c r="D63" s="259"/>
      <c r="E63" s="261" t="s">
        <v>284</v>
      </c>
      <c r="F63" s="478" t="s">
        <v>593</v>
      </c>
      <c r="G63" s="479"/>
      <c r="H63" s="479"/>
      <c r="I63" s="479"/>
      <c r="J63" s="479"/>
      <c r="K63" s="479" t="s">
        <v>591</v>
      </c>
      <c r="L63" s="479"/>
      <c r="M63" s="54" t="s">
        <v>306</v>
      </c>
      <c r="N63" s="479">
        <v>12</v>
      </c>
      <c r="O63" s="479"/>
      <c r="P63" s="480">
        <v>50</v>
      </c>
      <c r="Q63" s="480"/>
      <c r="R63" s="459"/>
      <c r="S63" s="459"/>
      <c r="T63" s="459"/>
      <c r="U63" s="459"/>
      <c r="V63" s="459"/>
      <c r="W63" s="459"/>
      <c r="X63" s="459"/>
      <c r="Y63" s="459"/>
      <c r="Z63" s="459"/>
      <c r="AA63" s="459"/>
      <c r="AB63" s="479"/>
      <c r="AC63" s="479"/>
      <c r="AD63" s="481"/>
      <c r="AF63" s="53"/>
    </row>
    <row r="64" spans="1:32" ht="25.5" customHeight="1">
      <c r="A64" s="476">
        <v>2</v>
      </c>
      <c r="B64" s="477"/>
      <c r="C64" s="133" t="s">
        <v>586</v>
      </c>
      <c r="D64" s="259"/>
      <c r="E64" s="261" t="s">
        <v>589</v>
      </c>
      <c r="F64" s="478" t="s">
        <v>594</v>
      </c>
      <c r="G64" s="479"/>
      <c r="H64" s="479"/>
      <c r="I64" s="479"/>
      <c r="J64" s="479"/>
      <c r="K64" s="479" t="s">
        <v>592</v>
      </c>
      <c r="L64" s="479"/>
      <c r="M64" s="54" t="s">
        <v>590</v>
      </c>
      <c r="N64" s="479">
        <v>7</v>
      </c>
      <c r="O64" s="479"/>
      <c r="P64" s="480">
        <v>50</v>
      </c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</row>
    <row r="65" spans="1:32" ht="25.5" customHeight="1">
      <c r="A65" s="476">
        <v>3</v>
      </c>
      <c r="B65" s="477"/>
      <c r="C65" s="133"/>
      <c r="D65" s="259"/>
      <c r="E65" s="261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4</v>
      </c>
      <c r="B66" s="477"/>
      <c r="C66" s="133"/>
      <c r="D66" s="259"/>
      <c r="E66" s="261"/>
      <c r="F66" s="479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5</v>
      </c>
      <c r="B67" s="477"/>
      <c r="C67" s="133"/>
      <c r="D67" s="259"/>
      <c r="E67" s="261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6</v>
      </c>
      <c r="B68" s="477"/>
      <c r="C68" s="133"/>
      <c r="D68" s="259"/>
      <c r="E68" s="261"/>
      <c r="F68" s="478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7</v>
      </c>
      <c r="B69" s="477"/>
      <c r="C69" s="133"/>
      <c r="D69" s="259"/>
      <c r="E69" s="261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8</v>
      </c>
      <c r="B70" s="477"/>
      <c r="C70" s="133"/>
      <c r="D70" s="259"/>
      <c r="E70" s="261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6.25" customHeight="1" thickBot="1">
      <c r="A71" s="482" t="s">
        <v>595</v>
      </c>
      <c r="B71" s="482"/>
      <c r="C71" s="482"/>
      <c r="D71" s="482"/>
      <c r="E71" s="48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83" t="s">
        <v>118</v>
      </c>
      <c r="B72" s="484"/>
      <c r="C72" s="262" t="s">
        <v>2</v>
      </c>
      <c r="D72" s="262" t="s">
        <v>38</v>
      </c>
      <c r="E72" s="262" t="s">
        <v>3</v>
      </c>
      <c r="F72" s="484" t="s">
        <v>39</v>
      </c>
      <c r="G72" s="484"/>
      <c r="H72" s="484"/>
      <c r="I72" s="484"/>
      <c r="J72" s="484"/>
      <c r="K72" s="485" t="s">
        <v>60</v>
      </c>
      <c r="L72" s="486"/>
      <c r="M72" s="486"/>
      <c r="N72" s="486"/>
      <c r="O72" s="486"/>
      <c r="P72" s="486"/>
      <c r="Q72" s="486"/>
      <c r="R72" s="486"/>
      <c r="S72" s="487"/>
      <c r="T72" s="484" t="s">
        <v>50</v>
      </c>
      <c r="U72" s="484"/>
      <c r="V72" s="485" t="s">
        <v>51</v>
      </c>
      <c r="W72" s="487"/>
      <c r="X72" s="486" t="s">
        <v>52</v>
      </c>
      <c r="Y72" s="486"/>
      <c r="Z72" s="486"/>
      <c r="AA72" s="486"/>
      <c r="AB72" s="486"/>
      <c r="AC72" s="486"/>
      <c r="AD72" s="488"/>
      <c r="AF72" s="53"/>
    </row>
    <row r="73" spans="1:32" ht="33.75" customHeight="1">
      <c r="A73" s="497">
        <v>1</v>
      </c>
      <c r="B73" s="498"/>
      <c r="C73" s="260" t="s">
        <v>122</v>
      </c>
      <c r="D73" s="260"/>
      <c r="E73" s="71" t="s">
        <v>381</v>
      </c>
      <c r="F73" s="499" t="s">
        <v>382</v>
      </c>
      <c r="G73" s="500"/>
      <c r="H73" s="500"/>
      <c r="I73" s="500"/>
      <c r="J73" s="501"/>
      <c r="K73" s="502" t="s">
        <v>596</v>
      </c>
      <c r="L73" s="503"/>
      <c r="M73" s="503"/>
      <c r="N73" s="503"/>
      <c r="O73" s="503"/>
      <c r="P73" s="503"/>
      <c r="Q73" s="503"/>
      <c r="R73" s="503"/>
      <c r="S73" s="504"/>
      <c r="T73" s="505">
        <v>42870</v>
      </c>
      <c r="U73" s="506"/>
      <c r="V73" s="507"/>
      <c r="W73" s="507"/>
      <c r="X73" s="508"/>
      <c r="Y73" s="508"/>
      <c r="Z73" s="508"/>
      <c r="AA73" s="508"/>
      <c r="AB73" s="508"/>
      <c r="AC73" s="508"/>
      <c r="AD73" s="509"/>
      <c r="AF73" s="53"/>
    </row>
    <row r="74" spans="1:32" ht="30" customHeight="1">
      <c r="A74" s="489">
        <f>A73+1</f>
        <v>2</v>
      </c>
      <c r="B74" s="490"/>
      <c r="C74" s="259" t="s">
        <v>201</v>
      </c>
      <c r="D74" s="259"/>
      <c r="E74" s="35" t="s">
        <v>520</v>
      </c>
      <c r="F74" s="490" t="s">
        <v>394</v>
      </c>
      <c r="G74" s="490"/>
      <c r="H74" s="490"/>
      <c r="I74" s="490"/>
      <c r="J74" s="490"/>
      <c r="K74" s="491" t="s">
        <v>522</v>
      </c>
      <c r="L74" s="492"/>
      <c r="M74" s="492"/>
      <c r="N74" s="492"/>
      <c r="O74" s="492"/>
      <c r="P74" s="492"/>
      <c r="Q74" s="492"/>
      <c r="R74" s="492"/>
      <c r="S74" s="493"/>
      <c r="T74" s="494">
        <v>42867</v>
      </c>
      <c r="U74" s="494"/>
      <c r="V74" s="494"/>
      <c r="W74" s="494"/>
      <c r="X74" s="495"/>
      <c r="Y74" s="495"/>
      <c r="Z74" s="495"/>
      <c r="AA74" s="495"/>
      <c r="AB74" s="495"/>
      <c r="AC74" s="495"/>
      <c r="AD74" s="496"/>
      <c r="AF74" s="53"/>
    </row>
    <row r="75" spans="1:32" ht="30" customHeight="1">
      <c r="A75" s="489">
        <f t="shared" ref="A75:A81" si="12">A74+1</f>
        <v>3</v>
      </c>
      <c r="B75" s="490"/>
      <c r="C75" s="259" t="s">
        <v>597</v>
      </c>
      <c r="D75" s="259"/>
      <c r="E75" s="35" t="s">
        <v>598</v>
      </c>
      <c r="F75" s="490" t="s">
        <v>570</v>
      </c>
      <c r="G75" s="490"/>
      <c r="H75" s="490"/>
      <c r="I75" s="490"/>
      <c r="J75" s="490"/>
      <c r="K75" s="491" t="s">
        <v>599</v>
      </c>
      <c r="L75" s="492"/>
      <c r="M75" s="492"/>
      <c r="N75" s="492"/>
      <c r="O75" s="492"/>
      <c r="P75" s="492"/>
      <c r="Q75" s="492"/>
      <c r="R75" s="492"/>
      <c r="S75" s="493"/>
      <c r="T75" s="494">
        <v>42870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si="12"/>
        <v>4</v>
      </c>
      <c r="B76" s="490"/>
      <c r="C76" s="259" t="s">
        <v>122</v>
      </c>
      <c r="D76" s="259"/>
      <c r="E76" s="35" t="s">
        <v>574</v>
      </c>
      <c r="F76" s="490" t="s">
        <v>600</v>
      </c>
      <c r="G76" s="490"/>
      <c r="H76" s="490"/>
      <c r="I76" s="490"/>
      <c r="J76" s="490"/>
      <c r="K76" s="491" t="s">
        <v>601</v>
      </c>
      <c r="L76" s="492"/>
      <c r="M76" s="492"/>
      <c r="N76" s="492"/>
      <c r="O76" s="492"/>
      <c r="P76" s="492"/>
      <c r="Q76" s="492"/>
      <c r="R76" s="492"/>
      <c r="S76" s="493"/>
      <c r="T76" s="494">
        <v>42871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12"/>
        <v>5</v>
      </c>
      <c r="B77" s="490"/>
      <c r="C77" s="259"/>
      <c r="D77" s="259"/>
      <c r="E77" s="35"/>
      <c r="F77" s="490"/>
      <c r="G77" s="490"/>
      <c r="H77" s="490"/>
      <c r="I77" s="490"/>
      <c r="J77" s="490"/>
      <c r="K77" s="491"/>
      <c r="L77" s="492"/>
      <c r="M77" s="492"/>
      <c r="N77" s="492"/>
      <c r="O77" s="492"/>
      <c r="P77" s="492"/>
      <c r="Q77" s="492"/>
      <c r="R77" s="492"/>
      <c r="S77" s="493"/>
      <c r="T77" s="494"/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12"/>
        <v>6</v>
      </c>
      <c r="B78" s="490"/>
      <c r="C78" s="259"/>
      <c r="D78" s="259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12"/>
        <v>7</v>
      </c>
      <c r="B79" s="490"/>
      <c r="C79" s="259"/>
      <c r="D79" s="259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12"/>
        <v>8</v>
      </c>
      <c r="B80" s="490"/>
      <c r="C80" s="259"/>
      <c r="D80" s="259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12"/>
        <v>9</v>
      </c>
      <c r="B81" s="490"/>
      <c r="C81" s="259"/>
      <c r="D81" s="259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6" thickBot="1">
      <c r="A82" s="482" t="s">
        <v>602</v>
      </c>
      <c r="B82" s="482"/>
      <c r="C82" s="482"/>
      <c r="D82" s="482"/>
      <c r="E82" s="48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510" t="s">
        <v>37</v>
      </c>
      <c r="B83" s="511"/>
      <c r="C83" s="511" t="s">
        <v>53</v>
      </c>
      <c r="D83" s="511"/>
      <c r="E83" s="511" t="s">
        <v>54</v>
      </c>
      <c r="F83" s="511"/>
      <c r="G83" s="511"/>
      <c r="H83" s="511"/>
      <c r="I83" s="511"/>
      <c r="J83" s="511"/>
      <c r="K83" s="511" t="s">
        <v>55</v>
      </c>
      <c r="L83" s="511"/>
      <c r="M83" s="511"/>
      <c r="N83" s="511"/>
      <c r="O83" s="511"/>
      <c r="P83" s="511"/>
      <c r="Q83" s="511"/>
      <c r="R83" s="511"/>
      <c r="S83" s="511"/>
      <c r="T83" s="511" t="s">
        <v>56</v>
      </c>
      <c r="U83" s="511"/>
      <c r="V83" s="511" t="s">
        <v>57</v>
      </c>
      <c r="W83" s="511"/>
      <c r="X83" s="511"/>
      <c r="Y83" s="511" t="s">
        <v>52</v>
      </c>
      <c r="Z83" s="511"/>
      <c r="AA83" s="511"/>
      <c r="AB83" s="511"/>
      <c r="AC83" s="511"/>
      <c r="AD83" s="512"/>
      <c r="AF83" s="53"/>
    </row>
    <row r="84" spans="1:32" ht="30.75" customHeight="1">
      <c r="A84" s="513">
        <v>1</v>
      </c>
      <c r="B84" s="514"/>
      <c r="C84" s="515">
        <v>14</v>
      </c>
      <c r="D84" s="515"/>
      <c r="E84" s="515" t="s">
        <v>551</v>
      </c>
      <c r="F84" s="515"/>
      <c r="G84" s="515"/>
      <c r="H84" s="515"/>
      <c r="I84" s="515"/>
      <c r="J84" s="515"/>
      <c r="K84" s="515" t="s">
        <v>603</v>
      </c>
      <c r="L84" s="515"/>
      <c r="M84" s="515"/>
      <c r="N84" s="515"/>
      <c r="O84" s="515"/>
      <c r="P84" s="515"/>
      <c r="Q84" s="515"/>
      <c r="R84" s="515"/>
      <c r="S84" s="515"/>
      <c r="T84" s="515" t="s">
        <v>552</v>
      </c>
      <c r="U84" s="515"/>
      <c r="V84" s="516">
        <v>1600000</v>
      </c>
      <c r="W84" s="516"/>
      <c r="X84" s="516"/>
      <c r="Y84" s="517"/>
      <c r="Z84" s="517"/>
      <c r="AA84" s="517"/>
      <c r="AB84" s="517"/>
      <c r="AC84" s="517"/>
      <c r="AD84" s="518"/>
      <c r="AF84" s="53"/>
    </row>
    <row r="85" spans="1:32" ht="30.75" customHeight="1">
      <c r="A85" s="489">
        <v>2</v>
      </c>
      <c r="B85" s="490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 thickBot="1">
      <c r="A86" s="519">
        <v>3</v>
      </c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1"/>
      <c r="Z86" s="521"/>
      <c r="AA86" s="521"/>
      <c r="AB86" s="521"/>
      <c r="AC86" s="521"/>
      <c r="AD86" s="52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61" zoomScale="72" zoomScaleNormal="72" zoomScaleSheetLayoutView="70" workbookViewId="0">
      <selection activeCell="Y85" sqref="Y85:AD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604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271" t="s">
        <v>17</v>
      </c>
      <c r="L5" s="271" t="s">
        <v>18</v>
      </c>
      <c r="M5" s="271" t="s">
        <v>19</v>
      </c>
      <c r="N5" s="27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0.40516340577304705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127</v>
      </c>
      <c r="D7" s="55" t="s">
        <v>178</v>
      </c>
      <c r="E7" s="56" t="s">
        <v>179</v>
      </c>
      <c r="F7" s="12" t="s">
        <v>180</v>
      </c>
      <c r="G7" s="36">
        <v>2</v>
      </c>
      <c r="H7" s="38">
        <v>25</v>
      </c>
      <c r="I7" s="7">
        <v>40000</v>
      </c>
      <c r="J7" s="14">
        <v>3050</v>
      </c>
      <c r="K7" s="15">
        <f>L7+7596+10920+10616+10866+3048</f>
        <v>43046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0.40516340577304705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122</v>
      </c>
      <c r="D8" s="55" t="s">
        <v>474</v>
      </c>
      <c r="E8" s="57" t="s">
        <v>475</v>
      </c>
      <c r="F8" s="12" t="s">
        <v>128</v>
      </c>
      <c r="G8" s="36" t="s">
        <v>476</v>
      </c>
      <c r="H8" s="38">
        <v>25</v>
      </c>
      <c r="I8" s="7">
        <v>19000</v>
      </c>
      <c r="J8" s="14">
        <v>3850</v>
      </c>
      <c r="K8" s="15">
        <f>L8+3811+7483+3425+6687</f>
        <v>25248</v>
      </c>
      <c r="L8" s="15">
        <f>3606+236</f>
        <v>3842</v>
      </c>
      <c r="M8" s="16">
        <f t="shared" si="0"/>
        <v>3842</v>
      </c>
      <c r="N8" s="16">
        <v>0</v>
      </c>
      <c r="O8" s="62">
        <f t="shared" si="1"/>
        <v>0</v>
      </c>
      <c r="P8" s="42">
        <f t="shared" si="2"/>
        <v>13</v>
      </c>
      <c r="Q8" s="43">
        <f t="shared" si="3"/>
        <v>11</v>
      </c>
      <c r="R8" s="7"/>
      <c r="S8" s="6"/>
      <c r="T8" s="17"/>
      <c r="U8" s="17"/>
      <c r="V8" s="18"/>
      <c r="W8" s="19">
        <v>11</v>
      </c>
      <c r="X8" s="17"/>
      <c r="Y8" s="20"/>
      <c r="Z8" s="20"/>
      <c r="AA8" s="21"/>
      <c r="AB8" s="8">
        <f t="shared" si="4"/>
        <v>0.99792207792207788</v>
      </c>
      <c r="AC8" s="9">
        <f t="shared" si="5"/>
        <v>0.54166666666666663</v>
      </c>
      <c r="AD8" s="10">
        <f t="shared" si="6"/>
        <v>0.54054112554112543</v>
      </c>
      <c r="AE8" s="39">
        <f t="shared" si="7"/>
        <v>0.40516340577304705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127</v>
      </c>
      <c r="D9" s="55" t="s">
        <v>605</v>
      </c>
      <c r="E9" s="57" t="s">
        <v>606</v>
      </c>
      <c r="F9" s="12" t="s">
        <v>607</v>
      </c>
      <c r="G9" s="12">
        <v>1</v>
      </c>
      <c r="H9" s="13">
        <v>25</v>
      </c>
      <c r="I9" s="34">
        <v>600</v>
      </c>
      <c r="J9" s="5">
        <v>2030</v>
      </c>
      <c r="K9" s="15">
        <f>L9</f>
        <v>2021</v>
      </c>
      <c r="L9" s="15">
        <f>399+1622</f>
        <v>2021</v>
      </c>
      <c r="M9" s="16">
        <f t="shared" si="0"/>
        <v>2021</v>
      </c>
      <c r="N9" s="16">
        <v>0</v>
      </c>
      <c r="O9" s="62">
        <f t="shared" si="1"/>
        <v>0</v>
      </c>
      <c r="P9" s="42">
        <f t="shared" si="2"/>
        <v>10</v>
      </c>
      <c r="Q9" s="43">
        <f t="shared" si="3"/>
        <v>14</v>
      </c>
      <c r="R9" s="7"/>
      <c r="S9" s="6">
        <v>14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0.99556650246305423</v>
      </c>
      <c r="AC9" s="9">
        <f t="shared" si="5"/>
        <v>0.41666666666666669</v>
      </c>
      <c r="AD9" s="10">
        <f t="shared" si="6"/>
        <v>0.41481937602627261</v>
      </c>
      <c r="AE9" s="39">
        <f t="shared" si="7"/>
        <v>0.40516340577304705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122</v>
      </c>
      <c r="D10" s="55" t="s">
        <v>556</v>
      </c>
      <c r="E10" s="57" t="s">
        <v>557</v>
      </c>
      <c r="F10" s="12" t="s">
        <v>558</v>
      </c>
      <c r="G10" s="12">
        <v>1</v>
      </c>
      <c r="H10" s="13">
        <v>25</v>
      </c>
      <c r="I10" s="34">
        <v>3000</v>
      </c>
      <c r="J10" s="14">
        <v>1520</v>
      </c>
      <c r="K10" s="15">
        <f>L10+3184</f>
        <v>4698</v>
      </c>
      <c r="L10" s="15">
        <f>1490+24</f>
        <v>1514</v>
      </c>
      <c r="M10" s="16">
        <f t="shared" si="0"/>
        <v>1514</v>
      </c>
      <c r="N10" s="16">
        <v>0</v>
      </c>
      <c r="O10" s="62">
        <f t="shared" si="1"/>
        <v>0</v>
      </c>
      <c r="P10" s="42">
        <f t="shared" si="2"/>
        <v>8</v>
      </c>
      <c r="Q10" s="43">
        <f t="shared" si="3"/>
        <v>16</v>
      </c>
      <c r="R10" s="7"/>
      <c r="S10" s="6">
        <v>16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0.99605263157894741</v>
      </c>
      <c r="AC10" s="9">
        <f t="shared" si="5"/>
        <v>0.33333333333333331</v>
      </c>
      <c r="AD10" s="10">
        <f t="shared" si="6"/>
        <v>0.3320175438596491</v>
      </c>
      <c r="AE10" s="39">
        <f t="shared" si="7"/>
        <v>0.40516340577304705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357</v>
      </c>
      <c r="F11" s="12" t="s">
        <v>358</v>
      </c>
      <c r="G11" s="12">
        <v>1</v>
      </c>
      <c r="H11" s="13">
        <v>25</v>
      </c>
      <c r="I11" s="34">
        <v>25000</v>
      </c>
      <c r="J11" s="14">
        <v>5020</v>
      </c>
      <c r="K11" s="15">
        <f>L11+3973+5965+4763+6085+2069+5247</f>
        <v>33114</v>
      </c>
      <c r="L11" s="15">
        <f>3206+1806</f>
        <v>5012</v>
      </c>
      <c r="M11" s="16">
        <f t="shared" si="0"/>
        <v>5012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0.99840637450199199</v>
      </c>
      <c r="AC11" s="9">
        <f t="shared" si="5"/>
        <v>1</v>
      </c>
      <c r="AD11" s="10">
        <f t="shared" si="6"/>
        <v>0.99840637450199199</v>
      </c>
      <c r="AE11" s="39">
        <f t="shared" si="7"/>
        <v>0.40516340577304705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411</v>
      </c>
      <c r="D12" s="55" t="s">
        <v>381</v>
      </c>
      <c r="E12" s="57" t="s">
        <v>382</v>
      </c>
      <c r="F12" s="12" t="s">
        <v>128</v>
      </c>
      <c r="G12" s="12">
        <v>1</v>
      </c>
      <c r="H12" s="13">
        <v>25</v>
      </c>
      <c r="I12" s="34">
        <v>1000</v>
      </c>
      <c r="J12" s="5">
        <v>2320</v>
      </c>
      <c r="K12" s="15">
        <f>L12+2316</f>
        <v>2316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0.40516340577304705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381</v>
      </c>
      <c r="E13" s="57" t="s">
        <v>481</v>
      </c>
      <c r="F13" s="12">
        <v>7301</v>
      </c>
      <c r="G13" s="12">
        <v>1</v>
      </c>
      <c r="H13" s="13">
        <v>25</v>
      </c>
      <c r="I13" s="7">
        <v>19000</v>
      </c>
      <c r="J13" s="14">
        <v>4770</v>
      </c>
      <c r="K13" s="15">
        <f>L13+2220+5017+1817+2803</f>
        <v>16627</v>
      </c>
      <c r="L13" s="15">
        <f>2489+2281</f>
        <v>4770</v>
      </c>
      <c r="M13" s="16">
        <f t="shared" si="0"/>
        <v>4770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1</v>
      </c>
      <c r="AD13" s="10">
        <f t="shared" si="6"/>
        <v>1</v>
      </c>
      <c r="AE13" s="39">
        <f t="shared" si="7"/>
        <v>0.40516340577304705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559</v>
      </c>
      <c r="E14" s="57" t="s">
        <v>560</v>
      </c>
      <c r="F14" s="33" t="s">
        <v>561</v>
      </c>
      <c r="G14" s="36">
        <v>1</v>
      </c>
      <c r="H14" s="38">
        <v>50</v>
      </c>
      <c r="I14" s="7">
        <v>100</v>
      </c>
      <c r="J14" s="5">
        <v>4790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0.40516340577304705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154</v>
      </c>
      <c r="D15" s="55" t="s">
        <v>284</v>
      </c>
      <c r="E15" s="57" t="s">
        <v>430</v>
      </c>
      <c r="F15" s="12" t="s">
        <v>424</v>
      </c>
      <c r="G15" s="12">
        <v>1</v>
      </c>
      <c r="H15" s="13">
        <v>25</v>
      </c>
      <c r="I15" s="34">
        <v>200</v>
      </c>
      <c r="J15" s="5">
        <v>300</v>
      </c>
      <c r="K15" s="15">
        <f>L15+2138+3980+300</f>
        <v>6418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/>
      <c r="X15" s="17"/>
      <c r="Y15" s="20"/>
      <c r="Z15" s="20"/>
      <c r="AA15" s="21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0.40516340577304705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122</v>
      </c>
      <c r="D16" s="55" t="s">
        <v>562</v>
      </c>
      <c r="E16" s="57" t="s">
        <v>563</v>
      </c>
      <c r="F16" s="12">
        <v>7301</v>
      </c>
      <c r="G16" s="36">
        <v>1</v>
      </c>
      <c r="H16" s="38">
        <v>25</v>
      </c>
      <c r="I16" s="7">
        <v>3000</v>
      </c>
      <c r="J16" s="14">
        <v>4960</v>
      </c>
      <c r="K16" s="15">
        <f>L16+3278</f>
        <v>8238</v>
      </c>
      <c r="L16" s="15">
        <f>2574+2386</f>
        <v>4960</v>
      </c>
      <c r="M16" s="16">
        <f t="shared" si="0"/>
        <v>4960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1</v>
      </c>
      <c r="AD16" s="10">
        <f t="shared" si="6"/>
        <v>1</v>
      </c>
      <c r="AE16" s="39">
        <f t="shared" si="7"/>
        <v>0.40516340577304705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411</v>
      </c>
      <c r="D17" s="55" t="s">
        <v>388</v>
      </c>
      <c r="E17" s="56" t="s">
        <v>389</v>
      </c>
      <c r="F17" s="12">
        <v>8301</v>
      </c>
      <c r="G17" s="12">
        <v>1</v>
      </c>
      <c r="H17" s="13">
        <v>25</v>
      </c>
      <c r="I17" s="34">
        <v>8000</v>
      </c>
      <c r="J17" s="5">
        <v>4730</v>
      </c>
      <c r="K17" s="15">
        <f>L17+3739+4348+4721</f>
        <v>12808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/>
      <c r="X17" s="17"/>
      <c r="Y17" s="20"/>
      <c r="Z17" s="20"/>
      <c r="AA17" s="21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0.40516340577304705</v>
      </c>
      <c r="AF17" s="94">
        <f t="shared" si="8"/>
        <v>12</v>
      </c>
    </row>
    <row r="18" spans="1:32" ht="27" customHeight="1">
      <c r="A18" s="110">
        <v>13</v>
      </c>
      <c r="B18" s="11" t="s">
        <v>293</v>
      </c>
      <c r="C18" s="37" t="s">
        <v>127</v>
      </c>
      <c r="D18" s="55" t="s">
        <v>58</v>
      </c>
      <c r="E18" s="57" t="s">
        <v>155</v>
      </c>
      <c r="F18" s="12" t="s">
        <v>156</v>
      </c>
      <c r="G18" s="12">
        <v>1</v>
      </c>
      <c r="H18" s="13">
        <v>25</v>
      </c>
      <c r="I18" s="34">
        <v>30000</v>
      </c>
      <c r="J18" s="5">
        <v>3110</v>
      </c>
      <c r="K18" s="15">
        <f>L18+3759+4632+4258+3104+2109+2902+3658+2023+2861</f>
        <v>32416</v>
      </c>
      <c r="L18" s="15">
        <f>2088+1022</f>
        <v>3110</v>
      </c>
      <c r="M18" s="16">
        <f t="shared" si="0"/>
        <v>3110</v>
      </c>
      <c r="N18" s="16">
        <v>0</v>
      </c>
      <c r="O18" s="62">
        <f t="shared" si="1"/>
        <v>0</v>
      </c>
      <c r="P18" s="42">
        <f t="shared" si="2"/>
        <v>19</v>
      </c>
      <c r="Q18" s="43">
        <f t="shared" si="3"/>
        <v>5</v>
      </c>
      <c r="R18" s="7"/>
      <c r="S18" s="6">
        <v>5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0.79166666666666663</v>
      </c>
      <c r="AD18" s="10">
        <f t="shared" si="6"/>
        <v>0.79166666666666663</v>
      </c>
      <c r="AE18" s="39">
        <f t="shared" si="7"/>
        <v>0.40516340577304705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146</v>
      </c>
      <c r="D19" s="55" t="s">
        <v>58</v>
      </c>
      <c r="E19" s="57" t="s">
        <v>301</v>
      </c>
      <c r="F19" s="33" t="s">
        <v>137</v>
      </c>
      <c r="G19" s="36">
        <v>2</v>
      </c>
      <c r="H19" s="38">
        <v>25</v>
      </c>
      <c r="I19" s="34">
        <v>12000</v>
      </c>
      <c r="J19" s="5">
        <v>4350</v>
      </c>
      <c r="K19" s="15">
        <f>L19+8110+4344</f>
        <v>12454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>
        <v>24</v>
      </c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0.40516340577304705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421</v>
      </c>
      <c r="F20" s="12" t="s">
        <v>120</v>
      </c>
      <c r="G20" s="12">
        <v>4</v>
      </c>
      <c r="H20" s="38">
        <v>20</v>
      </c>
      <c r="I20" s="7">
        <v>300000</v>
      </c>
      <c r="J20" s="14">
        <v>48600</v>
      </c>
      <c r="K20" s="15">
        <f>L20+42812+51888+32020+21560+42804</f>
        <v>239684</v>
      </c>
      <c r="L20" s="15">
        <f>6372*4+5778*4</f>
        <v>48600</v>
      </c>
      <c r="M20" s="16">
        <f t="shared" si="0"/>
        <v>48600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0.40516340577304705</v>
      </c>
      <c r="AF20" s="94">
        <f t="shared" si="8"/>
        <v>15</v>
      </c>
    </row>
    <row r="21" spans="1:32" ht="31.5" customHeight="1" thickBot="1">
      <c r="A21" s="430" t="s">
        <v>34</v>
      </c>
      <c r="B21" s="431"/>
      <c r="C21" s="431"/>
      <c r="D21" s="431"/>
      <c r="E21" s="431"/>
      <c r="F21" s="431"/>
      <c r="G21" s="431"/>
      <c r="H21" s="432"/>
      <c r="I21" s="25">
        <f t="shared" ref="I21:N21" si="10">SUM(I6:I20)</f>
        <v>464900</v>
      </c>
      <c r="J21" s="22">
        <f t="shared" si="10"/>
        <v>99540</v>
      </c>
      <c r="K21" s="23">
        <f t="shared" si="10"/>
        <v>445222</v>
      </c>
      <c r="L21" s="24">
        <f t="shared" si="10"/>
        <v>73829</v>
      </c>
      <c r="M21" s="23">
        <f t="shared" si="10"/>
        <v>73829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146</v>
      </c>
      <c r="Q21" s="46">
        <f t="shared" si="11"/>
        <v>214</v>
      </c>
      <c r="R21" s="26">
        <f t="shared" si="11"/>
        <v>24</v>
      </c>
      <c r="S21" s="27">
        <f t="shared" si="11"/>
        <v>59</v>
      </c>
      <c r="T21" s="27">
        <f t="shared" si="11"/>
        <v>0</v>
      </c>
      <c r="U21" s="27">
        <f t="shared" si="11"/>
        <v>0</v>
      </c>
      <c r="V21" s="28">
        <f t="shared" si="11"/>
        <v>0</v>
      </c>
      <c r="W21" s="29">
        <f t="shared" si="11"/>
        <v>83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48</v>
      </c>
      <c r="AB21" s="31">
        <f>SUM(AB6:AB20)/15</f>
        <v>0.5325298390977381</v>
      </c>
      <c r="AC21" s="4">
        <f>SUM(AC6:AC20)/15</f>
        <v>0.40555555555555556</v>
      </c>
      <c r="AD21" s="4">
        <f>SUM(AD6:AD20)/15</f>
        <v>0.40516340577304705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33" t="s">
        <v>46</v>
      </c>
      <c r="B48" s="433"/>
      <c r="C48" s="433"/>
      <c r="D48" s="433"/>
      <c r="E48" s="43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4" t="s">
        <v>608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6"/>
      <c r="N49" s="437" t="s">
        <v>614</v>
      </c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9"/>
    </row>
    <row r="50" spans="1:32" ht="27" customHeight="1">
      <c r="A50" s="440" t="s">
        <v>2</v>
      </c>
      <c r="B50" s="441"/>
      <c r="C50" s="272" t="s">
        <v>47</v>
      </c>
      <c r="D50" s="272" t="s">
        <v>48</v>
      </c>
      <c r="E50" s="272" t="s">
        <v>113</v>
      </c>
      <c r="F50" s="441" t="s">
        <v>112</v>
      </c>
      <c r="G50" s="441"/>
      <c r="H50" s="441"/>
      <c r="I50" s="441"/>
      <c r="J50" s="441"/>
      <c r="K50" s="441"/>
      <c r="L50" s="441"/>
      <c r="M50" s="442"/>
      <c r="N50" s="73" t="s">
        <v>117</v>
      </c>
      <c r="O50" s="272" t="s">
        <v>47</v>
      </c>
      <c r="P50" s="443" t="s">
        <v>48</v>
      </c>
      <c r="Q50" s="444"/>
      <c r="R50" s="443" t="s">
        <v>39</v>
      </c>
      <c r="S50" s="445"/>
      <c r="T50" s="445"/>
      <c r="U50" s="444"/>
      <c r="V50" s="443" t="s">
        <v>49</v>
      </c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57" t="s">
        <v>609</v>
      </c>
      <c r="B51" s="458"/>
      <c r="C51" s="273" t="s">
        <v>132</v>
      </c>
      <c r="D51" s="274" t="s">
        <v>610</v>
      </c>
      <c r="E51" s="273" t="s">
        <v>606</v>
      </c>
      <c r="F51" s="459" t="s">
        <v>611</v>
      </c>
      <c r="G51" s="459"/>
      <c r="H51" s="459"/>
      <c r="I51" s="459"/>
      <c r="J51" s="459"/>
      <c r="K51" s="459"/>
      <c r="L51" s="459"/>
      <c r="M51" s="460"/>
      <c r="N51" s="275" t="s">
        <v>583</v>
      </c>
      <c r="O51" s="74" t="s">
        <v>569</v>
      </c>
      <c r="P51" s="461" t="s">
        <v>58</v>
      </c>
      <c r="Q51" s="462"/>
      <c r="R51" s="463" t="s">
        <v>570</v>
      </c>
      <c r="S51" s="463"/>
      <c r="T51" s="463"/>
      <c r="U51" s="463"/>
      <c r="V51" s="459" t="s">
        <v>584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57" t="s">
        <v>122</v>
      </c>
      <c r="B52" s="458"/>
      <c r="C52" s="273" t="s">
        <v>131</v>
      </c>
      <c r="D52" s="274" t="s">
        <v>567</v>
      </c>
      <c r="E52" s="273" t="s">
        <v>557</v>
      </c>
      <c r="F52" s="459" t="s">
        <v>612</v>
      </c>
      <c r="G52" s="459"/>
      <c r="H52" s="459"/>
      <c r="I52" s="459"/>
      <c r="J52" s="459"/>
      <c r="K52" s="459"/>
      <c r="L52" s="459"/>
      <c r="M52" s="460"/>
      <c r="N52" s="275" t="s">
        <v>586</v>
      </c>
      <c r="O52" s="74" t="s">
        <v>132</v>
      </c>
      <c r="P52" s="461" t="s">
        <v>121</v>
      </c>
      <c r="Q52" s="462"/>
      <c r="R52" s="463" t="s">
        <v>585</v>
      </c>
      <c r="S52" s="463"/>
      <c r="T52" s="463"/>
      <c r="U52" s="463"/>
      <c r="V52" s="459" t="s">
        <v>615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57" t="s">
        <v>127</v>
      </c>
      <c r="B53" s="458"/>
      <c r="C53" s="273" t="s">
        <v>579</v>
      </c>
      <c r="D53" s="274" t="s">
        <v>580</v>
      </c>
      <c r="E53" s="273" t="s">
        <v>581</v>
      </c>
      <c r="F53" s="459" t="s">
        <v>613</v>
      </c>
      <c r="G53" s="459"/>
      <c r="H53" s="459"/>
      <c r="I53" s="459"/>
      <c r="J53" s="459"/>
      <c r="K53" s="459"/>
      <c r="L53" s="459"/>
      <c r="M53" s="460"/>
      <c r="N53" s="275" t="s">
        <v>122</v>
      </c>
      <c r="O53" s="74" t="s">
        <v>131</v>
      </c>
      <c r="P53" s="461" t="s">
        <v>616</v>
      </c>
      <c r="Q53" s="462"/>
      <c r="R53" s="463" t="s">
        <v>617</v>
      </c>
      <c r="S53" s="463"/>
      <c r="T53" s="463"/>
      <c r="U53" s="463"/>
      <c r="V53" s="459" t="s">
        <v>130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/>
      <c r="B54" s="458"/>
      <c r="C54" s="273"/>
      <c r="D54" s="274"/>
      <c r="E54" s="273"/>
      <c r="F54" s="459"/>
      <c r="G54" s="459"/>
      <c r="H54" s="459"/>
      <c r="I54" s="459"/>
      <c r="J54" s="459"/>
      <c r="K54" s="459"/>
      <c r="L54" s="459"/>
      <c r="M54" s="460"/>
      <c r="N54" s="275" t="s">
        <v>122</v>
      </c>
      <c r="O54" s="74" t="s">
        <v>618</v>
      </c>
      <c r="P54" s="461" t="s">
        <v>619</v>
      </c>
      <c r="Q54" s="462"/>
      <c r="R54" s="463" t="s">
        <v>620</v>
      </c>
      <c r="S54" s="463"/>
      <c r="T54" s="463"/>
      <c r="U54" s="463"/>
      <c r="V54" s="459" t="s">
        <v>621</v>
      </c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64"/>
      <c r="B55" s="463"/>
      <c r="C55" s="274"/>
      <c r="D55" s="274"/>
      <c r="E55" s="273"/>
      <c r="F55" s="459"/>
      <c r="G55" s="459"/>
      <c r="H55" s="459"/>
      <c r="I55" s="459"/>
      <c r="J55" s="459"/>
      <c r="K55" s="459"/>
      <c r="L55" s="459"/>
      <c r="M55" s="460"/>
      <c r="N55" s="275" t="s">
        <v>122</v>
      </c>
      <c r="O55" s="74" t="s">
        <v>622</v>
      </c>
      <c r="P55" s="461" t="s">
        <v>623</v>
      </c>
      <c r="Q55" s="462"/>
      <c r="R55" s="463" t="s">
        <v>624</v>
      </c>
      <c r="S55" s="463"/>
      <c r="T55" s="463"/>
      <c r="U55" s="463"/>
      <c r="V55" s="459" t="s">
        <v>621</v>
      </c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/>
      <c r="B56" s="463"/>
      <c r="C56" s="274"/>
      <c r="D56" s="274"/>
      <c r="E56" s="273"/>
      <c r="F56" s="459"/>
      <c r="G56" s="459"/>
      <c r="H56" s="459"/>
      <c r="I56" s="459"/>
      <c r="J56" s="459"/>
      <c r="K56" s="459"/>
      <c r="L56" s="459"/>
      <c r="M56" s="460"/>
      <c r="N56" s="275" t="s">
        <v>122</v>
      </c>
      <c r="O56" s="74" t="s">
        <v>625</v>
      </c>
      <c r="P56" s="463" t="s">
        <v>626</v>
      </c>
      <c r="Q56" s="463"/>
      <c r="R56" s="463" t="s">
        <v>627</v>
      </c>
      <c r="S56" s="463"/>
      <c r="T56" s="463"/>
      <c r="U56" s="463"/>
      <c r="V56" s="459" t="s">
        <v>621</v>
      </c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274"/>
      <c r="D57" s="274"/>
      <c r="E57" s="273"/>
      <c r="F57" s="459"/>
      <c r="G57" s="459"/>
      <c r="H57" s="459"/>
      <c r="I57" s="459"/>
      <c r="J57" s="459"/>
      <c r="K57" s="459"/>
      <c r="L57" s="459"/>
      <c r="M57" s="460"/>
      <c r="N57" s="275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57"/>
      <c r="B58" s="458"/>
      <c r="C58" s="273"/>
      <c r="D58" s="274"/>
      <c r="E58" s="273"/>
      <c r="F58" s="459"/>
      <c r="G58" s="459"/>
      <c r="H58" s="459"/>
      <c r="I58" s="459"/>
      <c r="J58" s="459"/>
      <c r="K58" s="459"/>
      <c r="L58" s="459"/>
      <c r="M58" s="460"/>
      <c r="N58" s="275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274"/>
      <c r="D59" s="274"/>
      <c r="E59" s="274"/>
      <c r="F59" s="459"/>
      <c r="G59" s="459"/>
      <c r="H59" s="459"/>
      <c r="I59" s="459"/>
      <c r="J59" s="459"/>
      <c r="K59" s="459"/>
      <c r="L59" s="459"/>
      <c r="M59" s="460"/>
      <c r="N59" s="275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  <c r="AF59" s="94">
        <f>8*3000</f>
        <v>24000</v>
      </c>
    </row>
    <row r="60" spans="1:32" ht="27" customHeight="1" thickBot="1">
      <c r="A60" s="465"/>
      <c r="B60" s="466"/>
      <c r="C60" s="277"/>
      <c r="D60" s="277"/>
      <c r="E60" s="277"/>
      <c r="F60" s="467"/>
      <c r="G60" s="467"/>
      <c r="H60" s="467"/>
      <c r="I60" s="467"/>
      <c r="J60" s="467"/>
      <c r="K60" s="467"/>
      <c r="L60" s="467"/>
      <c r="M60" s="468"/>
      <c r="N60" s="276"/>
      <c r="O60" s="121"/>
      <c r="P60" s="466"/>
      <c r="Q60" s="466"/>
      <c r="R60" s="466"/>
      <c r="S60" s="466"/>
      <c r="T60" s="466"/>
      <c r="U60" s="466"/>
      <c r="V60" s="467"/>
      <c r="W60" s="467"/>
      <c r="X60" s="467"/>
      <c r="Y60" s="467"/>
      <c r="Z60" s="467"/>
      <c r="AA60" s="467"/>
      <c r="AB60" s="467"/>
      <c r="AC60" s="467"/>
      <c r="AD60" s="468"/>
      <c r="AF60" s="94">
        <f>16*3000</f>
        <v>48000</v>
      </c>
    </row>
    <row r="61" spans="1:32" ht="27.75" thickBot="1">
      <c r="A61" s="469" t="s">
        <v>628</v>
      </c>
      <c r="B61" s="469"/>
      <c r="C61" s="469"/>
      <c r="D61" s="469"/>
      <c r="E61" s="469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70" t="s">
        <v>118</v>
      </c>
      <c r="B62" s="471"/>
      <c r="C62" s="278" t="s">
        <v>2</v>
      </c>
      <c r="D62" s="278" t="s">
        <v>38</v>
      </c>
      <c r="E62" s="278" t="s">
        <v>3</v>
      </c>
      <c r="F62" s="471" t="s">
        <v>115</v>
      </c>
      <c r="G62" s="471"/>
      <c r="H62" s="471"/>
      <c r="I62" s="471"/>
      <c r="J62" s="471"/>
      <c r="K62" s="471" t="s">
        <v>40</v>
      </c>
      <c r="L62" s="471"/>
      <c r="M62" s="278" t="s">
        <v>41</v>
      </c>
      <c r="N62" s="471" t="s">
        <v>42</v>
      </c>
      <c r="O62" s="471"/>
      <c r="P62" s="472" t="s">
        <v>43</v>
      </c>
      <c r="Q62" s="473"/>
      <c r="R62" s="472" t="s">
        <v>44</v>
      </c>
      <c r="S62" s="474"/>
      <c r="T62" s="474"/>
      <c r="U62" s="474"/>
      <c r="V62" s="474"/>
      <c r="W62" s="474"/>
      <c r="X62" s="474"/>
      <c r="Y62" s="474"/>
      <c r="Z62" s="474"/>
      <c r="AA62" s="473"/>
      <c r="AB62" s="471" t="s">
        <v>45</v>
      </c>
      <c r="AC62" s="471"/>
      <c r="AD62" s="475"/>
      <c r="AF62" s="94">
        <f>SUM(AF59:AF61)</f>
        <v>96000</v>
      </c>
    </row>
    <row r="63" spans="1:32" ht="25.5" customHeight="1">
      <c r="A63" s="476">
        <v>1</v>
      </c>
      <c r="B63" s="477"/>
      <c r="C63" s="133" t="s">
        <v>586</v>
      </c>
      <c r="D63" s="281"/>
      <c r="E63" s="279" t="s">
        <v>589</v>
      </c>
      <c r="F63" s="478" t="s">
        <v>594</v>
      </c>
      <c r="G63" s="479"/>
      <c r="H63" s="479"/>
      <c r="I63" s="479"/>
      <c r="J63" s="479"/>
      <c r="K63" s="479" t="s">
        <v>592</v>
      </c>
      <c r="L63" s="479"/>
      <c r="M63" s="54" t="s">
        <v>590</v>
      </c>
      <c r="N63" s="479">
        <v>7</v>
      </c>
      <c r="O63" s="479"/>
      <c r="P63" s="480">
        <v>50</v>
      </c>
      <c r="Q63" s="480"/>
      <c r="R63" s="459" t="s">
        <v>629</v>
      </c>
      <c r="S63" s="459"/>
      <c r="T63" s="459"/>
      <c r="U63" s="459"/>
      <c r="V63" s="459"/>
      <c r="W63" s="459"/>
      <c r="X63" s="459"/>
      <c r="Y63" s="459"/>
      <c r="Z63" s="459"/>
      <c r="AA63" s="459"/>
      <c r="AB63" s="479"/>
      <c r="AC63" s="479"/>
      <c r="AD63" s="481"/>
      <c r="AF63" s="53"/>
    </row>
    <row r="64" spans="1:32" ht="25.5" customHeight="1">
      <c r="A64" s="476">
        <v>2</v>
      </c>
      <c r="B64" s="477"/>
      <c r="C64" s="133"/>
      <c r="D64" s="281"/>
      <c r="E64" s="279"/>
      <c r="F64" s="478"/>
      <c r="G64" s="479"/>
      <c r="H64" s="479"/>
      <c r="I64" s="479"/>
      <c r="J64" s="479"/>
      <c r="K64" s="479"/>
      <c r="L64" s="479"/>
      <c r="M64" s="54"/>
      <c r="N64" s="479"/>
      <c r="O64" s="479"/>
      <c r="P64" s="480"/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</row>
    <row r="65" spans="1:32" ht="25.5" customHeight="1">
      <c r="A65" s="476">
        <v>3</v>
      </c>
      <c r="B65" s="477"/>
      <c r="C65" s="133"/>
      <c r="D65" s="281"/>
      <c r="E65" s="279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4</v>
      </c>
      <c r="B66" s="477"/>
      <c r="C66" s="133"/>
      <c r="D66" s="281"/>
      <c r="E66" s="279"/>
      <c r="F66" s="479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5</v>
      </c>
      <c r="B67" s="477"/>
      <c r="C67" s="133"/>
      <c r="D67" s="281"/>
      <c r="E67" s="279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6</v>
      </c>
      <c r="B68" s="477"/>
      <c r="C68" s="133"/>
      <c r="D68" s="281"/>
      <c r="E68" s="279"/>
      <c r="F68" s="478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7</v>
      </c>
      <c r="B69" s="477"/>
      <c r="C69" s="133"/>
      <c r="D69" s="281"/>
      <c r="E69" s="279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8</v>
      </c>
      <c r="B70" s="477"/>
      <c r="C70" s="133"/>
      <c r="D70" s="281"/>
      <c r="E70" s="279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6.25" customHeight="1" thickBot="1">
      <c r="A71" s="482" t="s">
        <v>634</v>
      </c>
      <c r="B71" s="482"/>
      <c r="C71" s="482"/>
      <c r="D71" s="482"/>
      <c r="E71" s="48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83" t="s">
        <v>118</v>
      </c>
      <c r="B72" s="484"/>
      <c r="C72" s="280" t="s">
        <v>2</v>
      </c>
      <c r="D72" s="280" t="s">
        <v>38</v>
      </c>
      <c r="E72" s="280" t="s">
        <v>3</v>
      </c>
      <c r="F72" s="484" t="s">
        <v>39</v>
      </c>
      <c r="G72" s="484"/>
      <c r="H72" s="484"/>
      <c r="I72" s="484"/>
      <c r="J72" s="484"/>
      <c r="K72" s="485" t="s">
        <v>60</v>
      </c>
      <c r="L72" s="486"/>
      <c r="M72" s="486"/>
      <c r="N72" s="486"/>
      <c r="O72" s="486"/>
      <c r="P72" s="486"/>
      <c r="Q72" s="486"/>
      <c r="R72" s="486"/>
      <c r="S72" s="487"/>
      <c r="T72" s="484" t="s">
        <v>50</v>
      </c>
      <c r="U72" s="484"/>
      <c r="V72" s="485" t="s">
        <v>51</v>
      </c>
      <c r="W72" s="487"/>
      <c r="X72" s="486" t="s">
        <v>52</v>
      </c>
      <c r="Y72" s="486"/>
      <c r="Z72" s="486"/>
      <c r="AA72" s="486"/>
      <c r="AB72" s="486"/>
      <c r="AC72" s="486"/>
      <c r="AD72" s="488"/>
      <c r="AF72" s="53"/>
    </row>
    <row r="73" spans="1:32" ht="33.75" customHeight="1">
      <c r="A73" s="497">
        <v>1</v>
      </c>
      <c r="B73" s="498"/>
      <c r="C73" s="282" t="s">
        <v>122</v>
      </c>
      <c r="D73" s="282"/>
      <c r="E73" s="71" t="s">
        <v>630</v>
      </c>
      <c r="F73" s="499" t="s">
        <v>617</v>
      </c>
      <c r="G73" s="500"/>
      <c r="H73" s="500"/>
      <c r="I73" s="500"/>
      <c r="J73" s="501"/>
      <c r="K73" s="502" t="s">
        <v>141</v>
      </c>
      <c r="L73" s="503"/>
      <c r="M73" s="503"/>
      <c r="N73" s="503"/>
      <c r="O73" s="503"/>
      <c r="P73" s="503"/>
      <c r="Q73" s="503"/>
      <c r="R73" s="503"/>
      <c r="S73" s="504"/>
      <c r="T73" s="505">
        <v>42871</v>
      </c>
      <c r="U73" s="506"/>
      <c r="V73" s="507"/>
      <c r="W73" s="507"/>
      <c r="X73" s="508"/>
      <c r="Y73" s="508"/>
      <c r="Z73" s="508"/>
      <c r="AA73" s="508"/>
      <c r="AB73" s="508"/>
      <c r="AC73" s="508"/>
      <c r="AD73" s="509"/>
      <c r="AF73" s="53"/>
    </row>
    <row r="74" spans="1:32" ht="30" customHeight="1">
      <c r="A74" s="489">
        <f>A73+1</f>
        <v>2</v>
      </c>
      <c r="B74" s="490"/>
      <c r="C74" s="281" t="s">
        <v>201</v>
      </c>
      <c r="D74" s="281"/>
      <c r="E74" s="35" t="s">
        <v>520</v>
      </c>
      <c r="F74" s="490" t="s">
        <v>394</v>
      </c>
      <c r="G74" s="490"/>
      <c r="H74" s="490"/>
      <c r="I74" s="490"/>
      <c r="J74" s="490"/>
      <c r="K74" s="491" t="s">
        <v>522</v>
      </c>
      <c r="L74" s="492"/>
      <c r="M74" s="492"/>
      <c r="N74" s="492"/>
      <c r="O74" s="492"/>
      <c r="P74" s="492"/>
      <c r="Q74" s="492"/>
      <c r="R74" s="492"/>
      <c r="S74" s="493"/>
      <c r="T74" s="494">
        <v>42867</v>
      </c>
      <c r="U74" s="494"/>
      <c r="V74" s="494"/>
      <c r="W74" s="494"/>
      <c r="X74" s="495"/>
      <c r="Y74" s="495"/>
      <c r="Z74" s="495"/>
      <c r="AA74" s="495"/>
      <c r="AB74" s="495"/>
      <c r="AC74" s="495"/>
      <c r="AD74" s="496"/>
      <c r="AF74" s="53"/>
    </row>
    <row r="75" spans="1:32" ht="30" customHeight="1">
      <c r="A75" s="489">
        <f t="shared" ref="A75:A81" si="12">A74+1</f>
        <v>3</v>
      </c>
      <c r="B75" s="490"/>
      <c r="C75" s="281" t="s">
        <v>597</v>
      </c>
      <c r="D75" s="281"/>
      <c r="E75" s="35" t="s">
        <v>598</v>
      </c>
      <c r="F75" s="490" t="s">
        <v>570</v>
      </c>
      <c r="G75" s="490"/>
      <c r="H75" s="490"/>
      <c r="I75" s="490"/>
      <c r="J75" s="490"/>
      <c r="K75" s="491" t="s">
        <v>599</v>
      </c>
      <c r="L75" s="492"/>
      <c r="M75" s="492"/>
      <c r="N75" s="492"/>
      <c r="O75" s="492"/>
      <c r="P75" s="492"/>
      <c r="Q75" s="492"/>
      <c r="R75" s="492"/>
      <c r="S75" s="493"/>
      <c r="T75" s="494">
        <v>42870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si="12"/>
        <v>4</v>
      </c>
      <c r="B76" s="490"/>
      <c r="C76" s="281" t="s">
        <v>127</v>
      </c>
      <c r="D76" s="281"/>
      <c r="E76" s="35" t="s">
        <v>631</v>
      </c>
      <c r="F76" s="490" t="s">
        <v>606</v>
      </c>
      <c r="G76" s="490"/>
      <c r="H76" s="490"/>
      <c r="I76" s="490"/>
      <c r="J76" s="490"/>
      <c r="K76" s="491" t="s">
        <v>632</v>
      </c>
      <c r="L76" s="492"/>
      <c r="M76" s="492"/>
      <c r="N76" s="492"/>
      <c r="O76" s="492"/>
      <c r="P76" s="492"/>
      <c r="Q76" s="492"/>
      <c r="R76" s="492"/>
      <c r="S76" s="493"/>
      <c r="T76" s="494">
        <v>42872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12"/>
        <v>5</v>
      </c>
      <c r="B77" s="490"/>
      <c r="C77" s="281"/>
      <c r="D77" s="281"/>
      <c r="E77" s="35"/>
      <c r="F77" s="490"/>
      <c r="G77" s="490"/>
      <c r="H77" s="490"/>
      <c r="I77" s="490"/>
      <c r="J77" s="490"/>
      <c r="K77" s="491"/>
      <c r="L77" s="492"/>
      <c r="M77" s="492"/>
      <c r="N77" s="492"/>
      <c r="O77" s="492"/>
      <c r="P77" s="492"/>
      <c r="Q77" s="492"/>
      <c r="R77" s="492"/>
      <c r="S77" s="493"/>
      <c r="T77" s="494"/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12"/>
        <v>6</v>
      </c>
      <c r="B78" s="490"/>
      <c r="C78" s="281"/>
      <c r="D78" s="281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12"/>
        <v>7</v>
      </c>
      <c r="B79" s="490"/>
      <c r="C79" s="281"/>
      <c r="D79" s="281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12"/>
        <v>8</v>
      </c>
      <c r="B80" s="490"/>
      <c r="C80" s="281"/>
      <c r="D80" s="281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12"/>
        <v>9</v>
      </c>
      <c r="B81" s="490"/>
      <c r="C81" s="281"/>
      <c r="D81" s="281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6" thickBot="1">
      <c r="A82" s="482" t="s">
        <v>633</v>
      </c>
      <c r="B82" s="482"/>
      <c r="C82" s="482"/>
      <c r="D82" s="482"/>
      <c r="E82" s="48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510" t="s">
        <v>37</v>
      </c>
      <c r="B83" s="511"/>
      <c r="C83" s="511" t="s">
        <v>53</v>
      </c>
      <c r="D83" s="511"/>
      <c r="E83" s="511" t="s">
        <v>54</v>
      </c>
      <c r="F83" s="511"/>
      <c r="G83" s="511"/>
      <c r="H83" s="511"/>
      <c r="I83" s="511"/>
      <c r="J83" s="511"/>
      <c r="K83" s="511" t="s">
        <v>55</v>
      </c>
      <c r="L83" s="511"/>
      <c r="M83" s="511"/>
      <c r="N83" s="511"/>
      <c r="O83" s="511"/>
      <c r="P83" s="511"/>
      <c r="Q83" s="511"/>
      <c r="R83" s="511"/>
      <c r="S83" s="511"/>
      <c r="T83" s="511" t="s">
        <v>56</v>
      </c>
      <c r="U83" s="511"/>
      <c r="V83" s="511" t="s">
        <v>57</v>
      </c>
      <c r="W83" s="511"/>
      <c r="X83" s="511"/>
      <c r="Y83" s="511" t="s">
        <v>52</v>
      </c>
      <c r="Z83" s="511"/>
      <c r="AA83" s="511"/>
      <c r="AB83" s="511"/>
      <c r="AC83" s="511"/>
      <c r="AD83" s="512"/>
      <c r="AF83" s="53"/>
    </row>
    <row r="84" spans="1:32" ht="30.75" customHeight="1">
      <c r="A84" s="513">
        <v>1</v>
      </c>
      <c r="B84" s="514"/>
      <c r="C84" s="515">
        <v>14</v>
      </c>
      <c r="D84" s="515"/>
      <c r="E84" s="515" t="s">
        <v>551</v>
      </c>
      <c r="F84" s="515"/>
      <c r="G84" s="515"/>
      <c r="H84" s="515"/>
      <c r="I84" s="515"/>
      <c r="J84" s="515"/>
      <c r="K84" s="515" t="s">
        <v>603</v>
      </c>
      <c r="L84" s="515"/>
      <c r="M84" s="515"/>
      <c r="N84" s="515"/>
      <c r="O84" s="515"/>
      <c r="P84" s="515"/>
      <c r="Q84" s="515"/>
      <c r="R84" s="515"/>
      <c r="S84" s="515"/>
      <c r="T84" s="515" t="s">
        <v>552</v>
      </c>
      <c r="U84" s="515"/>
      <c r="V84" s="516">
        <v>1440000</v>
      </c>
      <c r="W84" s="516"/>
      <c r="X84" s="516"/>
      <c r="Y84" s="517" t="s">
        <v>635</v>
      </c>
      <c r="Z84" s="517"/>
      <c r="AA84" s="517"/>
      <c r="AB84" s="517"/>
      <c r="AC84" s="517"/>
      <c r="AD84" s="518"/>
      <c r="AF84" s="53"/>
    </row>
    <row r="85" spans="1:32" ht="30.75" customHeight="1">
      <c r="A85" s="489">
        <v>2</v>
      </c>
      <c r="B85" s="490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 thickBot="1">
      <c r="A86" s="519">
        <v>3</v>
      </c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1"/>
      <c r="Z86" s="521"/>
      <c r="AA86" s="521"/>
      <c r="AB86" s="521"/>
      <c r="AC86" s="521"/>
      <c r="AD86" s="522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636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294" t="s">
        <v>17</v>
      </c>
      <c r="L5" s="294" t="s">
        <v>18</v>
      </c>
      <c r="M5" s="294" t="s">
        <v>19</v>
      </c>
      <c r="N5" s="29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0.32715974371269763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637</v>
      </c>
      <c r="D7" s="55" t="s">
        <v>145</v>
      </c>
      <c r="E7" s="56" t="s">
        <v>638</v>
      </c>
      <c r="F7" s="12" t="s">
        <v>180</v>
      </c>
      <c r="G7" s="36">
        <v>2</v>
      </c>
      <c r="H7" s="38">
        <v>25</v>
      </c>
      <c r="I7" s="7">
        <v>5000</v>
      </c>
      <c r="J7" s="14">
        <v>7082</v>
      </c>
      <c r="K7" s="15">
        <f>L7</f>
        <v>7082</v>
      </c>
      <c r="L7" s="15">
        <f>1360*2+2181*2</f>
        <v>7082</v>
      </c>
      <c r="M7" s="16">
        <f t="shared" si="0"/>
        <v>7082</v>
      </c>
      <c r="N7" s="16">
        <v>0</v>
      </c>
      <c r="O7" s="62">
        <f t="shared" si="1"/>
        <v>0</v>
      </c>
      <c r="P7" s="42">
        <f t="shared" si="2"/>
        <v>20</v>
      </c>
      <c r="Q7" s="43">
        <f t="shared" si="3"/>
        <v>4</v>
      </c>
      <c r="R7" s="7"/>
      <c r="S7" s="6"/>
      <c r="T7" s="17">
        <v>4</v>
      </c>
      <c r="U7" s="17"/>
      <c r="V7" s="18"/>
      <c r="W7" s="19"/>
      <c r="X7" s="17"/>
      <c r="Y7" s="20"/>
      <c r="Z7" s="20"/>
      <c r="AA7" s="21"/>
      <c r="AB7" s="8">
        <f t="shared" si="4"/>
        <v>1</v>
      </c>
      <c r="AC7" s="9">
        <f t="shared" si="5"/>
        <v>0.83333333333333337</v>
      </c>
      <c r="AD7" s="10">
        <f t="shared" si="6"/>
        <v>0.83333333333333337</v>
      </c>
      <c r="AE7" s="39">
        <f t="shared" si="7"/>
        <v>0.32715974371269763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122</v>
      </c>
      <c r="D8" s="55" t="s">
        <v>474</v>
      </c>
      <c r="E8" s="57" t="s">
        <v>475</v>
      </c>
      <c r="F8" s="12" t="s">
        <v>128</v>
      </c>
      <c r="G8" s="36" t="s">
        <v>476</v>
      </c>
      <c r="H8" s="38">
        <v>25</v>
      </c>
      <c r="I8" s="7">
        <v>19000</v>
      </c>
      <c r="J8" s="14">
        <v>3850</v>
      </c>
      <c r="K8" s="15">
        <f>L8+3811+7483+3425+6687+3842</f>
        <v>25248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0.32715974371269763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127</v>
      </c>
      <c r="D9" s="55" t="s">
        <v>121</v>
      </c>
      <c r="E9" s="57" t="s">
        <v>585</v>
      </c>
      <c r="F9" s="12" t="s">
        <v>305</v>
      </c>
      <c r="G9" s="12">
        <v>1</v>
      </c>
      <c r="H9" s="13">
        <v>25</v>
      </c>
      <c r="I9" s="34">
        <v>600</v>
      </c>
      <c r="J9" s="5">
        <v>685</v>
      </c>
      <c r="K9" s="15">
        <f>L9+2021</f>
        <v>2706</v>
      </c>
      <c r="L9" s="15">
        <v>685</v>
      </c>
      <c r="M9" s="16">
        <f t="shared" si="0"/>
        <v>685</v>
      </c>
      <c r="N9" s="16">
        <v>0</v>
      </c>
      <c r="O9" s="62">
        <f t="shared" si="1"/>
        <v>0</v>
      </c>
      <c r="P9" s="42">
        <f t="shared" si="2"/>
        <v>5</v>
      </c>
      <c r="Q9" s="43">
        <f t="shared" si="3"/>
        <v>19</v>
      </c>
      <c r="R9" s="7"/>
      <c r="S9" s="6">
        <v>19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0.20833333333333334</v>
      </c>
      <c r="AD9" s="10">
        <f t="shared" si="6"/>
        <v>0.20833333333333334</v>
      </c>
      <c r="AE9" s="39">
        <f t="shared" si="7"/>
        <v>0.32715974371269763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122</v>
      </c>
      <c r="D10" s="55" t="s">
        <v>556</v>
      </c>
      <c r="E10" s="57" t="s">
        <v>557</v>
      </c>
      <c r="F10" s="12" t="s">
        <v>558</v>
      </c>
      <c r="G10" s="12">
        <v>1</v>
      </c>
      <c r="H10" s="13">
        <v>25</v>
      </c>
      <c r="I10" s="34">
        <v>3000</v>
      </c>
      <c r="J10" s="14">
        <v>1220</v>
      </c>
      <c r="K10" s="15">
        <f>L10+3184+1514</f>
        <v>5911</v>
      </c>
      <c r="L10" s="15">
        <v>1213</v>
      </c>
      <c r="M10" s="16">
        <f t="shared" si="0"/>
        <v>1213</v>
      </c>
      <c r="N10" s="16">
        <v>0</v>
      </c>
      <c r="O10" s="62">
        <f t="shared" si="1"/>
        <v>0</v>
      </c>
      <c r="P10" s="42">
        <f t="shared" si="2"/>
        <v>6</v>
      </c>
      <c r="Q10" s="43">
        <f t="shared" si="3"/>
        <v>18</v>
      </c>
      <c r="R10" s="7"/>
      <c r="S10" s="6">
        <v>18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0.99426229508196717</v>
      </c>
      <c r="AC10" s="9">
        <f t="shared" si="5"/>
        <v>0.25</v>
      </c>
      <c r="AD10" s="10">
        <f t="shared" si="6"/>
        <v>0.24856557377049179</v>
      </c>
      <c r="AE10" s="39">
        <f t="shared" si="7"/>
        <v>0.32715974371269763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357</v>
      </c>
      <c r="F11" s="12" t="s">
        <v>358</v>
      </c>
      <c r="G11" s="12">
        <v>1</v>
      </c>
      <c r="H11" s="13">
        <v>25</v>
      </c>
      <c r="I11" s="34">
        <v>25000</v>
      </c>
      <c r="J11" s="14">
        <v>1550</v>
      </c>
      <c r="K11" s="15">
        <f>L11+3973+5965+4763+6085+2069+5247+5012</f>
        <v>34663</v>
      </c>
      <c r="L11" s="15">
        <v>1549</v>
      </c>
      <c r="M11" s="16">
        <f t="shared" si="0"/>
        <v>1549</v>
      </c>
      <c r="N11" s="16">
        <v>0</v>
      </c>
      <c r="O11" s="62">
        <f t="shared" si="1"/>
        <v>0</v>
      </c>
      <c r="P11" s="42">
        <f t="shared" si="2"/>
        <v>8</v>
      </c>
      <c r="Q11" s="43">
        <f t="shared" si="3"/>
        <v>16</v>
      </c>
      <c r="R11" s="7"/>
      <c r="S11" s="6"/>
      <c r="T11" s="17"/>
      <c r="U11" s="17"/>
      <c r="V11" s="18"/>
      <c r="W11" s="19">
        <v>16</v>
      </c>
      <c r="X11" s="17"/>
      <c r="Y11" s="20"/>
      <c r="Z11" s="20"/>
      <c r="AA11" s="21"/>
      <c r="AB11" s="8">
        <f t="shared" si="4"/>
        <v>0.99935483870967745</v>
      </c>
      <c r="AC11" s="9">
        <f t="shared" si="5"/>
        <v>0.33333333333333331</v>
      </c>
      <c r="AD11" s="10">
        <f t="shared" si="6"/>
        <v>0.33311827956989248</v>
      </c>
      <c r="AE11" s="39">
        <f t="shared" si="7"/>
        <v>0.32715974371269763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411</v>
      </c>
      <c r="D12" s="55" t="s">
        <v>381</v>
      </c>
      <c r="E12" s="57" t="s">
        <v>382</v>
      </c>
      <c r="F12" s="12" t="s">
        <v>128</v>
      </c>
      <c r="G12" s="12">
        <v>1</v>
      </c>
      <c r="H12" s="13">
        <v>25</v>
      </c>
      <c r="I12" s="34">
        <v>1000</v>
      </c>
      <c r="J12" s="5">
        <v>2320</v>
      </c>
      <c r="K12" s="15">
        <f>L12+2316</f>
        <v>2316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0.32715974371269763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381</v>
      </c>
      <c r="E13" s="57" t="s">
        <v>481</v>
      </c>
      <c r="F13" s="12">
        <v>7301</v>
      </c>
      <c r="G13" s="12">
        <v>1</v>
      </c>
      <c r="H13" s="13">
        <v>25</v>
      </c>
      <c r="I13" s="7">
        <f>19000+3000+2000</f>
        <v>24000</v>
      </c>
      <c r="J13" s="14">
        <v>4780</v>
      </c>
      <c r="K13" s="15">
        <f>L13+2220+5017+1817+2803+4770</f>
        <v>21406</v>
      </c>
      <c r="L13" s="15">
        <f>2481+2298</f>
        <v>4779</v>
      </c>
      <c r="M13" s="16">
        <f t="shared" si="0"/>
        <v>4779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0.99979079497907952</v>
      </c>
      <c r="AC13" s="9">
        <f t="shared" si="5"/>
        <v>1</v>
      </c>
      <c r="AD13" s="10">
        <f t="shared" si="6"/>
        <v>0.99979079497907952</v>
      </c>
      <c r="AE13" s="39">
        <f t="shared" si="7"/>
        <v>0.32715974371269763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560</v>
      </c>
      <c r="F14" s="33" t="s">
        <v>561</v>
      </c>
      <c r="G14" s="36">
        <v>1</v>
      </c>
      <c r="H14" s="38">
        <v>50</v>
      </c>
      <c r="I14" s="7">
        <v>100</v>
      </c>
      <c r="J14" s="5">
        <v>470</v>
      </c>
      <c r="K14" s="15">
        <f>L14</f>
        <v>462</v>
      </c>
      <c r="L14" s="15">
        <f>462</f>
        <v>462</v>
      </c>
      <c r="M14" s="16">
        <f t="shared" si="0"/>
        <v>462</v>
      </c>
      <c r="N14" s="16">
        <v>0</v>
      </c>
      <c r="O14" s="62">
        <f t="shared" si="1"/>
        <v>0</v>
      </c>
      <c r="P14" s="42">
        <f t="shared" si="2"/>
        <v>9</v>
      </c>
      <c r="Q14" s="43">
        <f t="shared" si="3"/>
        <v>15</v>
      </c>
      <c r="R14" s="7"/>
      <c r="S14" s="6"/>
      <c r="T14" s="17"/>
      <c r="U14" s="17"/>
      <c r="V14" s="18"/>
      <c r="W14" s="19">
        <v>15</v>
      </c>
      <c r="X14" s="17"/>
      <c r="Y14" s="20"/>
      <c r="Z14" s="20"/>
      <c r="AA14" s="21"/>
      <c r="AB14" s="8">
        <f t="shared" si="4"/>
        <v>0.98297872340425529</v>
      </c>
      <c r="AC14" s="9">
        <f t="shared" si="5"/>
        <v>0.375</v>
      </c>
      <c r="AD14" s="10">
        <f t="shared" si="6"/>
        <v>0.36861702127659574</v>
      </c>
      <c r="AE14" s="39">
        <f t="shared" si="7"/>
        <v>0.32715974371269763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154</v>
      </c>
      <c r="D15" s="55" t="s">
        <v>284</v>
      </c>
      <c r="E15" s="57" t="s">
        <v>430</v>
      </c>
      <c r="F15" s="12" t="s">
        <v>424</v>
      </c>
      <c r="G15" s="12">
        <v>1</v>
      </c>
      <c r="H15" s="13">
        <v>25</v>
      </c>
      <c r="I15" s="34">
        <v>200</v>
      </c>
      <c r="J15" s="5">
        <v>300</v>
      </c>
      <c r="K15" s="15">
        <f>L15+2138+3980+300</f>
        <v>6418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/>
      <c r="X15" s="17"/>
      <c r="Y15" s="20"/>
      <c r="Z15" s="20"/>
      <c r="AA15" s="21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0.32715974371269763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122</v>
      </c>
      <c r="D16" s="55" t="s">
        <v>381</v>
      </c>
      <c r="E16" s="57" t="s">
        <v>639</v>
      </c>
      <c r="F16" s="12">
        <v>7301</v>
      </c>
      <c r="G16" s="36">
        <v>1</v>
      </c>
      <c r="H16" s="38">
        <v>25</v>
      </c>
      <c r="I16" s="7">
        <v>5000</v>
      </c>
      <c r="J16" s="14">
        <v>2260</v>
      </c>
      <c r="K16" s="15">
        <f>L16</f>
        <v>2257</v>
      </c>
      <c r="L16" s="15">
        <f>2257</f>
        <v>2257</v>
      </c>
      <c r="M16" s="16">
        <f t="shared" si="0"/>
        <v>2257</v>
      </c>
      <c r="N16" s="16">
        <v>0</v>
      </c>
      <c r="O16" s="62">
        <f t="shared" si="1"/>
        <v>0</v>
      </c>
      <c r="P16" s="42">
        <f t="shared" si="2"/>
        <v>13</v>
      </c>
      <c r="Q16" s="43">
        <f t="shared" si="3"/>
        <v>11</v>
      </c>
      <c r="R16" s="7"/>
      <c r="S16" s="6">
        <v>11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0.99867256637168145</v>
      </c>
      <c r="AC16" s="9">
        <f t="shared" si="5"/>
        <v>0.54166666666666663</v>
      </c>
      <c r="AD16" s="10">
        <f t="shared" si="6"/>
        <v>0.54094764011799412</v>
      </c>
      <c r="AE16" s="39">
        <f t="shared" si="7"/>
        <v>0.32715974371269763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411</v>
      </c>
      <c r="D17" s="55" t="s">
        <v>388</v>
      </c>
      <c r="E17" s="56" t="s">
        <v>389</v>
      </c>
      <c r="F17" s="12">
        <v>8301</v>
      </c>
      <c r="G17" s="12">
        <v>1</v>
      </c>
      <c r="H17" s="13">
        <v>25</v>
      </c>
      <c r="I17" s="34">
        <v>8000</v>
      </c>
      <c r="J17" s="5">
        <v>4730</v>
      </c>
      <c r="K17" s="15">
        <f>L17+3739+4348+4721</f>
        <v>12808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/>
      <c r="X17" s="17"/>
      <c r="Y17" s="20"/>
      <c r="Z17" s="20"/>
      <c r="AA17" s="21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0.32715974371269763</v>
      </c>
      <c r="AF17" s="94">
        <f t="shared" si="8"/>
        <v>12</v>
      </c>
    </row>
    <row r="18" spans="1:32" ht="27" customHeight="1">
      <c r="A18" s="110">
        <v>13</v>
      </c>
      <c r="B18" s="11" t="s">
        <v>293</v>
      </c>
      <c r="C18" s="37" t="s">
        <v>127</v>
      </c>
      <c r="D18" s="55" t="s">
        <v>58</v>
      </c>
      <c r="E18" s="57" t="s">
        <v>155</v>
      </c>
      <c r="F18" s="12" t="s">
        <v>156</v>
      </c>
      <c r="G18" s="12">
        <v>1</v>
      </c>
      <c r="H18" s="13">
        <v>25</v>
      </c>
      <c r="I18" s="34">
        <v>30000</v>
      </c>
      <c r="J18" s="5">
        <v>1620</v>
      </c>
      <c r="K18" s="15">
        <f>L18+3759+4632+4258+3104+2109+2902+3658+2023+2861+3110</f>
        <v>34035</v>
      </c>
      <c r="L18" s="15">
        <v>1619</v>
      </c>
      <c r="M18" s="16">
        <f t="shared" si="0"/>
        <v>1619</v>
      </c>
      <c r="N18" s="16">
        <v>0</v>
      </c>
      <c r="O18" s="62">
        <f t="shared" si="1"/>
        <v>0</v>
      </c>
      <c r="P18" s="42">
        <f t="shared" si="2"/>
        <v>9</v>
      </c>
      <c r="Q18" s="43">
        <f t="shared" si="3"/>
        <v>15</v>
      </c>
      <c r="R18" s="7"/>
      <c r="S18" s="6">
        <v>15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0.99938271604938267</v>
      </c>
      <c r="AC18" s="9">
        <f t="shared" si="5"/>
        <v>0.375</v>
      </c>
      <c r="AD18" s="10">
        <f t="shared" si="6"/>
        <v>0.3747685185185185</v>
      </c>
      <c r="AE18" s="39">
        <f t="shared" si="7"/>
        <v>0.32715974371269763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58</v>
      </c>
      <c r="E19" s="57" t="s">
        <v>301</v>
      </c>
      <c r="F19" s="33" t="s">
        <v>126</v>
      </c>
      <c r="G19" s="36">
        <v>2</v>
      </c>
      <c r="H19" s="38">
        <v>25</v>
      </c>
      <c r="I19" s="34">
        <v>12000</v>
      </c>
      <c r="J19" s="5">
        <v>4350</v>
      </c>
      <c r="K19" s="15">
        <f>L19+8110+4344</f>
        <v>12454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>
        <v>24</v>
      </c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0.32715974371269763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421</v>
      </c>
      <c r="F20" s="12" t="s">
        <v>120</v>
      </c>
      <c r="G20" s="12">
        <v>4</v>
      </c>
      <c r="H20" s="38">
        <v>20</v>
      </c>
      <c r="I20" s="7">
        <v>300000</v>
      </c>
      <c r="J20" s="14">
        <v>51060</v>
      </c>
      <c r="K20" s="15">
        <f>L20+42812+51888+32020+21560+42804+48600</f>
        <v>290740</v>
      </c>
      <c r="L20" s="15">
        <f>6886*4+5878*4</f>
        <v>51056</v>
      </c>
      <c r="M20" s="16">
        <f t="shared" si="0"/>
        <v>51056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0.99992166079122602</v>
      </c>
      <c r="AC20" s="9">
        <f t="shared" si="5"/>
        <v>1</v>
      </c>
      <c r="AD20" s="10">
        <f t="shared" si="6"/>
        <v>0.99992166079122602</v>
      </c>
      <c r="AE20" s="39">
        <f t="shared" si="7"/>
        <v>0.32715974371269763</v>
      </c>
      <c r="AF20" s="94">
        <f t="shared" si="8"/>
        <v>15</v>
      </c>
    </row>
    <row r="21" spans="1:32" ht="31.5" customHeight="1" thickBot="1">
      <c r="A21" s="430" t="s">
        <v>34</v>
      </c>
      <c r="B21" s="431"/>
      <c r="C21" s="431"/>
      <c r="D21" s="431"/>
      <c r="E21" s="431"/>
      <c r="F21" s="431"/>
      <c r="G21" s="431"/>
      <c r="H21" s="432"/>
      <c r="I21" s="25">
        <f t="shared" ref="I21:N21" si="10">SUM(I6:I20)</f>
        <v>436900</v>
      </c>
      <c r="J21" s="22">
        <f t="shared" si="10"/>
        <v>92417</v>
      </c>
      <c r="K21" s="23">
        <f t="shared" si="10"/>
        <v>464640</v>
      </c>
      <c r="L21" s="24">
        <f t="shared" si="10"/>
        <v>70702</v>
      </c>
      <c r="M21" s="23">
        <f t="shared" si="10"/>
        <v>70702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118</v>
      </c>
      <c r="Q21" s="46">
        <f t="shared" si="11"/>
        <v>242</v>
      </c>
      <c r="R21" s="26">
        <f t="shared" si="11"/>
        <v>24</v>
      </c>
      <c r="S21" s="27">
        <f t="shared" si="11"/>
        <v>63</v>
      </c>
      <c r="T21" s="27">
        <f t="shared" si="11"/>
        <v>4</v>
      </c>
      <c r="U21" s="27">
        <f t="shared" si="11"/>
        <v>0</v>
      </c>
      <c r="V21" s="28">
        <f t="shared" si="11"/>
        <v>0</v>
      </c>
      <c r="W21" s="29">
        <f t="shared" si="11"/>
        <v>103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48</v>
      </c>
      <c r="AB21" s="31">
        <f>SUM(AB6:AB20)/15</f>
        <v>0.59829090635915139</v>
      </c>
      <c r="AC21" s="4">
        <f>SUM(AC6:AC20)/15</f>
        <v>0.32777777777777772</v>
      </c>
      <c r="AD21" s="4">
        <f>SUM(AD6:AD20)/15</f>
        <v>0.32715974371269763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33" t="s">
        <v>46</v>
      </c>
      <c r="B48" s="433"/>
      <c r="C48" s="433"/>
      <c r="D48" s="433"/>
      <c r="E48" s="43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4" t="s">
        <v>640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6"/>
      <c r="N49" s="437" t="s">
        <v>650</v>
      </c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9"/>
    </row>
    <row r="50" spans="1:32" ht="27" customHeight="1">
      <c r="A50" s="440" t="s">
        <v>2</v>
      </c>
      <c r="B50" s="441"/>
      <c r="C50" s="293" t="s">
        <v>47</v>
      </c>
      <c r="D50" s="293" t="s">
        <v>48</v>
      </c>
      <c r="E50" s="293" t="s">
        <v>113</v>
      </c>
      <c r="F50" s="441" t="s">
        <v>112</v>
      </c>
      <c r="G50" s="441"/>
      <c r="H50" s="441"/>
      <c r="I50" s="441"/>
      <c r="J50" s="441"/>
      <c r="K50" s="441"/>
      <c r="L50" s="441"/>
      <c r="M50" s="442"/>
      <c r="N50" s="73" t="s">
        <v>117</v>
      </c>
      <c r="O50" s="293" t="s">
        <v>47</v>
      </c>
      <c r="P50" s="443" t="s">
        <v>48</v>
      </c>
      <c r="Q50" s="444"/>
      <c r="R50" s="443" t="s">
        <v>39</v>
      </c>
      <c r="S50" s="445"/>
      <c r="T50" s="445"/>
      <c r="U50" s="444"/>
      <c r="V50" s="443" t="s">
        <v>49</v>
      </c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57" t="s">
        <v>127</v>
      </c>
      <c r="B51" s="458"/>
      <c r="C51" s="292" t="s">
        <v>132</v>
      </c>
      <c r="D51" s="289" t="s">
        <v>121</v>
      </c>
      <c r="E51" s="292" t="s">
        <v>585</v>
      </c>
      <c r="F51" s="459" t="s">
        <v>641</v>
      </c>
      <c r="G51" s="459"/>
      <c r="H51" s="459"/>
      <c r="I51" s="459"/>
      <c r="J51" s="459"/>
      <c r="K51" s="459"/>
      <c r="L51" s="459"/>
      <c r="M51" s="460"/>
      <c r="N51" s="288" t="s">
        <v>122</v>
      </c>
      <c r="O51" s="74" t="s">
        <v>131</v>
      </c>
      <c r="P51" s="461" t="s">
        <v>556</v>
      </c>
      <c r="Q51" s="462"/>
      <c r="R51" s="463" t="s">
        <v>557</v>
      </c>
      <c r="S51" s="463"/>
      <c r="T51" s="463"/>
      <c r="U51" s="463"/>
      <c r="V51" s="459" t="s">
        <v>130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57" t="s">
        <v>122</v>
      </c>
      <c r="B52" s="458"/>
      <c r="C52" s="292" t="s">
        <v>131</v>
      </c>
      <c r="D52" s="289" t="s">
        <v>556</v>
      </c>
      <c r="E52" s="292" t="s">
        <v>557</v>
      </c>
      <c r="F52" s="459" t="s">
        <v>612</v>
      </c>
      <c r="G52" s="459"/>
      <c r="H52" s="459"/>
      <c r="I52" s="459"/>
      <c r="J52" s="459"/>
      <c r="K52" s="459"/>
      <c r="L52" s="459"/>
      <c r="M52" s="460"/>
      <c r="N52" s="288" t="s">
        <v>127</v>
      </c>
      <c r="O52" s="74" t="s">
        <v>132</v>
      </c>
      <c r="P52" s="461" t="s">
        <v>121</v>
      </c>
      <c r="Q52" s="462"/>
      <c r="R52" s="463" t="s">
        <v>585</v>
      </c>
      <c r="S52" s="463"/>
      <c r="T52" s="463"/>
      <c r="U52" s="463"/>
      <c r="V52" s="459" t="s">
        <v>130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57" t="s">
        <v>642</v>
      </c>
      <c r="B53" s="458"/>
      <c r="C53" s="292" t="s">
        <v>618</v>
      </c>
      <c r="D53" s="289" t="s">
        <v>145</v>
      </c>
      <c r="E53" s="292" t="s">
        <v>638</v>
      </c>
      <c r="F53" s="459" t="s">
        <v>643</v>
      </c>
      <c r="G53" s="459"/>
      <c r="H53" s="459"/>
      <c r="I53" s="459"/>
      <c r="J53" s="459"/>
      <c r="K53" s="459"/>
      <c r="L53" s="459"/>
      <c r="M53" s="460"/>
      <c r="N53" s="288" t="s">
        <v>122</v>
      </c>
      <c r="O53" s="74" t="s">
        <v>387</v>
      </c>
      <c r="P53" s="461" t="s">
        <v>143</v>
      </c>
      <c r="Q53" s="462"/>
      <c r="R53" s="463" t="s">
        <v>151</v>
      </c>
      <c r="S53" s="463"/>
      <c r="T53" s="463"/>
      <c r="U53" s="463"/>
      <c r="V53" s="459" t="s">
        <v>651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 t="s">
        <v>642</v>
      </c>
      <c r="B54" s="458"/>
      <c r="C54" s="292" t="s">
        <v>644</v>
      </c>
      <c r="D54" s="289" t="s">
        <v>381</v>
      </c>
      <c r="E54" s="292" t="s">
        <v>645</v>
      </c>
      <c r="F54" s="459" t="s">
        <v>243</v>
      </c>
      <c r="G54" s="459"/>
      <c r="H54" s="459"/>
      <c r="I54" s="459"/>
      <c r="J54" s="459"/>
      <c r="K54" s="459"/>
      <c r="L54" s="459"/>
      <c r="M54" s="460"/>
      <c r="N54" s="288" t="s">
        <v>652</v>
      </c>
      <c r="O54" s="74" t="s">
        <v>217</v>
      </c>
      <c r="P54" s="461" t="s">
        <v>653</v>
      </c>
      <c r="Q54" s="462"/>
      <c r="R54" s="463" t="s">
        <v>654</v>
      </c>
      <c r="S54" s="463"/>
      <c r="T54" s="463"/>
      <c r="U54" s="463"/>
      <c r="V54" s="459" t="s">
        <v>655</v>
      </c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64" t="s">
        <v>642</v>
      </c>
      <c r="B55" s="463"/>
      <c r="C55" s="289" t="s">
        <v>646</v>
      </c>
      <c r="D55" s="289" t="s">
        <v>647</v>
      </c>
      <c r="E55" s="292" t="s">
        <v>648</v>
      </c>
      <c r="F55" s="459" t="s">
        <v>649</v>
      </c>
      <c r="G55" s="459"/>
      <c r="H55" s="459"/>
      <c r="I55" s="459"/>
      <c r="J55" s="459"/>
      <c r="K55" s="459"/>
      <c r="L55" s="459"/>
      <c r="M55" s="460"/>
      <c r="N55" s="288"/>
      <c r="O55" s="74"/>
      <c r="P55" s="461"/>
      <c r="Q55" s="462"/>
      <c r="R55" s="463"/>
      <c r="S55" s="463"/>
      <c r="T55" s="463"/>
      <c r="U55" s="463"/>
      <c r="V55" s="459"/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/>
      <c r="B56" s="463"/>
      <c r="C56" s="289"/>
      <c r="D56" s="289"/>
      <c r="E56" s="292"/>
      <c r="F56" s="459"/>
      <c r="G56" s="459"/>
      <c r="H56" s="459"/>
      <c r="I56" s="459"/>
      <c r="J56" s="459"/>
      <c r="K56" s="459"/>
      <c r="L56" s="459"/>
      <c r="M56" s="460"/>
      <c r="N56" s="288"/>
      <c r="O56" s="74"/>
      <c r="P56" s="463"/>
      <c r="Q56" s="463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289"/>
      <c r="D57" s="289"/>
      <c r="E57" s="292"/>
      <c r="F57" s="459"/>
      <c r="G57" s="459"/>
      <c r="H57" s="459"/>
      <c r="I57" s="459"/>
      <c r="J57" s="459"/>
      <c r="K57" s="459"/>
      <c r="L57" s="459"/>
      <c r="M57" s="460"/>
      <c r="N57" s="288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57"/>
      <c r="B58" s="458"/>
      <c r="C58" s="292"/>
      <c r="D58" s="289"/>
      <c r="E58" s="292"/>
      <c r="F58" s="459"/>
      <c r="G58" s="459"/>
      <c r="H58" s="459"/>
      <c r="I58" s="459"/>
      <c r="J58" s="459"/>
      <c r="K58" s="459"/>
      <c r="L58" s="459"/>
      <c r="M58" s="460"/>
      <c r="N58" s="288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289"/>
      <c r="D59" s="289"/>
      <c r="E59" s="289"/>
      <c r="F59" s="459"/>
      <c r="G59" s="459"/>
      <c r="H59" s="459"/>
      <c r="I59" s="459"/>
      <c r="J59" s="459"/>
      <c r="K59" s="459"/>
      <c r="L59" s="459"/>
      <c r="M59" s="460"/>
      <c r="N59" s="288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  <c r="AF59" s="94">
        <f>8*3000</f>
        <v>24000</v>
      </c>
    </row>
    <row r="60" spans="1:32" ht="27" customHeight="1" thickBot="1">
      <c r="A60" s="465"/>
      <c r="B60" s="466"/>
      <c r="C60" s="291"/>
      <c r="D60" s="291"/>
      <c r="E60" s="291"/>
      <c r="F60" s="467"/>
      <c r="G60" s="467"/>
      <c r="H60" s="467"/>
      <c r="I60" s="467"/>
      <c r="J60" s="467"/>
      <c r="K60" s="467"/>
      <c r="L60" s="467"/>
      <c r="M60" s="468"/>
      <c r="N60" s="290"/>
      <c r="O60" s="121"/>
      <c r="P60" s="466"/>
      <c r="Q60" s="466"/>
      <c r="R60" s="466"/>
      <c r="S60" s="466"/>
      <c r="T60" s="466"/>
      <c r="U60" s="466"/>
      <c r="V60" s="467"/>
      <c r="W60" s="467"/>
      <c r="X60" s="467"/>
      <c r="Y60" s="467"/>
      <c r="Z60" s="467"/>
      <c r="AA60" s="467"/>
      <c r="AB60" s="467"/>
      <c r="AC60" s="467"/>
      <c r="AD60" s="468"/>
      <c r="AF60" s="94">
        <f>16*3000</f>
        <v>48000</v>
      </c>
    </row>
    <row r="61" spans="1:32" ht="27.75" thickBot="1">
      <c r="A61" s="469" t="s">
        <v>656</v>
      </c>
      <c r="B61" s="469"/>
      <c r="C61" s="469"/>
      <c r="D61" s="469"/>
      <c r="E61" s="469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70" t="s">
        <v>118</v>
      </c>
      <c r="B62" s="471"/>
      <c r="C62" s="287" t="s">
        <v>2</v>
      </c>
      <c r="D62" s="287" t="s">
        <v>38</v>
      </c>
      <c r="E62" s="287" t="s">
        <v>3</v>
      </c>
      <c r="F62" s="471" t="s">
        <v>115</v>
      </c>
      <c r="G62" s="471"/>
      <c r="H62" s="471"/>
      <c r="I62" s="471"/>
      <c r="J62" s="471"/>
      <c r="K62" s="471" t="s">
        <v>40</v>
      </c>
      <c r="L62" s="471"/>
      <c r="M62" s="287" t="s">
        <v>41</v>
      </c>
      <c r="N62" s="471" t="s">
        <v>42</v>
      </c>
      <c r="O62" s="471"/>
      <c r="P62" s="472" t="s">
        <v>43</v>
      </c>
      <c r="Q62" s="473"/>
      <c r="R62" s="472" t="s">
        <v>44</v>
      </c>
      <c r="S62" s="474"/>
      <c r="T62" s="474"/>
      <c r="U62" s="474"/>
      <c r="V62" s="474"/>
      <c r="W62" s="474"/>
      <c r="X62" s="474"/>
      <c r="Y62" s="474"/>
      <c r="Z62" s="474"/>
      <c r="AA62" s="473"/>
      <c r="AB62" s="471" t="s">
        <v>45</v>
      </c>
      <c r="AC62" s="471"/>
      <c r="AD62" s="475"/>
      <c r="AF62" s="94">
        <f>SUM(AF59:AF61)</f>
        <v>96000</v>
      </c>
    </row>
    <row r="63" spans="1:32" ht="25.5" customHeight="1">
      <c r="A63" s="476">
        <v>1</v>
      </c>
      <c r="B63" s="477"/>
      <c r="C63" s="133" t="s">
        <v>127</v>
      </c>
      <c r="D63" s="283"/>
      <c r="E63" s="285" t="s">
        <v>58</v>
      </c>
      <c r="F63" s="478" t="s">
        <v>657</v>
      </c>
      <c r="G63" s="479"/>
      <c r="H63" s="479"/>
      <c r="I63" s="479"/>
      <c r="J63" s="479"/>
      <c r="K63" s="479" t="s">
        <v>658</v>
      </c>
      <c r="L63" s="479"/>
      <c r="M63" s="54" t="s">
        <v>306</v>
      </c>
      <c r="N63" s="479">
        <v>7</v>
      </c>
      <c r="O63" s="479"/>
      <c r="P63" s="480">
        <v>60</v>
      </c>
      <c r="Q63" s="480"/>
      <c r="R63" s="459"/>
      <c r="S63" s="459"/>
      <c r="T63" s="459"/>
      <c r="U63" s="459"/>
      <c r="V63" s="459"/>
      <c r="W63" s="459"/>
      <c r="X63" s="459"/>
      <c r="Y63" s="459"/>
      <c r="Z63" s="459"/>
      <c r="AA63" s="459"/>
      <c r="AB63" s="479"/>
      <c r="AC63" s="479"/>
      <c r="AD63" s="481"/>
      <c r="AF63" s="53"/>
    </row>
    <row r="64" spans="1:32" ht="25.5" customHeight="1">
      <c r="A64" s="476">
        <v>2</v>
      </c>
      <c r="B64" s="477"/>
      <c r="C64" s="133" t="s">
        <v>127</v>
      </c>
      <c r="D64" s="283"/>
      <c r="E64" s="285" t="s">
        <v>659</v>
      </c>
      <c r="F64" s="478" t="s">
        <v>660</v>
      </c>
      <c r="G64" s="479"/>
      <c r="H64" s="479"/>
      <c r="I64" s="479"/>
      <c r="J64" s="479"/>
      <c r="K64" s="479" t="s">
        <v>661</v>
      </c>
      <c r="L64" s="479"/>
      <c r="M64" s="54" t="s">
        <v>306</v>
      </c>
      <c r="N64" s="479">
        <v>7</v>
      </c>
      <c r="O64" s="479"/>
      <c r="P64" s="480">
        <v>60</v>
      </c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</row>
    <row r="65" spans="1:32" ht="25.5" customHeight="1">
      <c r="A65" s="476">
        <v>3</v>
      </c>
      <c r="B65" s="477"/>
      <c r="C65" s="133" t="s">
        <v>127</v>
      </c>
      <c r="D65" s="283"/>
      <c r="E65" s="285" t="s">
        <v>58</v>
      </c>
      <c r="F65" s="478" t="s">
        <v>662</v>
      </c>
      <c r="G65" s="479"/>
      <c r="H65" s="479"/>
      <c r="I65" s="479"/>
      <c r="J65" s="479"/>
      <c r="K65" s="479" t="s">
        <v>658</v>
      </c>
      <c r="L65" s="479"/>
      <c r="M65" s="54" t="s">
        <v>306</v>
      </c>
      <c r="N65" s="479">
        <v>4</v>
      </c>
      <c r="O65" s="479"/>
      <c r="P65" s="480">
        <v>50</v>
      </c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4</v>
      </c>
      <c r="B66" s="477"/>
      <c r="C66" s="133"/>
      <c r="D66" s="283"/>
      <c r="E66" s="285"/>
      <c r="F66" s="479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5</v>
      </c>
      <c r="B67" s="477"/>
      <c r="C67" s="133"/>
      <c r="D67" s="283"/>
      <c r="E67" s="285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6</v>
      </c>
      <c r="B68" s="477"/>
      <c r="C68" s="133"/>
      <c r="D68" s="283"/>
      <c r="E68" s="285"/>
      <c r="F68" s="478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7</v>
      </c>
      <c r="B69" s="477"/>
      <c r="C69" s="133"/>
      <c r="D69" s="283"/>
      <c r="E69" s="285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8</v>
      </c>
      <c r="B70" s="477"/>
      <c r="C70" s="133"/>
      <c r="D70" s="283"/>
      <c r="E70" s="285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6.25" customHeight="1" thickBot="1">
      <c r="A71" s="482" t="s">
        <v>663</v>
      </c>
      <c r="B71" s="482"/>
      <c r="C71" s="482"/>
      <c r="D71" s="482"/>
      <c r="E71" s="48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83" t="s">
        <v>118</v>
      </c>
      <c r="B72" s="484"/>
      <c r="C72" s="286" t="s">
        <v>2</v>
      </c>
      <c r="D72" s="286" t="s">
        <v>38</v>
      </c>
      <c r="E72" s="286" t="s">
        <v>3</v>
      </c>
      <c r="F72" s="484" t="s">
        <v>39</v>
      </c>
      <c r="G72" s="484"/>
      <c r="H72" s="484"/>
      <c r="I72" s="484"/>
      <c r="J72" s="484"/>
      <c r="K72" s="485" t="s">
        <v>60</v>
      </c>
      <c r="L72" s="486"/>
      <c r="M72" s="486"/>
      <c r="N72" s="486"/>
      <c r="O72" s="486"/>
      <c r="P72" s="486"/>
      <c r="Q72" s="486"/>
      <c r="R72" s="486"/>
      <c r="S72" s="487"/>
      <c r="T72" s="484" t="s">
        <v>50</v>
      </c>
      <c r="U72" s="484"/>
      <c r="V72" s="485" t="s">
        <v>51</v>
      </c>
      <c r="W72" s="487"/>
      <c r="X72" s="486" t="s">
        <v>52</v>
      </c>
      <c r="Y72" s="486"/>
      <c r="Z72" s="486"/>
      <c r="AA72" s="486"/>
      <c r="AB72" s="486"/>
      <c r="AC72" s="486"/>
      <c r="AD72" s="488"/>
      <c r="AF72" s="53"/>
    </row>
    <row r="73" spans="1:32" ht="33.75" customHeight="1">
      <c r="A73" s="497">
        <v>1</v>
      </c>
      <c r="B73" s="498"/>
      <c r="C73" s="284" t="s">
        <v>122</v>
      </c>
      <c r="D73" s="284"/>
      <c r="E73" s="71" t="s">
        <v>556</v>
      </c>
      <c r="F73" s="499" t="s">
        <v>557</v>
      </c>
      <c r="G73" s="500"/>
      <c r="H73" s="500"/>
      <c r="I73" s="500"/>
      <c r="J73" s="501"/>
      <c r="K73" s="502" t="s">
        <v>141</v>
      </c>
      <c r="L73" s="503"/>
      <c r="M73" s="503"/>
      <c r="N73" s="503"/>
      <c r="O73" s="503"/>
      <c r="P73" s="503"/>
      <c r="Q73" s="503"/>
      <c r="R73" s="503"/>
      <c r="S73" s="504"/>
      <c r="T73" s="505">
        <v>42872</v>
      </c>
      <c r="U73" s="506"/>
      <c r="V73" s="507"/>
      <c r="W73" s="507"/>
      <c r="X73" s="508"/>
      <c r="Y73" s="508"/>
      <c r="Z73" s="508"/>
      <c r="AA73" s="508"/>
      <c r="AB73" s="508"/>
      <c r="AC73" s="508"/>
      <c r="AD73" s="509"/>
      <c r="AF73" s="53"/>
    </row>
    <row r="74" spans="1:32" ht="30" customHeight="1">
      <c r="A74" s="489">
        <f>A73+1</f>
        <v>2</v>
      </c>
      <c r="B74" s="490"/>
      <c r="C74" s="283" t="s">
        <v>122</v>
      </c>
      <c r="D74" s="283"/>
      <c r="E74" s="35" t="s">
        <v>388</v>
      </c>
      <c r="F74" s="490" t="s">
        <v>394</v>
      </c>
      <c r="G74" s="490"/>
      <c r="H74" s="490"/>
      <c r="I74" s="490"/>
      <c r="J74" s="490"/>
      <c r="K74" s="491" t="s">
        <v>522</v>
      </c>
      <c r="L74" s="492"/>
      <c r="M74" s="492"/>
      <c r="N74" s="492"/>
      <c r="O74" s="492"/>
      <c r="P74" s="492"/>
      <c r="Q74" s="492"/>
      <c r="R74" s="492"/>
      <c r="S74" s="493"/>
      <c r="T74" s="494">
        <v>42867</v>
      </c>
      <c r="U74" s="494"/>
      <c r="V74" s="494"/>
      <c r="W74" s="494"/>
      <c r="X74" s="495"/>
      <c r="Y74" s="495"/>
      <c r="Z74" s="495"/>
      <c r="AA74" s="495"/>
      <c r="AB74" s="495"/>
      <c r="AC74" s="495"/>
      <c r="AD74" s="496"/>
      <c r="AF74" s="53"/>
    </row>
    <row r="75" spans="1:32" ht="30" customHeight="1">
      <c r="A75" s="489">
        <f t="shared" ref="A75:A81" si="12">A74+1</f>
        <v>3</v>
      </c>
      <c r="B75" s="490"/>
      <c r="C75" s="283" t="s">
        <v>127</v>
      </c>
      <c r="D75" s="283"/>
      <c r="E75" s="35" t="s">
        <v>121</v>
      </c>
      <c r="F75" s="490" t="s">
        <v>585</v>
      </c>
      <c r="G75" s="490"/>
      <c r="H75" s="490"/>
      <c r="I75" s="490"/>
      <c r="J75" s="490"/>
      <c r="K75" s="491" t="s">
        <v>632</v>
      </c>
      <c r="L75" s="492"/>
      <c r="M75" s="492"/>
      <c r="N75" s="492"/>
      <c r="O75" s="492"/>
      <c r="P75" s="492"/>
      <c r="Q75" s="492"/>
      <c r="R75" s="492"/>
      <c r="S75" s="493"/>
      <c r="T75" s="494">
        <v>42872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si="12"/>
        <v>4</v>
      </c>
      <c r="B76" s="490"/>
      <c r="C76" s="283"/>
      <c r="D76" s="283"/>
      <c r="E76" s="35"/>
      <c r="F76" s="490"/>
      <c r="G76" s="490"/>
      <c r="H76" s="490"/>
      <c r="I76" s="490"/>
      <c r="J76" s="490"/>
      <c r="K76" s="491"/>
      <c r="L76" s="492"/>
      <c r="M76" s="492"/>
      <c r="N76" s="492"/>
      <c r="O76" s="492"/>
      <c r="P76" s="492"/>
      <c r="Q76" s="492"/>
      <c r="R76" s="492"/>
      <c r="S76" s="493"/>
      <c r="T76" s="494"/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12"/>
        <v>5</v>
      </c>
      <c r="B77" s="490"/>
      <c r="C77" s="283"/>
      <c r="D77" s="283"/>
      <c r="E77" s="35"/>
      <c r="F77" s="490"/>
      <c r="G77" s="490"/>
      <c r="H77" s="490"/>
      <c r="I77" s="490"/>
      <c r="J77" s="490"/>
      <c r="K77" s="491"/>
      <c r="L77" s="492"/>
      <c r="M77" s="492"/>
      <c r="N77" s="492"/>
      <c r="O77" s="492"/>
      <c r="P77" s="492"/>
      <c r="Q77" s="492"/>
      <c r="R77" s="492"/>
      <c r="S77" s="493"/>
      <c r="T77" s="494"/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12"/>
        <v>6</v>
      </c>
      <c r="B78" s="490"/>
      <c r="C78" s="283"/>
      <c r="D78" s="283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12"/>
        <v>7</v>
      </c>
      <c r="B79" s="490"/>
      <c r="C79" s="283"/>
      <c r="D79" s="283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12"/>
        <v>8</v>
      </c>
      <c r="B80" s="490"/>
      <c r="C80" s="283"/>
      <c r="D80" s="283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12"/>
        <v>9</v>
      </c>
      <c r="B81" s="490"/>
      <c r="C81" s="283"/>
      <c r="D81" s="283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6" thickBot="1">
      <c r="A82" s="482" t="s">
        <v>664</v>
      </c>
      <c r="B82" s="482"/>
      <c r="C82" s="482"/>
      <c r="D82" s="482"/>
      <c r="E82" s="48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510" t="s">
        <v>37</v>
      </c>
      <c r="B83" s="511"/>
      <c r="C83" s="511" t="s">
        <v>53</v>
      </c>
      <c r="D83" s="511"/>
      <c r="E83" s="511" t="s">
        <v>54</v>
      </c>
      <c r="F83" s="511"/>
      <c r="G83" s="511"/>
      <c r="H83" s="511"/>
      <c r="I83" s="511"/>
      <c r="J83" s="511"/>
      <c r="K83" s="511" t="s">
        <v>55</v>
      </c>
      <c r="L83" s="511"/>
      <c r="M83" s="511"/>
      <c r="N83" s="511"/>
      <c r="O83" s="511"/>
      <c r="P83" s="511"/>
      <c r="Q83" s="511"/>
      <c r="R83" s="511"/>
      <c r="S83" s="511"/>
      <c r="T83" s="511" t="s">
        <v>56</v>
      </c>
      <c r="U83" s="511"/>
      <c r="V83" s="511" t="s">
        <v>57</v>
      </c>
      <c r="W83" s="511"/>
      <c r="X83" s="511"/>
      <c r="Y83" s="511" t="s">
        <v>52</v>
      </c>
      <c r="Z83" s="511"/>
      <c r="AA83" s="511"/>
      <c r="AB83" s="511"/>
      <c r="AC83" s="511"/>
      <c r="AD83" s="512"/>
      <c r="AF83" s="53"/>
    </row>
    <row r="84" spans="1:32" ht="30.75" customHeight="1">
      <c r="A84" s="513">
        <v>1</v>
      </c>
      <c r="B84" s="514"/>
      <c r="C84" s="515">
        <v>14</v>
      </c>
      <c r="D84" s="515"/>
      <c r="E84" s="515" t="s">
        <v>551</v>
      </c>
      <c r="F84" s="515"/>
      <c r="G84" s="515"/>
      <c r="H84" s="515"/>
      <c r="I84" s="515"/>
      <c r="J84" s="515"/>
      <c r="K84" s="515" t="s">
        <v>603</v>
      </c>
      <c r="L84" s="515"/>
      <c r="M84" s="515"/>
      <c r="N84" s="515"/>
      <c r="O84" s="515"/>
      <c r="P84" s="515"/>
      <c r="Q84" s="515"/>
      <c r="R84" s="515"/>
      <c r="S84" s="515"/>
      <c r="T84" s="515" t="s">
        <v>552</v>
      </c>
      <c r="U84" s="515"/>
      <c r="V84" s="516">
        <v>1440000</v>
      </c>
      <c r="W84" s="516"/>
      <c r="X84" s="516"/>
      <c r="Y84" s="517" t="s">
        <v>635</v>
      </c>
      <c r="Z84" s="517"/>
      <c r="AA84" s="517"/>
      <c r="AB84" s="517"/>
      <c r="AC84" s="517"/>
      <c r="AD84" s="518"/>
      <c r="AF84" s="53"/>
    </row>
    <row r="85" spans="1:32" ht="30.75" customHeight="1">
      <c r="A85" s="489">
        <v>2</v>
      </c>
      <c r="B85" s="490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 thickBot="1">
      <c r="A86" s="519">
        <v>3</v>
      </c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1"/>
      <c r="Z86" s="521"/>
      <c r="AA86" s="521"/>
      <c r="AB86" s="521"/>
      <c r="AC86" s="521"/>
      <c r="AD86" s="52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7" zoomScale="72" zoomScaleNormal="72" zoomScaleSheetLayoutView="70" workbookViewId="0">
      <selection activeCell="L20" sqref="L2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665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295" t="s">
        <v>17</v>
      </c>
      <c r="L5" s="295" t="s">
        <v>18</v>
      </c>
      <c r="M5" s="295" t="s">
        <v>19</v>
      </c>
      <c r="N5" s="29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0.33010322263376413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637</v>
      </c>
      <c r="D7" s="55" t="s">
        <v>145</v>
      </c>
      <c r="E7" s="56" t="s">
        <v>638</v>
      </c>
      <c r="F7" s="12" t="s">
        <v>180</v>
      </c>
      <c r="G7" s="36">
        <v>2</v>
      </c>
      <c r="H7" s="38">
        <v>25</v>
      </c>
      <c r="I7" s="7">
        <v>5000</v>
      </c>
      <c r="J7" s="14">
        <v>4370</v>
      </c>
      <c r="K7" s="15">
        <f>L7+7082</f>
        <v>11446</v>
      </c>
      <c r="L7" s="15">
        <f>2182*2</f>
        <v>4364</v>
      </c>
      <c r="M7" s="16">
        <f t="shared" si="0"/>
        <v>4364</v>
      </c>
      <c r="N7" s="16">
        <v>0</v>
      </c>
      <c r="O7" s="62">
        <f t="shared" si="1"/>
        <v>0</v>
      </c>
      <c r="P7" s="42">
        <f t="shared" si="2"/>
        <v>13</v>
      </c>
      <c r="Q7" s="43">
        <f t="shared" si="3"/>
        <v>11</v>
      </c>
      <c r="R7" s="7"/>
      <c r="S7" s="6"/>
      <c r="T7" s="17"/>
      <c r="U7" s="17"/>
      <c r="V7" s="18"/>
      <c r="W7" s="19">
        <v>11</v>
      </c>
      <c r="X7" s="17"/>
      <c r="Y7" s="20"/>
      <c r="Z7" s="20"/>
      <c r="AA7" s="21"/>
      <c r="AB7" s="8">
        <f t="shared" si="4"/>
        <v>0.99862700228832957</v>
      </c>
      <c r="AC7" s="9">
        <f t="shared" si="5"/>
        <v>0.54166666666666663</v>
      </c>
      <c r="AD7" s="10">
        <f t="shared" si="6"/>
        <v>0.5409229595728452</v>
      </c>
      <c r="AE7" s="39">
        <f t="shared" si="7"/>
        <v>0.33010322263376413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666</v>
      </c>
      <c r="D8" s="55" t="s">
        <v>667</v>
      </c>
      <c r="E8" s="57" t="s">
        <v>669</v>
      </c>
      <c r="F8" s="12">
        <v>7301</v>
      </c>
      <c r="G8" s="36" t="s">
        <v>476</v>
      </c>
      <c r="H8" s="38">
        <v>25</v>
      </c>
      <c r="I8" s="7">
        <v>1000</v>
      </c>
      <c r="J8" s="14">
        <v>1960</v>
      </c>
      <c r="K8" s="15">
        <f>L8</f>
        <v>1957</v>
      </c>
      <c r="L8" s="15">
        <f>425+1532</f>
        <v>1957</v>
      </c>
      <c r="M8" s="16">
        <f t="shared" si="0"/>
        <v>1957</v>
      </c>
      <c r="N8" s="16">
        <v>0</v>
      </c>
      <c r="O8" s="62">
        <f t="shared" si="1"/>
        <v>0</v>
      </c>
      <c r="P8" s="42">
        <f t="shared" si="2"/>
        <v>14</v>
      </c>
      <c r="Q8" s="43">
        <f t="shared" si="3"/>
        <v>10</v>
      </c>
      <c r="R8" s="7"/>
      <c r="S8" s="6"/>
      <c r="T8" s="17">
        <v>10</v>
      </c>
      <c r="U8" s="17"/>
      <c r="V8" s="18"/>
      <c r="W8" s="19"/>
      <c r="X8" s="17"/>
      <c r="Y8" s="20"/>
      <c r="Z8" s="20"/>
      <c r="AA8" s="21"/>
      <c r="AB8" s="8">
        <f t="shared" si="4"/>
        <v>0.99846938775510208</v>
      </c>
      <c r="AC8" s="9">
        <f t="shared" si="5"/>
        <v>0.58333333333333337</v>
      </c>
      <c r="AD8" s="10">
        <f t="shared" si="6"/>
        <v>0.58244047619047623</v>
      </c>
      <c r="AE8" s="39">
        <f t="shared" si="7"/>
        <v>0.33010322263376413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127</v>
      </c>
      <c r="D9" s="55" t="s">
        <v>121</v>
      </c>
      <c r="E9" s="57" t="s">
        <v>585</v>
      </c>
      <c r="F9" s="12" t="s">
        <v>305</v>
      </c>
      <c r="G9" s="12">
        <v>1</v>
      </c>
      <c r="H9" s="13">
        <v>25</v>
      </c>
      <c r="I9" s="34">
        <v>600</v>
      </c>
      <c r="J9" s="5">
        <v>1840</v>
      </c>
      <c r="K9" s="15">
        <f>L9+2021+685</f>
        <v>4539</v>
      </c>
      <c r="L9" s="15">
        <f>1200+633</f>
        <v>1833</v>
      </c>
      <c r="M9" s="16">
        <f t="shared" si="0"/>
        <v>1833</v>
      </c>
      <c r="N9" s="16">
        <v>0</v>
      </c>
      <c r="O9" s="62">
        <f t="shared" si="1"/>
        <v>0</v>
      </c>
      <c r="P9" s="42">
        <f t="shared" si="2"/>
        <v>12</v>
      </c>
      <c r="Q9" s="43">
        <f t="shared" si="3"/>
        <v>12</v>
      </c>
      <c r="R9" s="7"/>
      <c r="S9" s="6"/>
      <c r="T9" s="17">
        <v>12</v>
      </c>
      <c r="U9" s="17"/>
      <c r="V9" s="18"/>
      <c r="W9" s="19"/>
      <c r="X9" s="17"/>
      <c r="Y9" s="20"/>
      <c r="Z9" s="20"/>
      <c r="AA9" s="21"/>
      <c r="AB9" s="8">
        <f t="shared" si="4"/>
        <v>0.99619565217391304</v>
      </c>
      <c r="AC9" s="9">
        <f t="shared" si="5"/>
        <v>0.5</v>
      </c>
      <c r="AD9" s="10">
        <f t="shared" si="6"/>
        <v>0.49809782608695652</v>
      </c>
      <c r="AE9" s="39">
        <f t="shared" si="7"/>
        <v>0.33010322263376413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122</v>
      </c>
      <c r="D10" s="55" t="s">
        <v>556</v>
      </c>
      <c r="E10" s="57" t="s">
        <v>557</v>
      </c>
      <c r="F10" s="12" t="s">
        <v>558</v>
      </c>
      <c r="G10" s="12">
        <v>1</v>
      </c>
      <c r="H10" s="13">
        <v>25</v>
      </c>
      <c r="I10" s="34">
        <v>3000</v>
      </c>
      <c r="J10" s="14">
        <v>1220</v>
      </c>
      <c r="K10" s="15">
        <f>L10+3184+1514+1213</f>
        <v>5911</v>
      </c>
      <c r="L10" s="15">
        <v>0</v>
      </c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0.33010322263376413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357</v>
      </c>
      <c r="F11" s="12" t="s">
        <v>358</v>
      </c>
      <c r="G11" s="12">
        <v>1</v>
      </c>
      <c r="H11" s="13">
        <v>25</v>
      </c>
      <c r="I11" s="34">
        <v>25000</v>
      </c>
      <c r="J11" s="14">
        <v>1550</v>
      </c>
      <c r="K11" s="15">
        <f>L11+3973+5965+4763+6085+2069+5247+5012+1549</f>
        <v>34663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0.33010322263376413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411</v>
      </c>
      <c r="D12" s="55" t="s">
        <v>381</v>
      </c>
      <c r="E12" s="57" t="s">
        <v>382</v>
      </c>
      <c r="F12" s="12" t="s">
        <v>128</v>
      </c>
      <c r="G12" s="12">
        <v>1</v>
      </c>
      <c r="H12" s="13">
        <v>25</v>
      </c>
      <c r="I12" s="34">
        <v>1000</v>
      </c>
      <c r="J12" s="5">
        <v>2320</v>
      </c>
      <c r="K12" s="15">
        <f>L12+2316</f>
        <v>2316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0.33010322263376413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381</v>
      </c>
      <c r="E13" s="57" t="s">
        <v>481</v>
      </c>
      <c r="F13" s="12">
        <v>7301</v>
      </c>
      <c r="G13" s="12">
        <v>1</v>
      </c>
      <c r="H13" s="13">
        <v>25</v>
      </c>
      <c r="I13" s="7">
        <f>19000+3000+2000</f>
        <v>24000</v>
      </c>
      <c r="J13" s="14">
        <v>4540</v>
      </c>
      <c r="K13" s="15">
        <f>L13+2220+5017+1817+2803+4770+4779</f>
        <v>25945</v>
      </c>
      <c r="L13" s="15">
        <f>2335+2204</f>
        <v>4539</v>
      </c>
      <c r="M13" s="16">
        <f t="shared" si="0"/>
        <v>4539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0.99977973568281941</v>
      </c>
      <c r="AC13" s="9">
        <f t="shared" si="5"/>
        <v>1</v>
      </c>
      <c r="AD13" s="10">
        <f t="shared" si="6"/>
        <v>0.99977973568281941</v>
      </c>
      <c r="AE13" s="39">
        <f t="shared" si="7"/>
        <v>0.33010322263376413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560</v>
      </c>
      <c r="F14" s="33" t="s">
        <v>561</v>
      </c>
      <c r="G14" s="36">
        <v>1</v>
      </c>
      <c r="H14" s="38">
        <v>50</v>
      </c>
      <c r="I14" s="7">
        <v>100</v>
      </c>
      <c r="J14" s="5">
        <v>470</v>
      </c>
      <c r="K14" s="15">
        <f>L14+462</f>
        <v>462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0.33010322263376413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154</v>
      </c>
      <c r="D15" s="55" t="s">
        <v>284</v>
      </c>
      <c r="E15" s="57" t="s">
        <v>430</v>
      </c>
      <c r="F15" s="12" t="s">
        <v>424</v>
      </c>
      <c r="G15" s="12">
        <v>1</v>
      </c>
      <c r="H15" s="13">
        <v>25</v>
      </c>
      <c r="I15" s="34">
        <v>200</v>
      </c>
      <c r="J15" s="5">
        <v>300</v>
      </c>
      <c r="K15" s="15">
        <f>L15+2138+3980+300</f>
        <v>6418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/>
      <c r="X15" s="17"/>
      <c r="Y15" s="20"/>
      <c r="Z15" s="20"/>
      <c r="AA15" s="21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0.33010322263376413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122</v>
      </c>
      <c r="D16" s="55" t="s">
        <v>381</v>
      </c>
      <c r="E16" s="57" t="s">
        <v>639</v>
      </c>
      <c r="F16" s="12">
        <v>7301</v>
      </c>
      <c r="G16" s="36">
        <v>1</v>
      </c>
      <c r="H16" s="38">
        <v>25</v>
      </c>
      <c r="I16" s="7">
        <v>5000</v>
      </c>
      <c r="J16" s="14">
        <v>4570</v>
      </c>
      <c r="K16" s="15">
        <f>L16+2257</f>
        <v>6823</v>
      </c>
      <c r="L16" s="15">
        <f>2089+2477</f>
        <v>4566</v>
      </c>
      <c r="M16" s="16">
        <f t="shared" si="0"/>
        <v>4566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0.99912472647702411</v>
      </c>
      <c r="AC16" s="9">
        <f t="shared" si="5"/>
        <v>1</v>
      </c>
      <c r="AD16" s="10">
        <f t="shared" si="6"/>
        <v>0.99912472647702411</v>
      </c>
      <c r="AE16" s="39">
        <f t="shared" si="7"/>
        <v>0.33010322263376413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411</v>
      </c>
      <c r="D17" s="55" t="s">
        <v>670</v>
      </c>
      <c r="E17" s="56" t="s">
        <v>671</v>
      </c>
      <c r="F17" s="12">
        <v>8301</v>
      </c>
      <c r="G17" s="12">
        <v>1</v>
      </c>
      <c r="H17" s="13">
        <v>25</v>
      </c>
      <c r="I17" s="34">
        <v>5000</v>
      </c>
      <c r="J17" s="5">
        <v>2040</v>
      </c>
      <c r="K17" s="15">
        <f>L17</f>
        <v>2032</v>
      </c>
      <c r="L17" s="15">
        <f>556+1476</f>
        <v>2032</v>
      </c>
      <c r="M17" s="16">
        <f t="shared" si="0"/>
        <v>2032</v>
      </c>
      <c r="N17" s="16">
        <v>0</v>
      </c>
      <c r="O17" s="62">
        <f t="shared" si="1"/>
        <v>0</v>
      </c>
      <c r="P17" s="42">
        <f t="shared" si="2"/>
        <v>12</v>
      </c>
      <c r="Q17" s="43">
        <f t="shared" si="3"/>
        <v>12</v>
      </c>
      <c r="R17" s="7"/>
      <c r="S17" s="6">
        <v>12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0.99607843137254903</v>
      </c>
      <c r="AC17" s="9">
        <f t="shared" si="5"/>
        <v>0.5</v>
      </c>
      <c r="AD17" s="10">
        <f t="shared" si="6"/>
        <v>0.49803921568627452</v>
      </c>
      <c r="AE17" s="39">
        <f t="shared" si="7"/>
        <v>0.33010322263376413</v>
      </c>
      <c r="AF17" s="94">
        <f t="shared" si="8"/>
        <v>12</v>
      </c>
    </row>
    <row r="18" spans="1:32" ht="27" customHeight="1">
      <c r="A18" s="110">
        <v>13</v>
      </c>
      <c r="B18" s="11" t="s">
        <v>293</v>
      </c>
      <c r="C18" s="37" t="s">
        <v>127</v>
      </c>
      <c r="D18" s="55" t="s">
        <v>58</v>
      </c>
      <c r="E18" s="57" t="s">
        <v>155</v>
      </c>
      <c r="F18" s="12" t="s">
        <v>156</v>
      </c>
      <c r="G18" s="12">
        <v>1</v>
      </c>
      <c r="H18" s="13">
        <v>25</v>
      </c>
      <c r="I18" s="34">
        <v>30000</v>
      </c>
      <c r="J18" s="5">
        <v>1620</v>
      </c>
      <c r="K18" s="15">
        <f>L18+3759+4632+4258+3104+2109+2902+3658+2023+2861+3110+1619</f>
        <v>34035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>
        <v>24</v>
      </c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0.33010322263376413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58</v>
      </c>
      <c r="E19" s="57" t="s">
        <v>301</v>
      </c>
      <c r="F19" s="33" t="s">
        <v>126</v>
      </c>
      <c r="G19" s="36">
        <v>2</v>
      </c>
      <c r="H19" s="38">
        <v>25</v>
      </c>
      <c r="I19" s="34">
        <v>12000</v>
      </c>
      <c r="J19" s="5">
        <v>4350</v>
      </c>
      <c r="K19" s="15">
        <f>L19+8110+4344</f>
        <v>12454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>
        <v>24</v>
      </c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0.33010322263376413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698</v>
      </c>
      <c r="F20" s="12" t="s">
        <v>120</v>
      </c>
      <c r="G20" s="12">
        <v>4</v>
      </c>
      <c r="H20" s="38">
        <v>20</v>
      </c>
      <c r="I20" s="7">
        <v>300000</v>
      </c>
      <c r="J20" s="14">
        <v>35100</v>
      </c>
      <c r="K20" s="15">
        <f>L20</f>
        <v>35092</v>
      </c>
      <c r="L20" s="15">
        <f>6200*4+2573*4</f>
        <v>35092</v>
      </c>
      <c r="M20" s="16">
        <f t="shared" si="0"/>
        <v>35092</v>
      </c>
      <c r="N20" s="16">
        <v>0</v>
      </c>
      <c r="O20" s="62">
        <f t="shared" si="1"/>
        <v>0</v>
      </c>
      <c r="P20" s="42">
        <f t="shared" si="2"/>
        <v>20</v>
      </c>
      <c r="Q20" s="43">
        <f t="shared" si="3"/>
        <v>4</v>
      </c>
      <c r="R20" s="7"/>
      <c r="S20" s="6"/>
      <c r="T20" s="17">
        <v>4</v>
      </c>
      <c r="U20" s="17"/>
      <c r="V20" s="18"/>
      <c r="W20" s="19"/>
      <c r="X20" s="17"/>
      <c r="Y20" s="20"/>
      <c r="Z20" s="20"/>
      <c r="AA20" s="21"/>
      <c r="AB20" s="8">
        <f t="shared" si="4"/>
        <v>0.99977207977207982</v>
      </c>
      <c r="AC20" s="9">
        <f t="shared" si="5"/>
        <v>0.83333333333333337</v>
      </c>
      <c r="AD20" s="10">
        <f t="shared" si="6"/>
        <v>0.83314339981006658</v>
      </c>
      <c r="AE20" s="39">
        <f t="shared" si="7"/>
        <v>0.33010322263376413</v>
      </c>
      <c r="AF20" s="94">
        <f t="shared" si="8"/>
        <v>15</v>
      </c>
    </row>
    <row r="21" spans="1:32" ht="31.5" customHeight="1" thickBot="1">
      <c r="A21" s="430" t="s">
        <v>34</v>
      </c>
      <c r="B21" s="431"/>
      <c r="C21" s="431"/>
      <c r="D21" s="431"/>
      <c r="E21" s="431"/>
      <c r="F21" s="431"/>
      <c r="G21" s="431"/>
      <c r="H21" s="432"/>
      <c r="I21" s="25">
        <f t="shared" ref="I21:N21" si="10">SUM(I6:I20)</f>
        <v>415900</v>
      </c>
      <c r="J21" s="22">
        <f t="shared" si="10"/>
        <v>72390</v>
      </c>
      <c r="K21" s="23">
        <f t="shared" si="10"/>
        <v>190227</v>
      </c>
      <c r="L21" s="24">
        <f t="shared" si="10"/>
        <v>54383</v>
      </c>
      <c r="M21" s="23">
        <f t="shared" si="10"/>
        <v>54383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119</v>
      </c>
      <c r="Q21" s="46">
        <f t="shared" si="11"/>
        <v>241</v>
      </c>
      <c r="R21" s="26">
        <f t="shared" si="11"/>
        <v>48</v>
      </c>
      <c r="S21" s="27">
        <f t="shared" si="11"/>
        <v>36</v>
      </c>
      <c r="T21" s="27">
        <f t="shared" si="11"/>
        <v>26</v>
      </c>
      <c r="U21" s="27">
        <f t="shared" si="11"/>
        <v>0</v>
      </c>
      <c r="V21" s="28">
        <f t="shared" si="11"/>
        <v>0</v>
      </c>
      <c r="W21" s="29">
        <f t="shared" si="11"/>
        <v>107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24</v>
      </c>
      <c r="AB21" s="31">
        <f>SUM(AB6:AB20)/15</f>
        <v>0.46586980103478776</v>
      </c>
      <c r="AC21" s="4">
        <f>SUM(AC6:AC20)/15</f>
        <v>0.33055555555555555</v>
      </c>
      <c r="AD21" s="4">
        <f>SUM(AD6:AD20)/15</f>
        <v>0.33010322263376413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33" t="s">
        <v>46</v>
      </c>
      <c r="B48" s="433"/>
      <c r="C48" s="433"/>
      <c r="D48" s="433"/>
      <c r="E48" s="43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4" t="s">
        <v>672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6"/>
      <c r="N49" s="437" t="s">
        <v>680</v>
      </c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9"/>
    </row>
    <row r="50" spans="1:32" ht="27" customHeight="1">
      <c r="A50" s="440" t="s">
        <v>2</v>
      </c>
      <c r="B50" s="441"/>
      <c r="C50" s="296" t="s">
        <v>47</v>
      </c>
      <c r="D50" s="296" t="s">
        <v>48</v>
      </c>
      <c r="E50" s="296" t="s">
        <v>113</v>
      </c>
      <c r="F50" s="441" t="s">
        <v>112</v>
      </c>
      <c r="G50" s="441"/>
      <c r="H50" s="441"/>
      <c r="I50" s="441"/>
      <c r="J50" s="441"/>
      <c r="K50" s="441"/>
      <c r="L50" s="441"/>
      <c r="M50" s="442"/>
      <c r="N50" s="73" t="s">
        <v>117</v>
      </c>
      <c r="O50" s="296" t="s">
        <v>47</v>
      </c>
      <c r="P50" s="443" t="s">
        <v>48</v>
      </c>
      <c r="Q50" s="444"/>
      <c r="R50" s="443" t="s">
        <v>39</v>
      </c>
      <c r="S50" s="445"/>
      <c r="T50" s="445"/>
      <c r="U50" s="444"/>
      <c r="V50" s="443" t="s">
        <v>49</v>
      </c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57" t="s">
        <v>127</v>
      </c>
      <c r="B51" s="458"/>
      <c r="C51" s="297" t="s">
        <v>132</v>
      </c>
      <c r="D51" s="298" t="s">
        <v>121</v>
      </c>
      <c r="E51" s="297" t="s">
        <v>585</v>
      </c>
      <c r="F51" s="459" t="s">
        <v>673</v>
      </c>
      <c r="G51" s="459"/>
      <c r="H51" s="459"/>
      <c r="I51" s="459"/>
      <c r="J51" s="459"/>
      <c r="K51" s="459"/>
      <c r="L51" s="459"/>
      <c r="M51" s="460"/>
      <c r="N51" s="299" t="s">
        <v>127</v>
      </c>
      <c r="O51" s="74" t="s">
        <v>131</v>
      </c>
      <c r="P51" s="461" t="s">
        <v>681</v>
      </c>
      <c r="Q51" s="462"/>
      <c r="R51" s="463" t="s">
        <v>682</v>
      </c>
      <c r="S51" s="463"/>
      <c r="T51" s="463"/>
      <c r="U51" s="463"/>
      <c r="V51" s="459" t="s">
        <v>683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57" t="s">
        <v>122</v>
      </c>
      <c r="B52" s="458"/>
      <c r="C52" s="297" t="s">
        <v>131</v>
      </c>
      <c r="D52" s="298" t="s">
        <v>556</v>
      </c>
      <c r="E52" s="297" t="s">
        <v>557</v>
      </c>
      <c r="F52" s="459" t="s">
        <v>612</v>
      </c>
      <c r="G52" s="459"/>
      <c r="H52" s="459"/>
      <c r="I52" s="459"/>
      <c r="J52" s="459"/>
      <c r="K52" s="459"/>
      <c r="L52" s="459"/>
      <c r="M52" s="460"/>
      <c r="N52" s="299" t="s">
        <v>127</v>
      </c>
      <c r="O52" s="74" t="s">
        <v>132</v>
      </c>
      <c r="P52" s="461" t="s">
        <v>121</v>
      </c>
      <c r="Q52" s="462"/>
      <c r="R52" s="463" t="s">
        <v>684</v>
      </c>
      <c r="S52" s="463"/>
      <c r="T52" s="463"/>
      <c r="U52" s="463"/>
      <c r="V52" s="459" t="s">
        <v>683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57" t="s">
        <v>666</v>
      </c>
      <c r="B53" s="458"/>
      <c r="C53" s="297" t="s">
        <v>217</v>
      </c>
      <c r="D53" s="298" t="s">
        <v>674</v>
      </c>
      <c r="E53" s="297" t="s">
        <v>668</v>
      </c>
      <c r="F53" s="459" t="s">
        <v>243</v>
      </c>
      <c r="G53" s="459"/>
      <c r="H53" s="459"/>
      <c r="I53" s="459"/>
      <c r="J53" s="459"/>
      <c r="K53" s="459"/>
      <c r="L53" s="459"/>
      <c r="M53" s="460"/>
      <c r="N53" s="299" t="s">
        <v>127</v>
      </c>
      <c r="O53" s="74" t="s">
        <v>142</v>
      </c>
      <c r="P53" s="461" t="s">
        <v>685</v>
      </c>
      <c r="Q53" s="462"/>
      <c r="R53" s="463" t="s">
        <v>686</v>
      </c>
      <c r="S53" s="463"/>
      <c r="T53" s="463"/>
      <c r="U53" s="463"/>
      <c r="V53" s="459" t="s">
        <v>679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64" t="s">
        <v>642</v>
      </c>
      <c r="B54" s="463"/>
      <c r="C54" s="298" t="s">
        <v>646</v>
      </c>
      <c r="D54" s="298" t="s">
        <v>647</v>
      </c>
      <c r="E54" s="297" t="s">
        <v>648</v>
      </c>
      <c r="F54" s="459" t="s">
        <v>675</v>
      </c>
      <c r="G54" s="459"/>
      <c r="H54" s="459"/>
      <c r="I54" s="459"/>
      <c r="J54" s="459"/>
      <c r="K54" s="459"/>
      <c r="L54" s="459"/>
      <c r="M54" s="460"/>
      <c r="N54" s="299"/>
      <c r="O54" s="74"/>
      <c r="P54" s="461"/>
      <c r="Q54" s="462"/>
      <c r="R54" s="463"/>
      <c r="S54" s="463"/>
      <c r="T54" s="463"/>
      <c r="U54" s="463"/>
      <c r="V54" s="459"/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64" t="s">
        <v>676</v>
      </c>
      <c r="B55" s="463"/>
      <c r="C55" s="298" t="s">
        <v>677</v>
      </c>
      <c r="D55" s="298"/>
      <c r="E55" s="297" t="s">
        <v>678</v>
      </c>
      <c r="F55" s="459" t="s">
        <v>679</v>
      </c>
      <c r="G55" s="459"/>
      <c r="H55" s="459"/>
      <c r="I55" s="459"/>
      <c r="J55" s="459"/>
      <c r="K55" s="459"/>
      <c r="L55" s="459"/>
      <c r="M55" s="460"/>
      <c r="N55" s="299"/>
      <c r="O55" s="74"/>
      <c r="P55" s="461"/>
      <c r="Q55" s="462"/>
      <c r="R55" s="463"/>
      <c r="S55" s="463"/>
      <c r="T55" s="463"/>
      <c r="U55" s="463"/>
      <c r="V55" s="459"/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/>
      <c r="B56" s="463"/>
      <c r="C56" s="298"/>
      <c r="D56" s="298"/>
      <c r="E56" s="297"/>
      <c r="F56" s="459"/>
      <c r="G56" s="459"/>
      <c r="H56" s="459"/>
      <c r="I56" s="459"/>
      <c r="J56" s="459"/>
      <c r="K56" s="459"/>
      <c r="L56" s="459"/>
      <c r="M56" s="460"/>
      <c r="N56" s="299"/>
      <c r="O56" s="74"/>
      <c r="P56" s="463"/>
      <c r="Q56" s="463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298"/>
      <c r="D57" s="298"/>
      <c r="E57" s="297"/>
      <c r="F57" s="459"/>
      <c r="G57" s="459"/>
      <c r="H57" s="459"/>
      <c r="I57" s="459"/>
      <c r="J57" s="459"/>
      <c r="K57" s="459"/>
      <c r="L57" s="459"/>
      <c r="M57" s="460"/>
      <c r="N57" s="299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57"/>
      <c r="B58" s="458"/>
      <c r="C58" s="297"/>
      <c r="D58" s="298"/>
      <c r="E58" s="297"/>
      <c r="F58" s="459"/>
      <c r="G58" s="459"/>
      <c r="H58" s="459"/>
      <c r="I58" s="459"/>
      <c r="J58" s="459"/>
      <c r="K58" s="459"/>
      <c r="L58" s="459"/>
      <c r="M58" s="460"/>
      <c r="N58" s="299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298"/>
      <c r="D59" s="298"/>
      <c r="E59" s="298"/>
      <c r="F59" s="459"/>
      <c r="G59" s="459"/>
      <c r="H59" s="459"/>
      <c r="I59" s="459"/>
      <c r="J59" s="459"/>
      <c r="K59" s="459"/>
      <c r="L59" s="459"/>
      <c r="M59" s="460"/>
      <c r="N59" s="299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  <c r="AF59" s="94">
        <f>8*3000</f>
        <v>24000</v>
      </c>
    </row>
    <row r="60" spans="1:32" ht="27" customHeight="1" thickBot="1">
      <c r="A60" s="465"/>
      <c r="B60" s="466"/>
      <c r="C60" s="301"/>
      <c r="D60" s="301"/>
      <c r="E60" s="301"/>
      <c r="F60" s="467"/>
      <c r="G60" s="467"/>
      <c r="H60" s="467"/>
      <c r="I60" s="467"/>
      <c r="J60" s="467"/>
      <c r="K60" s="467"/>
      <c r="L60" s="467"/>
      <c r="M60" s="468"/>
      <c r="N60" s="300"/>
      <c r="O60" s="121"/>
      <c r="P60" s="466"/>
      <c r="Q60" s="466"/>
      <c r="R60" s="466"/>
      <c r="S60" s="466"/>
      <c r="T60" s="466"/>
      <c r="U60" s="466"/>
      <c r="V60" s="467"/>
      <c r="W60" s="467"/>
      <c r="X60" s="467"/>
      <c r="Y60" s="467"/>
      <c r="Z60" s="467"/>
      <c r="AA60" s="467"/>
      <c r="AB60" s="467"/>
      <c r="AC60" s="467"/>
      <c r="AD60" s="468"/>
      <c r="AF60" s="94">
        <f>16*3000</f>
        <v>48000</v>
      </c>
    </row>
    <row r="61" spans="1:32" ht="27.75" thickBot="1">
      <c r="A61" s="469" t="s">
        <v>687</v>
      </c>
      <c r="B61" s="469"/>
      <c r="C61" s="469"/>
      <c r="D61" s="469"/>
      <c r="E61" s="469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70" t="s">
        <v>118</v>
      </c>
      <c r="B62" s="471"/>
      <c r="C62" s="302" t="s">
        <v>2</v>
      </c>
      <c r="D62" s="302" t="s">
        <v>38</v>
      </c>
      <c r="E62" s="302" t="s">
        <v>3</v>
      </c>
      <c r="F62" s="471" t="s">
        <v>115</v>
      </c>
      <c r="G62" s="471"/>
      <c r="H62" s="471"/>
      <c r="I62" s="471"/>
      <c r="J62" s="471"/>
      <c r="K62" s="471" t="s">
        <v>40</v>
      </c>
      <c r="L62" s="471"/>
      <c r="M62" s="302" t="s">
        <v>41</v>
      </c>
      <c r="N62" s="471" t="s">
        <v>42</v>
      </c>
      <c r="O62" s="471"/>
      <c r="P62" s="472" t="s">
        <v>43</v>
      </c>
      <c r="Q62" s="473"/>
      <c r="R62" s="472" t="s">
        <v>44</v>
      </c>
      <c r="S62" s="474"/>
      <c r="T62" s="474"/>
      <c r="U62" s="474"/>
      <c r="V62" s="474"/>
      <c r="W62" s="474"/>
      <c r="X62" s="474"/>
      <c r="Y62" s="474"/>
      <c r="Z62" s="474"/>
      <c r="AA62" s="473"/>
      <c r="AB62" s="471" t="s">
        <v>45</v>
      </c>
      <c r="AC62" s="471"/>
      <c r="AD62" s="475"/>
      <c r="AF62" s="94">
        <f>SUM(AF59:AF61)</f>
        <v>96000</v>
      </c>
    </row>
    <row r="63" spans="1:32" ht="25.5" customHeight="1">
      <c r="A63" s="476">
        <v>1</v>
      </c>
      <c r="B63" s="477"/>
      <c r="C63" s="133" t="s">
        <v>127</v>
      </c>
      <c r="D63" s="305"/>
      <c r="E63" s="303" t="s">
        <v>58</v>
      </c>
      <c r="F63" s="478" t="s">
        <v>662</v>
      </c>
      <c r="G63" s="479"/>
      <c r="H63" s="479"/>
      <c r="I63" s="479"/>
      <c r="J63" s="479"/>
      <c r="K63" s="479" t="s">
        <v>658</v>
      </c>
      <c r="L63" s="479"/>
      <c r="M63" s="54" t="s">
        <v>306</v>
      </c>
      <c r="N63" s="479">
        <v>4</v>
      </c>
      <c r="O63" s="479"/>
      <c r="P63" s="480">
        <v>50</v>
      </c>
      <c r="Q63" s="480"/>
      <c r="R63" s="459"/>
      <c r="S63" s="459"/>
      <c r="T63" s="459"/>
      <c r="U63" s="459"/>
      <c r="V63" s="459"/>
      <c r="W63" s="459"/>
      <c r="X63" s="459"/>
      <c r="Y63" s="459"/>
      <c r="Z63" s="459"/>
      <c r="AA63" s="459"/>
      <c r="AB63" s="479"/>
      <c r="AC63" s="479"/>
      <c r="AD63" s="481"/>
      <c r="AF63" s="53"/>
    </row>
    <row r="64" spans="1:32" ht="25.5" customHeight="1">
      <c r="A64" s="476">
        <v>2</v>
      </c>
      <c r="B64" s="477"/>
      <c r="C64" s="133"/>
      <c r="D64" s="305"/>
      <c r="E64" s="303"/>
      <c r="F64" s="478"/>
      <c r="G64" s="479"/>
      <c r="H64" s="479"/>
      <c r="I64" s="479"/>
      <c r="J64" s="479"/>
      <c r="K64" s="479"/>
      <c r="L64" s="479"/>
      <c r="M64" s="54"/>
      <c r="N64" s="479"/>
      <c r="O64" s="479"/>
      <c r="P64" s="480"/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</row>
    <row r="65" spans="1:32" ht="25.5" customHeight="1">
      <c r="A65" s="476">
        <v>3</v>
      </c>
      <c r="B65" s="477"/>
      <c r="C65" s="133"/>
      <c r="D65" s="305"/>
      <c r="E65" s="303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4</v>
      </c>
      <c r="B66" s="477"/>
      <c r="C66" s="133"/>
      <c r="D66" s="305"/>
      <c r="E66" s="303"/>
      <c r="F66" s="479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5</v>
      </c>
      <c r="B67" s="477"/>
      <c r="C67" s="133"/>
      <c r="D67" s="305"/>
      <c r="E67" s="303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6</v>
      </c>
      <c r="B68" s="477"/>
      <c r="C68" s="133"/>
      <c r="D68" s="305"/>
      <c r="E68" s="303"/>
      <c r="F68" s="478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7</v>
      </c>
      <c r="B69" s="477"/>
      <c r="C69" s="133"/>
      <c r="D69" s="305"/>
      <c r="E69" s="303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8</v>
      </c>
      <c r="B70" s="477"/>
      <c r="C70" s="133"/>
      <c r="D70" s="305"/>
      <c r="E70" s="303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6.25" customHeight="1" thickBot="1">
      <c r="A71" s="482" t="s">
        <v>688</v>
      </c>
      <c r="B71" s="482"/>
      <c r="C71" s="482"/>
      <c r="D71" s="482"/>
      <c r="E71" s="48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83" t="s">
        <v>118</v>
      </c>
      <c r="B72" s="484"/>
      <c r="C72" s="304" t="s">
        <v>2</v>
      </c>
      <c r="D72" s="304" t="s">
        <v>38</v>
      </c>
      <c r="E72" s="304" t="s">
        <v>3</v>
      </c>
      <c r="F72" s="484" t="s">
        <v>39</v>
      </c>
      <c r="G72" s="484"/>
      <c r="H72" s="484"/>
      <c r="I72" s="484"/>
      <c r="J72" s="484"/>
      <c r="K72" s="485" t="s">
        <v>60</v>
      </c>
      <c r="L72" s="486"/>
      <c r="M72" s="486"/>
      <c r="N72" s="486"/>
      <c r="O72" s="486"/>
      <c r="P72" s="486"/>
      <c r="Q72" s="486"/>
      <c r="R72" s="486"/>
      <c r="S72" s="487"/>
      <c r="T72" s="484" t="s">
        <v>50</v>
      </c>
      <c r="U72" s="484"/>
      <c r="V72" s="485" t="s">
        <v>51</v>
      </c>
      <c r="W72" s="487"/>
      <c r="X72" s="486" t="s">
        <v>52</v>
      </c>
      <c r="Y72" s="486"/>
      <c r="Z72" s="486"/>
      <c r="AA72" s="486"/>
      <c r="AB72" s="486"/>
      <c r="AC72" s="486"/>
      <c r="AD72" s="488"/>
      <c r="AF72" s="53"/>
    </row>
    <row r="73" spans="1:32" ht="33.75" customHeight="1">
      <c r="A73" s="497">
        <v>1</v>
      </c>
      <c r="B73" s="498"/>
      <c r="C73" s="306" t="s">
        <v>122</v>
      </c>
      <c r="D73" s="306"/>
      <c r="E73" s="71" t="s">
        <v>556</v>
      </c>
      <c r="F73" s="499" t="s">
        <v>557</v>
      </c>
      <c r="G73" s="500"/>
      <c r="H73" s="500"/>
      <c r="I73" s="500"/>
      <c r="J73" s="501"/>
      <c r="K73" s="502" t="s">
        <v>141</v>
      </c>
      <c r="L73" s="503"/>
      <c r="M73" s="503"/>
      <c r="N73" s="503"/>
      <c r="O73" s="503"/>
      <c r="P73" s="503"/>
      <c r="Q73" s="503"/>
      <c r="R73" s="503"/>
      <c r="S73" s="504"/>
      <c r="T73" s="505">
        <v>42873</v>
      </c>
      <c r="U73" s="506"/>
      <c r="V73" s="507"/>
      <c r="W73" s="507"/>
      <c r="X73" s="508"/>
      <c r="Y73" s="508"/>
      <c r="Z73" s="508"/>
      <c r="AA73" s="508"/>
      <c r="AB73" s="508"/>
      <c r="AC73" s="508"/>
      <c r="AD73" s="509"/>
      <c r="AF73" s="53"/>
    </row>
    <row r="74" spans="1:32" ht="30" customHeight="1">
      <c r="A74" s="489">
        <f>A73+1</f>
        <v>2</v>
      </c>
      <c r="B74" s="490"/>
      <c r="C74" s="305" t="s">
        <v>122</v>
      </c>
      <c r="D74" s="305"/>
      <c r="E74" s="35" t="s">
        <v>388</v>
      </c>
      <c r="F74" s="490" t="s">
        <v>394</v>
      </c>
      <c r="G74" s="490"/>
      <c r="H74" s="490"/>
      <c r="I74" s="490"/>
      <c r="J74" s="490"/>
      <c r="K74" s="491" t="s">
        <v>522</v>
      </c>
      <c r="L74" s="492"/>
      <c r="M74" s="492"/>
      <c r="N74" s="492"/>
      <c r="O74" s="492"/>
      <c r="P74" s="492"/>
      <c r="Q74" s="492"/>
      <c r="R74" s="492"/>
      <c r="S74" s="493"/>
      <c r="T74" s="494">
        <v>42867</v>
      </c>
      <c r="U74" s="494"/>
      <c r="V74" s="494"/>
      <c r="W74" s="494"/>
      <c r="X74" s="495"/>
      <c r="Y74" s="495"/>
      <c r="Z74" s="495"/>
      <c r="AA74" s="495"/>
      <c r="AB74" s="495"/>
      <c r="AC74" s="495"/>
      <c r="AD74" s="496"/>
      <c r="AF74" s="53"/>
    </row>
    <row r="75" spans="1:32" ht="30" customHeight="1">
      <c r="A75" s="489">
        <f t="shared" ref="A75:A81" si="12">A74+1</f>
        <v>3</v>
      </c>
      <c r="B75" s="490"/>
      <c r="C75" s="305" t="s">
        <v>127</v>
      </c>
      <c r="D75" s="305"/>
      <c r="E75" s="35" t="s">
        <v>121</v>
      </c>
      <c r="F75" s="490" t="s">
        <v>585</v>
      </c>
      <c r="G75" s="490"/>
      <c r="H75" s="490"/>
      <c r="I75" s="490"/>
      <c r="J75" s="490"/>
      <c r="K75" s="491" t="s">
        <v>632</v>
      </c>
      <c r="L75" s="492"/>
      <c r="M75" s="492"/>
      <c r="N75" s="492"/>
      <c r="O75" s="492"/>
      <c r="P75" s="492"/>
      <c r="Q75" s="492"/>
      <c r="R75" s="492"/>
      <c r="S75" s="493"/>
      <c r="T75" s="494">
        <v>42872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si="12"/>
        <v>4</v>
      </c>
      <c r="B76" s="490"/>
      <c r="C76" s="305" t="s">
        <v>122</v>
      </c>
      <c r="D76" s="305"/>
      <c r="E76" s="35" t="s">
        <v>670</v>
      </c>
      <c r="F76" s="490" t="s">
        <v>671</v>
      </c>
      <c r="G76" s="490"/>
      <c r="H76" s="490"/>
      <c r="I76" s="490"/>
      <c r="J76" s="490"/>
      <c r="K76" s="491" t="s">
        <v>689</v>
      </c>
      <c r="L76" s="492"/>
      <c r="M76" s="492"/>
      <c r="N76" s="492"/>
      <c r="O76" s="492"/>
      <c r="P76" s="492"/>
      <c r="Q76" s="492"/>
      <c r="R76" s="492"/>
      <c r="S76" s="493"/>
      <c r="T76" s="494">
        <v>42874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12"/>
        <v>5</v>
      </c>
      <c r="B77" s="490"/>
      <c r="C77" s="305"/>
      <c r="D77" s="305"/>
      <c r="E77" s="35"/>
      <c r="F77" s="490"/>
      <c r="G77" s="490"/>
      <c r="H77" s="490"/>
      <c r="I77" s="490"/>
      <c r="J77" s="490"/>
      <c r="K77" s="491"/>
      <c r="L77" s="492"/>
      <c r="M77" s="492"/>
      <c r="N77" s="492"/>
      <c r="O77" s="492"/>
      <c r="P77" s="492"/>
      <c r="Q77" s="492"/>
      <c r="R77" s="492"/>
      <c r="S77" s="493"/>
      <c r="T77" s="494"/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12"/>
        <v>6</v>
      </c>
      <c r="B78" s="490"/>
      <c r="C78" s="305"/>
      <c r="D78" s="305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12"/>
        <v>7</v>
      </c>
      <c r="B79" s="490"/>
      <c r="C79" s="305"/>
      <c r="D79" s="305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12"/>
        <v>8</v>
      </c>
      <c r="B80" s="490"/>
      <c r="C80" s="305"/>
      <c r="D80" s="305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12"/>
        <v>9</v>
      </c>
      <c r="B81" s="490"/>
      <c r="C81" s="305"/>
      <c r="D81" s="305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6" thickBot="1">
      <c r="A82" s="482" t="s">
        <v>690</v>
      </c>
      <c r="B82" s="482"/>
      <c r="C82" s="482"/>
      <c r="D82" s="482"/>
      <c r="E82" s="48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510" t="s">
        <v>37</v>
      </c>
      <c r="B83" s="511"/>
      <c r="C83" s="511" t="s">
        <v>53</v>
      </c>
      <c r="D83" s="511"/>
      <c r="E83" s="511" t="s">
        <v>54</v>
      </c>
      <c r="F83" s="511"/>
      <c r="G83" s="511"/>
      <c r="H83" s="511"/>
      <c r="I83" s="511"/>
      <c r="J83" s="511"/>
      <c r="K83" s="511" t="s">
        <v>55</v>
      </c>
      <c r="L83" s="511"/>
      <c r="M83" s="511"/>
      <c r="N83" s="511"/>
      <c r="O83" s="511"/>
      <c r="P83" s="511"/>
      <c r="Q83" s="511"/>
      <c r="R83" s="511"/>
      <c r="S83" s="511"/>
      <c r="T83" s="511" t="s">
        <v>56</v>
      </c>
      <c r="U83" s="511"/>
      <c r="V83" s="511" t="s">
        <v>57</v>
      </c>
      <c r="W83" s="511"/>
      <c r="X83" s="511"/>
      <c r="Y83" s="511" t="s">
        <v>52</v>
      </c>
      <c r="Z83" s="511"/>
      <c r="AA83" s="511"/>
      <c r="AB83" s="511"/>
      <c r="AC83" s="511"/>
      <c r="AD83" s="512"/>
      <c r="AF83" s="53"/>
    </row>
    <row r="84" spans="1:32" ht="30.75" customHeight="1">
      <c r="A84" s="513">
        <v>1</v>
      </c>
      <c r="B84" s="514"/>
      <c r="C84" s="515">
        <v>14</v>
      </c>
      <c r="D84" s="515"/>
      <c r="E84" s="515" t="s">
        <v>551</v>
      </c>
      <c r="F84" s="515"/>
      <c r="G84" s="515"/>
      <c r="H84" s="515"/>
      <c r="I84" s="515"/>
      <c r="J84" s="515"/>
      <c r="K84" s="515" t="s">
        <v>603</v>
      </c>
      <c r="L84" s="515"/>
      <c r="M84" s="515"/>
      <c r="N84" s="515"/>
      <c r="O84" s="515"/>
      <c r="P84" s="515"/>
      <c r="Q84" s="515"/>
      <c r="R84" s="515"/>
      <c r="S84" s="515"/>
      <c r="T84" s="515" t="s">
        <v>552</v>
      </c>
      <c r="U84" s="515"/>
      <c r="V84" s="516">
        <v>1440000</v>
      </c>
      <c r="W84" s="516"/>
      <c r="X84" s="516"/>
      <c r="Y84" s="517" t="s">
        <v>635</v>
      </c>
      <c r="Z84" s="517"/>
      <c r="AA84" s="517"/>
      <c r="AB84" s="517"/>
      <c r="AC84" s="517"/>
      <c r="AD84" s="518"/>
      <c r="AF84" s="53"/>
    </row>
    <row r="85" spans="1:32" ht="30.75" customHeight="1">
      <c r="A85" s="489">
        <v>2</v>
      </c>
      <c r="B85" s="490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 thickBot="1">
      <c r="A86" s="519">
        <v>3</v>
      </c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1"/>
      <c r="Z86" s="521"/>
      <c r="AA86" s="521"/>
      <c r="AB86" s="521"/>
      <c r="AC86" s="521"/>
      <c r="AD86" s="522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T84" sqref="T84:U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691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318" t="s">
        <v>17</v>
      </c>
      <c r="L5" s="318" t="s">
        <v>18</v>
      </c>
      <c r="M5" s="318" t="s">
        <v>19</v>
      </c>
      <c r="N5" s="31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0.12478567708168692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145</v>
      </c>
      <c r="E7" s="56" t="s">
        <v>638</v>
      </c>
      <c r="F7" s="12" t="s">
        <v>180</v>
      </c>
      <c r="G7" s="36">
        <v>2</v>
      </c>
      <c r="H7" s="38">
        <v>25</v>
      </c>
      <c r="I7" s="7">
        <v>5000</v>
      </c>
      <c r="J7" s="14">
        <v>4370</v>
      </c>
      <c r="K7" s="15">
        <f>L7+7082+4364</f>
        <v>11446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0.12478567708168692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666</v>
      </c>
      <c r="D8" s="55" t="s">
        <v>653</v>
      </c>
      <c r="E8" s="57" t="s">
        <v>669</v>
      </c>
      <c r="F8" s="12">
        <v>7301</v>
      </c>
      <c r="G8" s="36" t="s">
        <v>476</v>
      </c>
      <c r="H8" s="38">
        <v>25</v>
      </c>
      <c r="I8" s="7">
        <v>1000</v>
      </c>
      <c r="J8" s="14">
        <v>1300</v>
      </c>
      <c r="K8" s="15">
        <f>L8+1957</f>
        <v>3250</v>
      </c>
      <c r="L8" s="15">
        <f>1293</f>
        <v>1293</v>
      </c>
      <c r="M8" s="16">
        <f t="shared" si="0"/>
        <v>1293</v>
      </c>
      <c r="N8" s="16">
        <v>0</v>
      </c>
      <c r="O8" s="62">
        <f t="shared" si="1"/>
        <v>0</v>
      </c>
      <c r="P8" s="42">
        <f t="shared" si="2"/>
        <v>6</v>
      </c>
      <c r="Q8" s="43">
        <f t="shared" si="3"/>
        <v>18</v>
      </c>
      <c r="R8" s="7"/>
      <c r="S8" s="6"/>
      <c r="T8" s="17"/>
      <c r="U8" s="17"/>
      <c r="V8" s="18"/>
      <c r="W8" s="19">
        <v>18</v>
      </c>
      <c r="X8" s="17"/>
      <c r="Y8" s="20"/>
      <c r="Z8" s="20"/>
      <c r="AA8" s="21"/>
      <c r="AB8" s="8">
        <f t="shared" si="4"/>
        <v>0.99461538461538457</v>
      </c>
      <c r="AC8" s="9">
        <f t="shared" si="5"/>
        <v>0.25</v>
      </c>
      <c r="AD8" s="10">
        <f t="shared" si="6"/>
        <v>0.24865384615384614</v>
      </c>
      <c r="AE8" s="39">
        <f t="shared" si="7"/>
        <v>0.12478567708168692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127</v>
      </c>
      <c r="D9" s="55" t="s">
        <v>121</v>
      </c>
      <c r="E9" s="57" t="s">
        <v>692</v>
      </c>
      <c r="F9" s="12" t="s">
        <v>305</v>
      </c>
      <c r="G9" s="12">
        <v>1</v>
      </c>
      <c r="H9" s="13">
        <v>25</v>
      </c>
      <c r="I9" s="34">
        <v>1000</v>
      </c>
      <c r="J9" s="5">
        <v>1840</v>
      </c>
      <c r="K9" s="15">
        <f>L9</f>
        <v>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0.12478567708168692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127</v>
      </c>
      <c r="D10" s="55" t="s">
        <v>123</v>
      </c>
      <c r="E10" s="57" t="s">
        <v>693</v>
      </c>
      <c r="F10" s="12" t="s">
        <v>694</v>
      </c>
      <c r="G10" s="12">
        <v>1</v>
      </c>
      <c r="H10" s="13">
        <v>25</v>
      </c>
      <c r="I10" s="34">
        <v>13000</v>
      </c>
      <c r="J10" s="14">
        <v>1750</v>
      </c>
      <c r="K10" s="15">
        <f>L10</f>
        <v>1747</v>
      </c>
      <c r="L10" s="15">
        <v>1747</v>
      </c>
      <c r="M10" s="16">
        <f t="shared" si="0"/>
        <v>1747</v>
      </c>
      <c r="N10" s="16">
        <v>0</v>
      </c>
      <c r="O10" s="62">
        <f t="shared" si="1"/>
        <v>0</v>
      </c>
      <c r="P10" s="42">
        <f t="shared" si="2"/>
        <v>9</v>
      </c>
      <c r="Q10" s="43">
        <f t="shared" si="3"/>
        <v>15</v>
      </c>
      <c r="R10" s="7"/>
      <c r="S10" s="6"/>
      <c r="T10" s="17"/>
      <c r="U10" s="17"/>
      <c r="V10" s="18">
        <v>15</v>
      </c>
      <c r="W10" s="19"/>
      <c r="X10" s="17"/>
      <c r="Y10" s="20"/>
      <c r="Z10" s="20"/>
      <c r="AA10" s="21"/>
      <c r="AB10" s="8">
        <f t="shared" si="4"/>
        <v>0.99828571428571433</v>
      </c>
      <c r="AC10" s="9">
        <f t="shared" si="5"/>
        <v>0.375</v>
      </c>
      <c r="AD10" s="10">
        <f t="shared" si="6"/>
        <v>0.37435714285714289</v>
      </c>
      <c r="AE10" s="39">
        <f t="shared" si="7"/>
        <v>0.12478567708168692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357</v>
      </c>
      <c r="F11" s="12" t="s">
        <v>358</v>
      </c>
      <c r="G11" s="12">
        <v>1</v>
      </c>
      <c r="H11" s="13">
        <v>25</v>
      </c>
      <c r="I11" s="34">
        <v>25000</v>
      </c>
      <c r="J11" s="14">
        <v>1550</v>
      </c>
      <c r="K11" s="15">
        <f>L11+3973+5965+4763+6085+2069+5247+5012+1549</f>
        <v>34663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0.12478567708168692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127</v>
      </c>
      <c r="D12" s="55" t="s">
        <v>58</v>
      </c>
      <c r="E12" s="57" t="s">
        <v>695</v>
      </c>
      <c r="F12" s="12" t="s">
        <v>696</v>
      </c>
      <c r="G12" s="12">
        <v>1</v>
      </c>
      <c r="H12" s="13">
        <v>25</v>
      </c>
      <c r="I12" s="34">
        <v>500</v>
      </c>
      <c r="J12" s="5">
        <v>580</v>
      </c>
      <c r="K12" s="15">
        <f>L12</f>
        <v>579</v>
      </c>
      <c r="L12" s="15">
        <v>579</v>
      </c>
      <c r="M12" s="16">
        <f t="shared" si="0"/>
        <v>579</v>
      </c>
      <c r="N12" s="16">
        <v>0</v>
      </c>
      <c r="O12" s="62">
        <f t="shared" si="1"/>
        <v>0</v>
      </c>
      <c r="P12" s="42">
        <f t="shared" si="2"/>
        <v>5</v>
      </c>
      <c r="Q12" s="43">
        <f t="shared" si="3"/>
        <v>19</v>
      </c>
      <c r="R12" s="7"/>
      <c r="S12" s="6"/>
      <c r="T12" s="17">
        <v>3</v>
      </c>
      <c r="U12" s="17"/>
      <c r="V12" s="18"/>
      <c r="W12" s="19">
        <v>16</v>
      </c>
      <c r="X12" s="17"/>
      <c r="Y12" s="20"/>
      <c r="Z12" s="20"/>
      <c r="AA12" s="21"/>
      <c r="AB12" s="8">
        <f t="shared" si="4"/>
        <v>0.99827586206896557</v>
      </c>
      <c r="AC12" s="9">
        <f t="shared" si="5"/>
        <v>0.20833333333333334</v>
      </c>
      <c r="AD12" s="10">
        <f t="shared" si="6"/>
        <v>0.2079741379310345</v>
      </c>
      <c r="AE12" s="39">
        <f t="shared" si="7"/>
        <v>0.12478567708168692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381</v>
      </c>
      <c r="E13" s="57" t="s">
        <v>481</v>
      </c>
      <c r="F13" s="12">
        <v>7301</v>
      </c>
      <c r="G13" s="12">
        <v>1</v>
      </c>
      <c r="H13" s="13">
        <v>25</v>
      </c>
      <c r="I13" s="7">
        <f>19000+3000+2000</f>
        <v>24000</v>
      </c>
      <c r="J13" s="14">
        <v>1220</v>
      </c>
      <c r="K13" s="15">
        <f>L13+2220+5017+1817+2803+4770+4779+4539</f>
        <v>27164</v>
      </c>
      <c r="L13" s="15">
        <v>1219</v>
      </c>
      <c r="M13" s="16">
        <f t="shared" si="0"/>
        <v>1219</v>
      </c>
      <c r="N13" s="16">
        <v>0</v>
      </c>
      <c r="O13" s="62">
        <f t="shared" si="1"/>
        <v>0</v>
      </c>
      <c r="P13" s="42">
        <f t="shared" si="2"/>
        <v>8</v>
      </c>
      <c r="Q13" s="43">
        <f t="shared" si="3"/>
        <v>16</v>
      </c>
      <c r="R13" s="7"/>
      <c r="S13" s="6"/>
      <c r="T13" s="17"/>
      <c r="U13" s="17"/>
      <c r="V13" s="18"/>
      <c r="W13" s="19">
        <v>16</v>
      </c>
      <c r="X13" s="17"/>
      <c r="Y13" s="20"/>
      <c r="Z13" s="20"/>
      <c r="AA13" s="21"/>
      <c r="AB13" s="8">
        <f t="shared" si="4"/>
        <v>0.99918032786885247</v>
      </c>
      <c r="AC13" s="9">
        <f t="shared" si="5"/>
        <v>0.33333333333333331</v>
      </c>
      <c r="AD13" s="10">
        <f t="shared" si="6"/>
        <v>0.33306010928961749</v>
      </c>
      <c r="AE13" s="39">
        <f t="shared" si="7"/>
        <v>0.12478567708168692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560</v>
      </c>
      <c r="F14" s="33" t="s">
        <v>561</v>
      </c>
      <c r="G14" s="36">
        <v>1</v>
      </c>
      <c r="H14" s="38">
        <v>50</v>
      </c>
      <c r="I14" s="7">
        <v>100</v>
      </c>
      <c r="J14" s="5">
        <v>470</v>
      </c>
      <c r="K14" s="15">
        <f>L14+462</f>
        <v>462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0.12478567708168692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154</v>
      </c>
      <c r="D15" s="55" t="s">
        <v>284</v>
      </c>
      <c r="E15" s="57" t="s">
        <v>430</v>
      </c>
      <c r="F15" s="12" t="s">
        <v>424</v>
      </c>
      <c r="G15" s="12">
        <v>1</v>
      </c>
      <c r="H15" s="13">
        <v>25</v>
      </c>
      <c r="I15" s="34">
        <v>200</v>
      </c>
      <c r="J15" s="5">
        <v>300</v>
      </c>
      <c r="K15" s="15">
        <f>L15+2138+3980+300</f>
        <v>6418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/>
      <c r="X15" s="17"/>
      <c r="Y15" s="20"/>
      <c r="Z15" s="20"/>
      <c r="AA15" s="21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0.12478567708168692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122</v>
      </c>
      <c r="D16" s="55" t="s">
        <v>381</v>
      </c>
      <c r="E16" s="57" t="s">
        <v>639</v>
      </c>
      <c r="F16" s="12">
        <v>7301</v>
      </c>
      <c r="G16" s="36">
        <v>1</v>
      </c>
      <c r="H16" s="38">
        <v>25</v>
      </c>
      <c r="I16" s="7">
        <v>5000</v>
      </c>
      <c r="J16" s="14">
        <v>4570</v>
      </c>
      <c r="K16" s="15">
        <f>L16+2257+4566</f>
        <v>6823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0.12478567708168692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411</v>
      </c>
      <c r="D17" s="55" t="s">
        <v>623</v>
      </c>
      <c r="E17" s="56" t="s">
        <v>151</v>
      </c>
      <c r="F17" s="12">
        <v>8301</v>
      </c>
      <c r="G17" s="12">
        <v>1</v>
      </c>
      <c r="H17" s="13">
        <v>25</v>
      </c>
      <c r="I17" s="34">
        <v>5000</v>
      </c>
      <c r="J17" s="5">
        <v>2040</v>
      </c>
      <c r="K17" s="15">
        <f>L17+2032</f>
        <v>2032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0.12478567708168692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127</v>
      </c>
      <c r="D18" s="55" t="s">
        <v>144</v>
      </c>
      <c r="E18" s="57" t="s">
        <v>697</v>
      </c>
      <c r="F18" s="12" t="s">
        <v>696</v>
      </c>
      <c r="G18" s="12">
        <v>1</v>
      </c>
      <c r="H18" s="13">
        <v>25</v>
      </c>
      <c r="I18" s="34">
        <v>16000</v>
      </c>
      <c r="J18" s="5">
        <v>1920</v>
      </c>
      <c r="K18" s="15">
        <f>L18</f>
        <v>1918</v>
      </c>
      <c r="L18" s="15">
        <v>1918</v>
      </c>
      <c r="M18" s="16">
        <f t="shared" si="0"/>
        <v>1918</v>
      </c>
      <c r="N18" s="16">
        <v>0</v>
      </c>
      <c r="O18" s="62">
        <f t="shared" si="1"/>
        <v>0</v>
      </c>
      <c r="P18" s="42">
        <f t="shared" si="2"/>
        <v>9</v>
      </c>
      <c r="Q18" s="43">
        <f t="shared" si="3"/>
        <v>15</v>
      </c>
      <c r="R18" s="7"/>
      <c r="S18" s="6"/>
      <c r="T18" s="17"/>
      <c r="U18" s="17"/>
      <c r="V18" s="18">
        <v>15</v>
      </c>
      <c r="W18" s="19"/>
      <c r="X18" s="17"/>
      <c r="Y18" s="20"/>
      <c r="Z18" s="20"/>
      <c r="AA18" s="21"/>
      <c r="AB18" s="8">
        <f t="shared" si="4"/>
        <v>0.99895833333333328</v>
      </c>
      <c r="AC18" s="9">
        <f t="shared" si="5"/>
        <v>0.375</v>
      </c>
      <c r="AD18" s="10">
        <f t="shared" si="6"/>
        <v>0.37460937499999997</v>
      </c>
      <c r="AE18" s="39">
        <f t="shared" si="7"/>
        <v>0.12478567708168692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58</v>
      </c>
      <c r="E19" s="57" t="s">
        <v>301</v>
      </c>
      <c r="F19" s="33" t="s">
        <v>126</v>
      </c>
      <c r="G19" s="36">
        <v>2</v>
      </c>
      <c r="H19" s="38">
        <v>25</v>
      </c>
      <c r="I19" s="34">
        <v>12000</v>
      </c>
      <c r="J19" s="5">
        <v>4350</v>
      </c>
      <c r="K19" s="15">
        <f>L19+8110+4344</f>
        <v>12454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>
        <v>24</v>
      </c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0.12478567708168692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698</v>
      </c>
      <c r="F20" s="12" t="s">
        <v>120</v>
      </c>
      <c r="G20" s="12">
        <v>4</v>
      </c>
      <c r="H20" s="38">
        <v>20</v>
      </c>
      <c r="I20" s="7">
        <v>500000</v>
      </c>
      <c r="J20" s="14">
        <v>26300</v>
      </c>
      <c r="K20" s="15">
        <f>35092+L20</f>
        <v>61376</v>
      </c>
      <c r="L20" s="15">
        <f>6571*4</f>
        <v>26284</v>
      </c>
      <c r="M20" s="16">
        <f t="shared" si="0"/>
        <v>26284</v>
      </c>
      <c r="N20" s="16">
        <v>0</v>
      </c>
      <c r="O20" s="62">
        <f t="shared" si="1"/>
        <v>0</v>
      </c>
      <c r="P20" s="42">
        <f t="shared" si="2"/>
        <v>8</v>
      </c>
      <c r="Q20" s="43">
        <f t="shared" si="3"/>
        <v>16</v>
      </c>
      <c r="R20" s="7"/>
      <c r="S20" s="6"/>
      <c r="T20" s="17"/>
      <c r="U20" s="17"/>
      <c r="V20" s="18">
        <v>16</v>
      </c>
      <c r="W20" s="19"/>
      <c r="X20" s="17"/>
      <c r="Y20" s="20"/>
      <c r="Z20" s="20"/>
      <c r="AA20" s="21"/>
      <c r="AB20" s="8">
        <f t="shared" si="4"/>
        <v>0.9993916349809886</v>
      </c>
      <c r="AC20" s="9">
        <f t="shared" si="5"/>
        <v>0.33333333333333331</v>
      </c>
      <c r="AD20" s="10">
        <f t="shared" si="6"/>
        <v>0.33313054499366285</v>
      </c>
      <c r="AE20" s="39">
        <f t="shared" si="7"/>
        <v>0.12478567708168692</v>
      </c>
      <c r="AF20" s="94">
        <f t="shared" si="8"/>
        <v>15</v>
      </c>
    </row>
    <row r="21" spans="1:32" ht="31.5" customHeight="1" thickBot="1">
      <c r="A21" s="430" t="s">
        <v>34</v>
      </c>
      <c r="B21" s="431"/>
      <c r="C21" s="431"/>
      <c r="D21" s="431"/>
      <c r="E21" s="431"/>
      <c r="F21" s="431"/>
      <c r="G21" s="431"/>
      <c r="H21" s="432"/>
      <c r="I21" s="25">
        <f t="shared" ref="I21:N21" si="10">SUM(I6:I20)</f>
        <v>611800</v>
      </c>
      <c r="J21" s="22">
        <f t="shared" si="10"/>
        <v>58700</v>
      </c>
      <c r="K21" s="23">
        <f t="shared" si="10"/>
        <v>176466</v>
      </c>
      <c r="L21" s="24">
        <f t="shared" si="10"/>
        <v>33040</v>
      </c>
      <c r="M21" s="23">
        <f t="shared" si="10"/>
        <v>33040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45</v>
      </c>
      <c r="Q21" s="46">
        <f t="shared" si="11"/>
        <v>315</v>
      </c>
      <c r="R21" s="26">
        <f t="shared" si="11"/>
        <v>24</v>
      </c>
      <c r="S21" s="27">
        <f t="shared" si="11"/>
        <v>24</v>
      </c>
      <c r="T21" s="27">
        <f t="shared" si="11"/>
        <v>3</v>
      </c>
      <c r="U21" s="27">
        <f t="shared" si="11"/>
        <v>0</v>
      </c>
      <c r="V21" s="28">
        <f t="shared" si="11"/>
        <v>46</v>
      </c>
      <c r="W21" s="29">
        <f t="shared" si="11"/>
        <v>194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24</v>
      </c>
      <c r="AB21" s="31">
        <f>SUM(AB6:AB20)/15</f>
        <v>0.39924715047688258</v>
      </c>
      <c r="AC21" s="4">
        <f>SUM(AC6:AC20)/15</f>
        <v>0.125</v>
      </c>
      <c r="AD21" s="4">
        <f>SUM(AD6:AD20)/15</f>
        <v>0.12478567708168692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33" t="s">
        <v>46</v>
      </c>
      <c r="B48" s="433"/>
      <c r="C48" s="433"/>
      <c r="D48" s="433"/>
      <c r="E48" s="43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4" t="s">
        <v>699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6"/>
      <c r="N49" s="437" t="s">
        <v>709</v>
      </c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9"/>
    </row>
    <row r="50" spans="1:32" ht="27" customHeight="1">
      <c r="A50" s="440" t="s">
        <v>2</v>
      </c>
      <c r="B50" s="441"/>
      <c r="C50" s="317" t="s">
        <v>47</v>
      </c>
      <c r="D50" s="317" t="s">
        <v>48</v>
      </c>
      <c r="E50" s="317" t="s">
        <v>113</v>
      </c>
      <c r="F50" s="441" t="s">
        <v>112</v>
      </c>
      <c r="G50" s="441"/>
      <c r="H50" s="441"/>
      <c r="I50" s="441"/>
      <c r="J50" s="441"/>
      <c r="K50" s="441"/>
      <c r="L50" s="441"/>
      <c r="M50" s="442"/>
      <c r="N50" s="73" t="s">
        <v>117</v>
      </c>
      <c r="O50" s="317" t="s">
        <v>47</v>
      </c>
      <c r="P50" s="443" t="s">
        <v>48</v>
      </c>
      <c r="Q50" s="444"/>
      <c r="R50" s="443" t="s">
        <v>39</v>
      </c>
      <c r="S50" s="445"/>
      <c r="T50" s="445"/>
      <c r="U50" s="444"/>
      <c r="V50" s="443" t="s">
        <v>49</v>
      </c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57" t="s">
        <v>127</v>
      </c>
      <c r="B51" s="458"/>
      <c r="C51" s="316" t="s">
        <v>132</v>
      </c>
      <c r="D51" s="313" t="s">
        <v>121</v>
      </c>
      <c r="E51" s="316" t="s">
        <v>700</v>
      </c>
      <c r="F51" s="459" t="s">
        <v>701</v>
      </c>
      <c r="G51" s="459"/>
      <c r="H51" s="459"/>
      <c r="I51" s="459"/>
      <c r="J51" s="459"/>
      <c r="K51" s="459"/>
      <c r="L51" s="459"/>
      <c r="M51" s="460"/>
      <c r="N51" s="312" t="s">
        <v>710</v>
      </c>
      <c r="O51" s="74" t="s">
        <v>242</v>
      </c>
      <c r="P51" s="461" t="s">
        <v>711</v>
      </c>
      <c r="Q51" s="462"/>
      <c r="R51" s="463" t="s">
        <v>712</v>
      </c>
      <c r="S51" s="463"/>
      <c r="T51" s="463"/>
      <c r="U51" s="463"/>
      <c r="V51" s="459" t="s">
        <v>243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57" t="s">
        <v>702</v>
      </c>
      <c r="B52" s="458"/>
      <c r="C52" s="316" t="s">
        <v>131</v>
      </c>
      <c r="D52" s="313" t="s">
        <v>703</v>
      </c>
      <c r="E52" s="316" t="s">
        <v>704</v>
      </c>
      <c r="F52" s="459" t="s">
        <v>243</v>
      </c>
      <c r="G52" s="459"/>
      <c r="H52" s="459"/>
      <c r="I52" s="459"/>
      <c r="J52" s="459"/>
      <c r="K52" s="459"/>
      <c r="L52" s="459"/>
      <c r="M52" s="460"/>
      <c r="N52" s="312" t="s">
        <v>127</v>
      </c>
      <c r="O52" s="74" t="s">
        <v>132</v>
      </c>
      <c r="P52" s="461" t="s">
        <v>121</v>
      </c>
      <c r="Q52" s="462"/>
      <c r="R52" s="463" t="s">
        <v>684</v>
      </c>
      <c r="S52" s="463"/>
      <c r="T52" s="463"/>
      <c r="U52" s="463"/>
      <c r="V52" s="459" t="s">
        <v>713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57" t="s">
        <v>702</v>
      </c>
      <c r="B53" s="458"/>
      <c r="C53" s="316" t="s">
        <v>705</v>
      </c>
      <c r="D53" s="313" t="s">
        <v>706</v>
      </c>
      <c r="E53" s="316" t="s">
        <v>707</v>
      </c>
      <c r="F53" s="459" t="s">
        <v>243</v>
      </c>
      <c r="G53" s="459"/>
      <c r="H53" s="459"/>
      <c r="I53" s="459"/>
      <c r="J53" s="459"/>
      <c r="K53" s="459"/>
      <c r="L53" s="459"/>
      <c r="M53" s="460"/>
      <c r="N53" s="312"/>
      <c r="O53" s="74"/>
      <c r="P53" s="461"/>
      <c r="Q53" s="462"/>
      <c r="R53" s="463"/>
      <c r="S53" s="463"/>
      <c r="T53" s="463"/>
      <c r="U53" s="463"/>
      <c r="V53" s="459"/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64" t="s">
        <v>127</v>
      </c>
      <c r="B54" s="463"/>
      <c r="C54" s="313" t="s">
        <v>134</v>
      </c>
      <c r="D54" s="313" t="s">
        <v>708</v>
      </c>
      <c r="E54" s="316" t="s">
        <v>695</v>
      </c>
      <c r="F54" s="459" t="s">
        <v>243</v>
      </c>
      <c r="G54" s="459"/>
      <c r="H54" s="459"/>
      <c r="I54" s="459"/>
      <c r="J54" s="459"/>
      <c r="K54" s="459"/>
      <c r="L54" s="459"/>
      <c r="M54" s="460"/>
      <c r="N54" s="312"/>
      <c r="O54" s="74"/>
      <c r="P54" s="461"/>
      <c r="Q54" s="462"/>
      <c r="R54" s="463"/>
      <c r="S54" s="463"/>
      <c r="T54" s="463"/>
      <c r="U54" s="463"/>
      <c r="V54" s="459"/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64"/>
      <c r="B55" s="463"/>
      <c r="C55" s="313"/>
      <c r="D55" s="313"/>
      <c r="E55" s="316"/>
      <c r="F55" s="459"/>
      <c r="G55" s="459"/>
      <c r="H55" s="459"/>
      <c r="I55" s="459"/>
      <c r="J55" s="459"/>
      <c r="K55" s="459"/>
      <c r="L55" s="459"/>
      <c r="M55" s="460"/>
      <c r="N55" s="312"/>
      <c r="O55" s="74"/>
      <c r="P55" s="461"/>
      <c r="Q55" s="462"/>
      <c r="R55" s="463"/>
      <c r="S55" s="463"/>
      <c r="T55" s="463"/>
      <c r="U55" s="463"/>
      <c r="V55" s="459"/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/>
      <c r="B56" s="463"/>
      <c r="C56" s="313"/>
      <c r="D56" s="313"/>
      <c r="E56" s="316"/>
      <c r="F56" s="459"/>
      <c r="G56" s="459"/>
      <c r="H56" s="459"/>
      <c r="I56" s="459"/>
      <c r="J56" s="459"/>
      <c r="K56" s="459"/>
      <c r="L56" s="459"/>
      <c r="M56" s="460"/>
      <c r="N56" s="312"/>
      <c r="O56" s="74"/>
      <c r="P56" s="463"/>
      <c r="Q56" s="463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313"/>
      <c r="D57" s="313"/>
      <c r="E57" s="316"/>
      <c r="F57" s="459"/>
      <c r="G57" s="459"/>
      <c r="H57" s="459"/>
      <c r="I57" s="459"/>
      <c r="J57" s="459"/>
      <c r="K57" s="459"/>
      <c r="L57" s="459"/>
      <c r="M57" s="460"/>
      <c r="N57" s="312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57"/>
      <c r="B58" s="458"/>
      <c r="C58" s="316"/>
      <c r="D58" s="313"/>
      <c r="E58" s="316"/>
      <c r="F58" s="459"/>
      <c r="G58" s="459"/>
      <c r="H58" s="459"/>
      <c r="I58" s="459"/>
      <c r="J58" s="459"/>
      <c r="K58" s="459"/>
      <c r="L58" s="459"/>
      <c r="M58" s="460"/>
      <c r="N58" s="312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313"/>
      <c r="D59" s="313"/>
      <c r="E59" s="313"/>
      <c r="F59" s="459"/>
      <c r="G59" s="459"/>
      <c r="H59" s="459"/>
      <c r="I59" s="459"/>
      <c r="J59" s="459"/>
      <c r="K59" s="459"/>
      <c r="L59" s="459"/>
      <c r="M59" s="460"/>
      <c r="N59" s="312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  <c r="AF59" s="94">
        <f>8*3000</f>
        <v>24000</v>
      </c>
    </row>
    <row r="60" spans="1:32" ht="27" customHeight="1" thickBot="1">
      <c r="A60" s="465"/>
      <c r="B60" s="466"/>
      <c r="C60" s="315"/>
      <c r="D60" s="315"/>
      <c r="E60" s="315"/>
      <c r="F60" s="467"/>
      <c r="G60" s="467"/>
      <c r="H60" s="467"/>
      <c r="I60" s="467"/>
      <c r="J60" s="467"/>
      <c r="K60" s="467"/>
      <c r="L60" s="467"/>
      <c r="M60" s="468"/>
      <c r="N60" s="314"/>
      <c r="O60" s="121"/>
      <c r="P60" s="466"/>
      <c r="Q60" s="466"/>
      <c r="R60" s="466"/>
      <c r="S60" s="466"/>
      <c r="T60" s="466"/>
      <c r="U60" s="466"/>
      <c r="V60" s="467"/>
      <c r="W60" s="467"/>
      <c r="X60" s="467"/>
      <c r="Y60" s="467"/>
      <c r="Z60" s="467"/>
      <c r="AA60" s="467"/>
      <c r="AB60" s="467"/>
      <c r="AC60" s="467"/>
      <c r="AD60" s="468"/>
      <c r="AF60" s="94">
        <f>16*3000</f>
        <v>48000</v>
      </c>
    </row>
    <row r="61" spans="1:32" ht="27.75" thickBot="1">
      <c r="A61" s="469" t="s">
        <v>714</v>
      </c>
      <c r="B61" s="469"/>
      <c r="C61" s="469"/>
      <c r="D61" s="469"/>
      <c r="E61" s="469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70" t="s">
        <v>118</v>
      </c>
      <c r="B62" s="471"/>
      <c r="C62" s="311" t="s">
        <v>2</v>
      </c>
      <c r="D62" s="311" t="s">
        <v>38</v>
      </c>
      <c r="E62" s="311" t="s">
        <v>3</v>
      </c>
      <c r="F62" s="471" t="s">
        <v>115</v>
      </c>
      <c r="G62" s="471"/>
      <c r="H62" s="471"/>
      <c r="I62" s="471"/>
      <c r="J62" s="471"/>
      <c r="K62" s="471" t="s">
        <v>40</v>
      </c>
      <c r="L62" s="471"/>
      <c r="M62" s="311" t="s">
        <v>41</v>
      </c>
      <c r="N62" s="471" t="s">
        <v>42</v>
      </c>
      <c r="O62" s="471"/>
      <c r="P62" s="472" t="s">
        <v>43</v>
      </c>
      <c r="Q62" s="473"/>
      <c r="R62" s="472" t="s">
        <v>44</v>
      </c>
      <c r="S62" s="474"/>
      <c r="T62" s="474"/>
      <c r="U62" s="474"/>
      <c r="V62" s="474"/>
      <c r="W62" s="474"/>
      <c r="X62" s="474"/>
      <c r="Y62" s="474"/>
      <c r="Z62" s="474"/>
      <c r="AA62" s="473"/>
      <c r="AB62" s="471" t="s">
        <v>45</v>
      </c>
      <c r="AC62" s="471"/>
      <c r="AD62" s="475"/>
      <c r="AF62" s="94">
        <f>SUM(AF59:AF61)</f>
        <v>96000</v>
      </c>
    </row>
    <row r="63" spans="1:32" ht="25.5" customHeight="1">
      <c r="A63" s="476">
        <v>1</v>
      </c>
      <c r="B63" s="477"/>
      <c r="C63" s="133"/>
      <c r="D63" s="307"/>
      <c r="E63" s="309"/>
      <c r="F63" s="478"/>
      <c r="G63" s="479"/>
      <c r="H63" s="479"/>
      <c r="I63" s="479"/>
      <c r="J63" s="479"/>
      <c r="K63" s="479"/>
      <c r="L63" s="479"/>
      <c r="M63" s="54"/>
      <c r="N63" s="479"/>
      <c r="O63" s="479"/>
      <c r="P63" s="480"/>
      <c r="Q63" s="480"/>
      <c r="R63" s="459"/>
      <c r="S63" s="459"/>
      <c r="T63" s="459"/>
      <c r="U63" s="459"/>
      <c r="V63" s="459"/>
      <c r="W63" s="459"/>
      <c r="X63" s="459"/>
      <c r="Y63" s="459"/>
      <c r="Z63" s="459"/>
      <c r="AA63" s="459"/>
      <c r="AB63" s="479"/>
      <c r="AC63" s="479"/>
      <c r="AD63" s="481"/>
      <c r="AF63" s="53"/>
    </row>
    <row r="64" spans="1:32" ht="25.5" customHeight="1">
      <c r="A64" s="476">
        <v>2</v>
      </c>
      <c r="B64" s="477"/>
      <c r="C64" s="133"/>
      <c r="D64" s="307"/>
      <c r="E64" s="309"/>
      <c r="F64" s="478"/>
      <c r="G64" s="479"/>
      <c r="H64" s="479"/>
      <c r="I64" s="479"/>
      <c r="J64" s="479"/>
      <c r="K64" s="479"/>
      <c r="L64" s="479"/>
      <c r="M64" s="54"/>
      <c r="N64" s="479"/>
      <c r="O64" s="479"/>
      <c r="P64" s="480"/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</row>
    <row r="65" spans="1:32" ht="25.5" customHeight="1">
      <c r="A65" s="476">
        <v>3</v>
      </c>
      <c r="B65" s="477"/>
      <c r="C65" s="133"/>
      <c r="D65" s="307"/>
      <c r="E65" s="309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4</v>
      </c>
      <c r="B66" s="477"/>
      <c r="C66" s="133"/>
      <c r="D66" s="307"/>
      <c r="E66" s="309"/>
      <c r="F66" s="479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5</v>
      </c>
      <c r="B67" s="477"/>
      <c r="C67" s="133"/>
      <c r="D67" s="307"/>
      <c r="E67" s="309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6</v>
      </c>
      <c r="B68" s="477"/>
      <c r="C68" s="133"/>
      <c r="D68" s="307"/>
      <c r="E68" s="309"/>
      <c r="F68" s="478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7</v>
      </c>
      <c r="B69" s="477"/>
      <c r="C69" s="133"/>
      <c r="D69" s="307"/>
      <c r="E69" s="309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8</v>
      </c>
      <c r="B70" s="477"/>
      <c r="C70" s="133"/>
      <c r="D70" s="307"/>
      <c r="E70" s="309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6.25" customHeight="1" thickBot="1">
      <c r="A71" s="482" t="s">
        <v>715</v>
      </c>
      <c r="B71" s="482"/>
      <c r="C71" s="482"/>
      <c r="D71" s="482"/>
      <c r="E71" s="48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83" t="s">
        <v>118</v>
      </c>
      <c r="B72" s="484"/>
      <c r="C72" s="310" t="s">
        <v>2</v>
      </c>
      <c r="D72" s="310" t="s">
        <v>38</v>
      </c>
      <c r="E72" s="310" t="s">
        <v>3</v>
      </c>
      <c r="F72" s="484" t="s">
        <v>39</v>
      </c>
      <c r="G72" s="484"/>
      <c r="H72" s="484"/>
      <c r="I72" s="484"/>
      <c r="J72" s="484"/>
      <c r="K72" s="485" t="s">
        <v>60</v>
      </c>
      <c r="L72" s="486"/>
      <c r="M72" s="486"/>
      <c r="N72" s="486"/>
      <c r="O72" s="486"/>
      <c r="P72" s="486"/>
      <c r="Q72" s="486"/>
      <c r="R72" s="486"/>
      <c r="S72" s="487"/>
      <c r="T72" s="484" t="s">
        <v>50</v>
      </c>
      <c r="U72" s="484"/>
      <c r="V72" s="485" t="s">
        <v>51</v>
      </c>
      <c r="W72" s="487"/>
      <c r="X72" s="486" t="s">
        <v>52</v>
      </c>
      <c r="Y72" s="486"/>
      <c r="Z72" s="486"/>
      <c r="AA72" s="486"/>
      <c r="AB72" s="486"/>
      <c r="AC72" s="486"/>
      <c r="AD72" s="488"/>
      <c r="AF72" s="53"/>
    </row>
    <row r="73" spans="1:32" ht="33.75" customHeight="1">
      <c r="A73" s="497">
        <v>1</v>
      </c>
      <c r="B73" s="498"/>
      <c r="C73" s="308" t="s">
        <v>122</v>
      </c>
      <c r="D73" s="308"/>
      <c r="E73" s="71" t="s">
        <v>556</v>
      </c>
      <c r="F73" s="499" t="s">
        <v>557</v>
      </c>
      <c r="G73" s="500"/>
      <c r="H73" s="500"/>
      <c r="I73" s="500"/>
      <c r="J73" s="501"/>
      <c r="K73" s="502" t="s">
        <v>141</v>
      </c>
      <c r="L73" s="503"/>
      <c r="M73" s="503"/>
      <c r="N73" s="503"/>
      <c r="O73" s="503"/>
      <c r="P73" s="503"/>
      <c r="Q73" s="503"/>
      <c r="R73" s="503"/>
      <c r="S73" s="504"/>
      <c r="T73" s="505">
        <v>42873</v>
      </c>
      <c r="U73" s="506"/>
      <c r="V73" s="507"/>
      <c r="W73" s="507"/>
      <c r="X73" s="508"/>
      <c r="Y73" s="508"/>
      <c r="Z73" s="508"/>
      <c r="AA73" s="508"/>
      <c r="AB73" s="508"/>
      <c r="AC73" s="508"/>
      <c r="AD73" s="509"/>
      <c r="AF73" s="53"/>
    </row>
    <row r="74" spans="1:32" ht="30" customHeight="1">
      <c r="A74" s="489">
        <f>A73+1</f>
        <v>2</v>
      </c>
      <c r="B74" s="490"/>
      <c r="C74" s="307" t="s">
        <v>122</v>
      </c>
      <c r="D74" s="307"/>
      <c r="E74" s="35" t="s">
        <v>388</v>
      </c>
      <c r="F74" s="490" t="s">
        <v>394</v>
      </c>
      <c r="G74" s="490"/>
      <c r="H74" s="490"/>
      <c r="I74" s="490"/>
      <c r="J74" s="490"/>
      <c r="K74" s="491" t="s">
        <v>522</v>
      </c>
      <c r="L74" s="492"/>
      <c r="M74" s="492"/>
      <c r="N74" s="492"/>
      <c r="O74" s="492"/>
      <c r="P74" s="492"/>
      <c r="Q74" s="492"/>
      <c r="R74" s="492"/>
      <c r="S74" s="493"/>
      <c r="T74" s="494">
        <v>42867</v>
      </c>
      <c r="U74" s="494"/>
      <c r="V74" s="494"/>
      <c r="W74" s="494"/>
      <c r="X74" s="495"/>
      <c r="Y74" s="495"/>
      <c r="Z74" s="495"/>
      <c r="AA74" s="495"/>
      <c r="AB74" s="495"/>
      <c r="AC74" s="495"/>
      <c r="AD74" s="496"/>
      <c r="AF74" s="53"/>
    </row>
    <row r="75" spans="1:32" ht="30" customHeight="1">
      <c r="A75" s="489">
        <f t="shared" ref="A75:A81" si="12">A74+1</f>
        <v>3</v>
      </c>
      <c r="B75" s="490"/>
      <c r="C75" s="307" t="s">
        <v>127</v>
      </c>
      <c r="D75" s="307"/>
      <c r="E75" s="35" t="s">
        <v>121</v>
      </c>
      <c r="F75" s="490" t="s">
        <v>585</v>
      </c>
      <c r="G75" s="490"/>
      <c r="H75" s="490"/>
      <c r="I75" s="490"/>
      <c r="J75" s="490"/>
      <c r="K75" s="491" t="s">
        <v>61</v>
      </c>
      <c r="L75" s="492"/>
      <c r="M75" s="492"/>
      <c r="N75" s="492"/>
      <c r="O75" s="492"/>
      <c r="P75" s="492"/>
      <c r="Q75" s="492"/>
      <c r="R75" s="492"/>
      <c r="S75" s="493"/>
      <c r="T75" s="494">
        <v>42874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si="12"/>
        <v>4</v>
      </c>
      <c r="B76" s="490"/>
      <c r="C76" s="307" t="s">
        <v>122</v>
      </c>
      <c r="D76" s="307"/>
      <c r="E76" s="35" t="s">
        <v>623</v>
      </c>
      <c r="F76" s="490" t="s">
        <v>151</v>
      </c>
      <c r="G76" s="490"/>
      <c r="H76" s="490"/>
      <c r="I76" s="490"/>
      <c r="J76" s="490"/>
      <c r="K76" s="491" t="s">
        <v>689</v>
      </c>
      <c r="L76" s="492"/>
      <c r="M76" s="492"/>
      <c r="N76" s="492"/>
      <c r="O76" s="492"/>
      <c r="P76" s="492"/>
      <c r="Q76" s="492"/>
      <c r="R76" s="492"/>
      <c r="S76" s="493"/>
      <c r="T76" s="494">
        <v>42874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12"/>
        <v>5</v>
      </c>
      <c r="B77" s="490"/>
      <c r="C77" s="307" t="s">
        <v>127</v>
      </c>
      <c r="D77" s="307"/>
      <c r="E77" s="35" t="s">
        <v>716</v>
      </c>
      <c r="F77" s="490" t="s">
        <v>700</v>
      </c>
      <c r="G77" s="490"/>
      <c r="H77" s="490"/>
      <c r="I77" s="490"/>
      <c r="J77" s="490"/>
      <c r="K77" s="491" t="s">
        <v>717</v>
      </c>
      <c r="L77" s="492"/>
      <c r="M77" s="492"/>
      <c r="N77" s="492"/>
      <c r="O77" s="492"/>
      <c r="P77" s="492"/>
      <c r="Q77" s="492"/>
      <c r="R77" s="492"/>
      <c r="S77" s="493"/>
      <c r="T77" s="494">
        <v>42874</v>
      </c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12"/>
        <v>6</v>
      </c>
      <c r="B78" s="490"/>
      <c r="C78" s="307"/>
      <c r="D78" s="307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12"/>
        <v>7</v>
      </c>
      <c r="B79" s="490"/>
      <c r="C79" s="307"/>
      <c r="D79" s="307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12"/>
        <v>8</v>
      </c>
      <c r="B80" s="490"/>
      <c r="C80" s="307"/>
      <c r="D80" s="307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12"/>
        <v>9</v>
      </c>
      <c r="B81" s="490"/>
      <c r="C81" s="307"/>
      <c r="D81" s="307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6" thickBot="1">
      <c r="A82" s="482" t="s">
        <v>718</v>
      </c>
      <c r="B82" s="482"/>
      <c r="C82" s="482"/>
      <c r="D82" s="482"/>
      <c r="E82" s="48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510" t="s">
        <v>37</v>
      </c>
      <c r="B83" s="511"/>
      <c r="C83" s="511" t="s">
        <v>53</v>
      </c>
      <c r="D83" s="511"/>
      <c r="E83" s="511" t="s">
        <v>54</v>
      </c>
      <c r="F83" s="511"/>
      <c r="G83" s="511"/>
      <c r="H83" s="511"/>
      <c r="I83" s="511"/>
      <c r="J83" s="511"/>
      <c r="K83" s="511" t="s">
        <v>55</v>
      </c>
      <c r="L83" s="511"/>
      <c r="M83" s="511"/>
      <c r="N83" s="511"/>
      <c r="O83" s="511"/>
      <c r="P83" s="511"/>
      <c r="Q83" s="511"/>
      <c r="R83" s="511"/>
      <c r="S83" s="511"/>
      <c r="T83" s="511" t="s">
        <v>56</v>
      </c>
      <c r="U83" s="511"/>
      <c r="V83" s="511" t="s">
        <v>57</v>
      </c>
      <c r="W83" s="511"/>
      <c r="X83" s="511"/>
      <c r="Y83" s="511" t="s">
        <v>52</v>
      </c>
      <c r="Z83" s="511"/>
      <c r="AA83" s="511"/>
      <c r="AB83" s="511"/>
      <c r="AC83" s="511"/>
      <c r="AD83" s="512"/>
      <c r="AF83" s="53"/>
    </row>
    <row r="84" spans="1:32" ht="30.75" customHeight="1">
      <c r="A84" s="513">
        <v>1</v>
      </c>
      <c r="B84" s="514"/>
      <c r="C84" s="515">
        <v>14</v>
      </c>
      <c r="D84" s="515"/>
      <c r="E84" s="515" t="s">
        <v>719</v>
      </c>
      <c r="F84" s="515"/>
      <c r="G84" s="515"/>
      <c r="H84" s="515"/>
      <c r="I84" s="515"/>
      <c r="J84" s="515"/>
      <c r="K84" s="515"/>
      <c r="L84" s="515"/>
      <c r="M84" s="515"/>
      <c r="N84" s="515"/>
      <c r="O84" s="515"/>
      <c r="P84" s="515"/>
      <c r="Q84" s="515"/>
      <c r="R84" s="515"/>
      <c r="S84" s="515"/>
      <c r="T84" s="515" t="s">
        <v>552</v>
      </c>
      <c r="U84" s="515"/>
      <c r="V84" s="516"/>
      <c r="W84" s="516"/>
      <c r="X84" s="516"/>
      <c r="Y84" s="517"/>
      <c r="Z84" s="517"/>
      <c r="AA84" s="517"/>
      <c r="AB84" s="517"/>
      <c r="AC84" s="517"/>
      <c r="AD84" s="518"/>
      <c r="AF84" s="53"/>
    </row>
    <row r="85" spans="1:32" ht="30.75" customHeight="1">
      <c r="A85" s="489">
        <v>2</v>
      </c>
      <c r="B85" s="490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 thickBot="1">
      <c r="A86" s="519">
        <v>3</v>
      </c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1"/>
      <c r="Z86" s="521"/>
      <c r="AA86" s="521"/>
      <c r="AB86" s="521"/>
      <c r="AC86" s="521"/>
      <c r="AD86" s="52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8"/>
  <sheetViews>
    <sheetView zoomScale="72" zoomScaleNormal="72" zoomScaleSheetLayoutView="70" workbookViewId="0">
      <selection activeCell="L20" sqref="L2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720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319" t="s">
        <v>17</v>
      </c>
      <c r="L5" s="319" t="s">
        <v>18</v>
      </c>
      <c r="M5" s="319" t="s">
        <v>19</v>
      </c>
      <c r="N5" s="31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2" si="0">L6-N6</f>
        <v>0</v>
      </c>
      <c r="N6" s="16">
        <v>0</v>
      </c>
      <c r="O6" s="62" t="str">
        <f t="shared" ref="O6:O23" si="1">IF(L6=0,"0",N6/L6)</f>
        <v>0</v>
      </c>
      <c r="P6" s="42" t="str">
        <f t="shared" ref="P6:P22" si="2">IF(L6=0,"0",(24-Q6))</f>
        <v>0</v>
      </c>
      <c r="Q6" s="43">
        <f t="shared" ref="Q6:Q22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9">
        <f t="shared" ref="AE6:AE12" si="7">$AD$23</f>
        <v>0.29686334309429829</v>
      </c>
      <c r="AF6" s="94">
        <f t="shared" ref="AF6:AF22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145</v>
      </c>
      <c r="E7" s="56" t="s">
        <v>638</v>
      </c>
      <c r="F7" s="12" t="s">
        <v>180</v>
      </c>
      <c r="G7" s="36">
        <v>2</v>
      </c>
      <c r="H7" s="38">
        <v>25</v>
      </c>
      <c r="I7" s="7">
        <v>5000</v>
      </c>
      <c r="J7" s="14">
        <v>4370</v>
      </c>
      <c r="K7" s="15">
        <f>L7+7082+4364</f>
        <v>11446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0.29686334309429829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666</v>
      </c>
      <c r="D8" s="55" t="s">
        <v>653</v>
      </c>
      <c r="E8" s="57" t="s">
        <v>669</v>
      </c>
      <c r="F8" s="12">
        <v>7301</v>
      </c>
      <c r="G8" s="36" t="s">
        <v>476</v>
      </c>
      <c r="H8" s="38">
        <v>25</v>
      </c>
      <c r="I8" s="7">
        <v>1000</v>
      </c>
      <c r="J8" s="14">
        <v>1300</v>
      </c>
      <c r="K8" s="15">
        <f>L8+1957+1293</f>
        <v>3250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0.29686334309429829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127</v>
      </c>
      <c r="D9" s="55" t="s">
        <v>121</v>
      </c>
      <c r="E9" s="57" t="s">
        <v>692</v>
      </c>
      <c r="F9" s="12" t="s">
        <v>305</v>
      </c>
      <c r="G9" s="12">
        <v>1</v>
      </c>
      <c r="H9" s="13">
        <v>25</v>
      </c>
      <c r="I9" s="34">
        <v>1000</v>
      </c>
      <c r="J9" s="5">
        <v>2070</v>
      </c>
      <c r="K9" s="15">
        <f>L9</f>
        <v>2069</v>
      </c>
      <c r="L9" s="15">
        <f>1859+210</f>
        <v>2069</v>
      </c>
      <c r="M9" s="16">
        <f t="shared" si="0"/>
        <v>2069</v>
      </c>
      <c r="N9" s="16">
        <v>0</v>
      </c>
      <c r="O9" s="62">
        <f t="shared" si="1"/>
        <v>0</v>
      </c>
      <c r="P9" s="42">
        <f t="shared" si="2"/>
        <v>12</v>
      </c>
      <c r="Q9" s="43">
        <f t="shared" si="3"/>
        <v>12</v>
      </c>
      <c r="R9" s="7"/>
      <c r="S9" s="6"/>
      <c r="T9" s="17"/>
      <c r="U9" s="17"/>
      <c r="V9" s="18"/>
      <c r="W9" s="19">
        <v>12</v>
      </c>
      <c r="X9" s="17"/>
      <c r="Y9" s="20"/>
      <c r="Z9" s="20"/>
      <c r="AA9" s="21"/>
      <c r="AB9" s="8">
        <f t="shared" si="4"/>
        <v>0.99951690821256034</v>
      </c>
      <c r="AC9" s="9">
        <f t="shared" si="5"/>
        <v>0.5</v>
      </c>
      <c r="AD9" s="10">
        <f t="shared" si="6"/>
        <v>0.49975845410628017</v>
      </c>
      <c r="AE9" s="39">
        <f t="shared" si="7"/>
        <v>0.29686334309429829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127</v>
      </c>
      <c r="D10" s="55" t="s">
        <v>123</v>
      </c>
      <c r="E10" s="57" t="s">
        <v>693</v>
      </c>
      <c r="F10" s="12" t="s">
        <v>694</v>
      </c>
      <c r="G10" s="12">
        <v>1</v>
      </c>
      <c r="H10" s="13">
        <v>25</v>
      </c>
      <c r="I10" s="34">
        <v>13000</v>
      </c>
      <c r="J10" s="14">
        <v>4580</v>
      </c>
      <c r="K10" s="15">
        <f>L10+1747</f>
        <v>6320</v>
      </c>
      <c r="L10" s="15">
        <f>2424+2149</f>
        <v>4573</v>
      </c>
      <c r="M10" s="16">
        <f t="shared" si="0"/>
        <v>4573</v>
      </c>
      <c r="N10" s="16">
        <v>0</v>
      </c>
      <c r="O10" s="62">
        <f t="shared" si="1"/>
        <v>0</v>
      </c>
      <c r="P10" s="42">
        <f t="shared" si="2"/>
        <v>22</v>
      </c>
      <c r="Q10" s="43">
        <f t="shared" si="3"/>
        <v>2</v>
      </c>
      <c r="R10" s="7"/>
      <c r="S10" s="6">
        <v>2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0.99847161572052401</v>
      </c>
      <c r="AC10" s="9">
        <f t="shared" si="5"/>
        <v>0.91666666666666663</v>
      </c>
      <c r="AD10" s="10">
        <f t="shared" si="6"/>
        <v>0.91526564774381369</v>
      </c>
      <c r="AE10" s="39">
        <f t="shared" si="7"/>
        <v>0.29686334309429829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357</v>
      </c>
      <c r="F11" s="12" t="s">
        <v>358</v>
      </c>
      <c r="G11" s="12">
        <v>1</v>
      </c>
      <c r="H11" s="13">
        <v>25</v>
      </c>
      <c r="I11" s="34">
        <v>25000</v>
      </c>
      <c r="J11" s="14">
        <v>1550</v>
      </c>
      <c r="K11" s="15">
        <f>L11+3973+5965+4763+6085+2069+5247+5012+1549</f>
        <v>34663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0.29686334309429829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127</v>
      </c>
      <c r="D12" s="55" t="s">
        <v>58</v>
      </c>
      <c r="E12" s="57" t="s">
        <v>695</v>
      </c>
      <c r="F12" s="12" t="s">
        <v>696</v>
      </c>
      <c r="G12" s="12">
        <v>1</v>
      </c>
      <c r="H12" s="13">
        <v>25</v>
      </c>
      <c r="I12" s="34">
        <v>500</v>
      </c>
      <c r="J12" s="5">
        <v>125</v>
      </c>
      <c r="K12" s="15">
        <f>L12+579</f>
        <v>703</v>
      </c>
      <c r="L12" s="15">
        <v>124</v>
      </c>
      <c r="M12" s="16">
        <f t="shared" si="0"/>
        <v>124</v>
      </c>
      <c r="N12" s="16">
        <v>0</v>
      </c>
      <c r="O12" s="62">
        <f t="shared" si="1"/>
        <v>0</v>
      </c>
      <c r="P12" s="42">
        <f t="shared" si="2"/>
        <v>2</v>
      </c>
      <c r="Q12" s="43">
        <f t="shared" si="3"/>
        <v>22</v>
      </c>
      <c r="R12" s="7"/>
      <c r="S12" s="6"/>
      <c r="T12" s="17"/>
      <c r="U12" s="17"/>
      <c r="V12" s="18"/>
      <c r="W12" s="19">
        <v>22</v>
      </c>
      <c r="X12" s="17"/>
      <c r="Y12" s="20"/>
      <c r="Z12" s="20"/>
      <c r="AA12" s="21"/>
      <c r="AB12" s="8">
        <f t="shared" si="4"/>
        <v>0.99199999999999999</v>
      </c>
      <c r="AC12" s="9">
        <f t="shared" si="5"/>
        <v>8.3333333333333329E-2</v>
      </c>
      <c r="AD12" s="10">
        <f t="shared" si="6"/>
        <v>8.2666666666666666E-2</v>
      </c>
      <c r="AE12" s="39">
        <f t="shared" si="7"/>
        <v>0.29686334309429829</v>
      </c>
      <c r="AF12" s="94">
        <f t="shared" si="8"/>
        <v>7</v>
      </c>
    </row>
    <row r="13" spans="1:32" ht="27" customHeight="1">
      <c r="A13" s="110">
        <v>7</v>
      </c>
      <c r="B13" s="11" t="s">
        <v>59</v>
      </c>
      <c r="C13" s="37" t="s">
        <v>122</v>
      </c>
      <c r="D13" s="55" t="s">
        <v>721</v>
      </c>
      <c r="E13" s="57" t="s">
        <v>722</v>
      </c>
      <c r="F13" s="12">
        <v>7301</v>
      </c>
      <c r="G13" s="12">
        <v>1</v>
      </c>
      <c r="H13" s="13">
        <v>25</v>
      </c>
      <c r="I13" s="34">
        <v>100</v>
      </c>
      <c r="J13" s="5">
        <v>154</v>
      </c>
      <c r="K13" s="15">
        <f>L13</f>
        <v>153</v>
      </c>
      <c r="L13" s="15">
        <v>153</v>
      </c>
      <c r="M13" s="16">
        <f t="shared" ref="M13:M14" si="10">L13-N13</f>
        <v>153</v>
      </c>
      <c r="N13" s="16">
        <v>0</v>
      </c>
      <c r="O13" s="62">
        <f t="shared" ref="O13:O14" si="11">IF(L13=0,"0",N13/L13)</f>
        <v>0</v>
      </c>
      <c r="P13" s="42">
        <f t="shared" ref="P13:P14" si="12">IF(L13=0,"0",(24-Q13))</f>
        <v>3</v>
      </c>
      <c r="Q13" s="43">
        <f t="shared" ref="Q13:Q14" si="13">SUM(R13:AA13)</f>
        <v>21</v>
      </c>
      <c r="R13" s="7"/>
      <c r="S13" s="6"/>
      <c r="T13" s="17"/>
      <c r="U13" s="17"/>
      <c r="V13" s="18"/>
      <c r="W13" s="19">
        <v>21</v>
      </c>
      <c r="X13" s="17"/>
      <c r="Y13" s="20"/>
      <c r="Z13" s="20"/>
      <c r="AA13" s="21"/>
      <c r="AB13" s="8">
        <f t="shared" ref="AB13:AB14" si="14">IF(J13=0,"0",(L13/J13))</f>
        <v>0.99350649350649356</v>
      </c>
      <c r="AC13" s="9">
        <f t="shared" ref="AC13:AC14" si="15">IF(P13=0,"0",(P13/24))</f>
        <v>0.125</v>
      </c>
      <c r="AD13" s="10">
        <f t="shared" ref="AD13:AD14" si="16">AC13*AB13*(1-O13)</f>
        <v>0.12418831168831169</v>
      </c>
      <c r="AE13" s="39">
        <f t="shared" ref="AE13:AE14" si="17">$AD$23</f>
        <v>0.29686334309429829</v>
      </c>
      <c r="AF13" s="94">
        <f t="shared" ref="AF13:AF14" si="18">A13</f>
        <v>7</v>
      </c>
    </row>
    <row r="14" spans="1:32" ht="27" customHeight="1">
      <c r="A14" s="110">
        <v>7</v>
      </c>
      <c r="B14" s="11" t="s">
        <v>59</v>
      </c>
      <c r="C14" s="37" t="s">
        <v>122</v>
      </c>
      <c r="D14" s="55" t="s">
        <v>723</v>
      </c>
      <c r="E14" s="57" t="s">
        <v>724</v>
      </c>
      <c r="F14" s="12">
        <v>7301</v>
      </c>
      <c r="G14" s="12">
        <v>1</v>
      </c>
      <c r="H14" s="13">
        <v>25</v>
      </c>
      <c r="I14" s="34">
        <v>100</v>
      </c>
      <c r="J14" s="5">
        <v>301</v>
      </c>
      <c r="K14" s="15">
        <f>L14</f>
        <v>301</v>
      </c>
      <c r="L14" s="15">
        <v>301</v>
      </c>
      <c r="M14" s="16">
        <f t="shared" si="10"/>
        <v>301</v>
      </c>
      <c r="N14" s="16">
        <v>0</v>
      </c>
      <c r="O14" s="62">
        <f t="shared" si="11"/>
        <v>0</v>
      </c>
      <c r="P14" s="42">
        <f t="shared" si="12"/>
        <v>3</v>
      </c>
      <c r="Q14" s="43">
        <f t="shared" si="13"/>
        <v>21</v>
      </c>
      <c r="R14" s="7"/>
      <c r="S14" s="6"/>
      <c r="T14" s="17"/>
      <c r="U14" s="17"/>
      <c r="V14" s="18"/>
      <c r="W14" s="19">
        <v>21</v>
      </c>
      <c r="X14" s="17"/>
      <c r="Y14" s="20"/>
      <c r="Z14" s="20"/>
      <c r="AA14" s="21"/>
      <c r="AB14" s="8">
        <f t="shared" si="14"/>
        <v>1</v>
      </c>
      <c r="AC14" s="9">
        <f t="shared" si="15"/>
        <v>0.125</v>
      </c>
      <c r="AD14" s="10">
        <f t="shared" si="16"/>
        <v>0.125</v>
      </c>
      <c r="AE14" s="39">
        <f t="shared" si="17"/>
        <v>0.29686334309429829</v>
      </c>
      <c r="AF14" s="94">
        <f t="shared" si="18"/>
        <v>7</v>
      </c>
    </row>
    <row r="15" spans="1:32" ht="27" customHeight="1">
      <c r="A15" s="110">
        <v>8</v>
      </c>
      <c r="B15" s="11" t="s">
        <v>59</v>
      </c>
      <c r="C15" s="11" t="s">
        <v>122</v>
      </c>
      <c r="D15" s="55" t="s">
        <v>381</v>
      </c>
      <c r="E15" s="57" t="s">
        <v>725</v>
      </c>
      <c r="F15" s="12">
        <v>7301</v>
      </c>
      <c r="G15" s="12">
        <v>1</v>
      </c>
      <c r="H15" s="13">
        <v>25</v>
      </c>
      <c r="I15" s="7">
        <v>2000</v>
      </c>
      <c r="J15" s="14">
        <v>2560</v>
      </c>
      <c r="K15" s="15">
        <f>L15</f>
        <v>2554</v>
      </c>
      <c r="L15" s="15">
        <f>1360+1194</f>
        <v>2554</v>
      </c>
      <c r="M15" s="16">
        <f t="shared" si="0"/>
        <v>2554</v>
      </c>
      <c r="N15" s="16">
        <v>0</v>
      </c>
      <c r="O15" s="62">
        <f t="shared" si="1"/>
        <v>0</v>
      </c>
      <c r="P15" s="42">
        <f t="shared" si="2"/>
        <v>15</v>
      </c>
      <c r="Q15" s="43">
        <f t="shared" si="3"/>
        <v>9</v>
      </c>
      <c r="R15" s="7"/>
      <c r="S15" s="6"/>
      <c r="T15" s="17"/>
      <c r="U15" s="17"/>
      <c r="V15" s="18"/>
      <c r="W15" s="19">
        <v>9</v>
      </c>
      <c r="X15" s="17"/>
      <c r="Y15" s="20"/>
      <c r="Z15" s="20"/>
      <c r="AA15" s="21"/>
      <c r="AB15" s="8">
        <f t="shared" si="4"/>
        <v>0.99765625000000002</v>
      </c>
      <c r="AC15" s="9">
        <f t="shared" si="5"/>
        <v>0.625</v>
      </c>
      <c r="AD15" s="10">
        <f t="shared" si="6"/>
        <v>0.62353515625</v>
      </c>
      <c r="AE15" s="39">
        <f t="shared" ref="AE15:AE22" si="19">$AD$23</f>
        <v>0.29686334309429829</v>
      </c>
      <c r="AF15" s="94">
        <f t="shared" si="8"/>
        <v>8</v>
      </c>
    </row>
    <row r="16" spans="1:32" ht="27" customHeight="1">
      <c r="A16" s="109">
        <v>9</v>
      </c>
      <c r="B16" s="11" t="s">
        <v>59</v>
      </c>
      <c r="C16" s="37" t="s">
        <v>122</v>
      </c>
      <c r="D16" s="55" t="s">
        <v>58</v>
      </c>
      <c r="E16" s="57" t="s">
        <v>560</v>
      </c>
      <c r="F16" s="33" t="s">
        <v>561</v>
      </c>
      <c r="G16" s="36">
        <v>1</v>
      </c>
      <c r="H16" s="38">
        <v>50</v>
      </c>
      <c r="I16" s="7">
        <v>100</v>
      </c>
      <c r="J16" s="5">
        <v>470</v>
      </c>
      <c r="K16" s="15">
        <f>L16+462</f>
        <v>462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19"/>
        <v>0.29686334309429829</v>
      </c>
      <c r="AF16" s="94">
        <f t="shared" si="8"/>
        <v>9</v>
      </c>
    </row>
    <row r="17" spans="1:32" ht="27" customHeight="1">
      <c r="A17" s="109">
        <v>10</v>
      </c>
      <c r="B17" s="11" t="s">
        <v>59</v>
      </c>
      <c r="C17" s="37" t="s">
        <v>154</v>
      </c>
      <c r="D17" s="55" t="s">
        <v>284</v>
      </c>
      <c r="E17" s="57" t="s">
        <v>430</v>
      </c>
      <c r="F17" s="12" t="s">
        <v>424</v>
      </c>
      <c r="G17" s="12">
        <v>1</v>
      </c>
      <c r="H17" s="13">
        <v>25</v>
      </c>
      <c r="I17" s="34">
        <v>200</v>
      </c>
      <c r="J17" s="5">
        <v>300</v>
      </c>
      <c r="K17" s="15">
        <f>L17+2138+3980+300</f>
        <v>6418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/>
      <c r="X17" s="17"/>
      <c r="Y17" s="20"/>
      <c r="Z17" s="20"/>
      <c r="AA17" s="21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19"/>
        <v>0.29686334309429829</v>
      </c>
      <c r="AF17" s="94">
        <f t="shared" si="8"/>
        <v>10</v>
      </c>
    </row>
    <row r="18" spans="1:32" ht="27" customHeight="1">
      <c r="A18" s="109">
        <v>11</v>
      </c>
      <c r="B18" s="11" t="s">
        <v>59</v>
      </c>
      <c r="C18" s="11" t="s">
        <v>122</v>
      </c>
      <c r="D18" s="55" t="s">
        <v>381</v>
      </c>
      <c r="E18" s="57" t="s">
        <v>639</v>
      </c>
      <c r="F18" s="12">
        <v>7301</v>
      </c>
      <c r="G18" s="36">
        <v>1</v>
      </c>
      <c r="H18" s="38">
        <v>25</v>
      </c>
      <c r="I18" s="7">
        <v>5000</v>
      </c>
      <c r="J18" s="14">
        <v>4570</v>
      </c>
      <c r="K18" s="15">
        <f>L18+2257+4566</f>
        <v>6823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19"/>
        <v>0.29686334309429829</v>
      </c>
      <c r="AF18" s="94">
        <f t="shared" si="8"/>
        <v>11</v>
      </c>
    </row>
    <row r="19" spans="1:32" ht="27" customHeight="1">
      <c r="A19" s="109">
        <v>12</v>
      </c>
      <c r="B19" s="11" t="s">
        <v>59</v>
      </c>
      <c r="C19" s="37" t="s">
        <v>411</v>
      </c>
      <c r="D19" s="55" t="s">
        <v>726</v>
      </c>
      <c r="E19" s="56" t="s">
        <v>727</v>
      </c>
      <c r="F19" s="12">
        <v>8301</v>
      </c>
      <c r="G19" s="12">
        <v>1</v>
      </c>
      <c r="H19" s="13">
        <v>25</v>
      </c>
      <c r="I19" s="34">
        <v>100</v>
      </c>
      <c r="J19" s="5">
        <v>236</v>
      </c>
      <c r="K19" s="15">
        <f>L19</f>
        <v>236</v>
      </c>
      <c r="L19" s="15">
        <f>236</f>
        <v>236</v>
      </c>
      <c r="M19" s="16">
        <f t="shared" si="0"/>
        <v>236</v>
      </c>
      <c r="N19" s="16">
        <v>0</v>
      </c>
      <c r="O19" s="62">
        <f t="shared" si="1"/>
        <v>0</v>
      </c>
      <c r="P19" s="42">
        <f t="shared" si="2"/>
        <v>3</v>
      </c>
      <c r="Q19" s="43">
        <f t="shared" si="3"/>
        <v>21</v>
      </c>
      <c r="R19" s="7"/>
      <c r="S19" s="6"/>
      <c r="T19" s="17"/>
      <c r="U19" s="17"/>
      <c r="V19" s="18"/>
      <c r="W19" s="19">
        <v>21</v>
      </c>
      <c r="X19" s="17"/>
      <c r="Y19" s="20"/>
      <c r="Z19" s="20"/>
      <c r="AA19" s="21"/>
      <c r="AB19" s="8">
        <f t="shared" si="4"/>
        <v>1</v>
      </c>
      <c r="AC19" s="9">
        <f t="shared" si="5"/>
        <v>0.125</v>
      </c>
      <c r="AD19" s="10">
        <f t="shared" si="6"/>
        <v>0.125</v>
      </c>
      <c r="AE19" s="39">
        <f t="shared" si="19"/>
        <v>0.29686334309429829</v>
      </c>
      <c r="AF19" s="94">
        <f t="shared" si="8"/>
        <v>12</v>
      </c>
    </row>
    <row r="20" spans="1:32" ht="27" customHeight="1">
      <c r="A20" s="110">
        <v>13</v>
      </c>
      <c r="B20" s="11" t="s">
        <v>59</v>
      </c>
      <c r="C20" s="37" t="s">
        <v>127</v>
      </c>
      <c r="D20" s="55" t="s">
        <v>144</v>
      </c>
      <c r="E20" s="57" t="s">
        <v>697</v>
      </c>
      <c r="F20" s="12" t="s">
        <v>696</v>
      </c>
      <c r="G20" s="12">
        <v>1</v>
      </c>
      <c r="H20" s="13">
        <v>25</v>
      </c>
      <c r="I20" s="34">
        <v>16000</v>
      </c>
      <c r="J20" s="5">
        <v>4700</v>
      </c>
      <c r="K20" s="15">
        <f>L20+1918</f>
        <v>6615</v>
      </c>
      <c r="L20" s="15">
        <f>1975+2722</f>
        <v>4697</v>
      </c>
      <c r="M20" s="16">
        <f t="shared" si="0"/>
        <v>4697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0.99936170212765962</v>
      </c>
      <c r="AC20" s="9">
        <f t="shared" si="5"/>
        <v>1</v>
      </c>
      <c r="AD20" s="10">
        <f t="shared" si="6"/>
        <v>0.99936170212765962</v>
      </c>
      <c r="AE20" s="39">
        <f t="shared" si="19"/>
        <v>0.29686334309429829</v>
      </c>
      <c r="AF20" s="94">
        <f t="shared" si="8"/>
        <v>13</v>
      </c>
    </row>
    <row r="21" spans="1:32" ht="27" customHeight="1">
      <c r="A21" s="110">
        <v>14</v>
      </c>
      <c r="B21" s="11" t="s">
        <v>59</v>
      </c>
      <c r="C21" s="37" t="s">
        <v>62</v>
      </c>
      <c r="D21" s="55" t="s">
        <v>58</v>
      </c>
      <c r="E21" s="57" t="s">
        <v>301</v>
      </c>
      <c r="F21" s="33" t="s">
        <v>126</v>
      </c>
      <c r="G21" s="36">
        <v>2</v>
      </c>
      <c r="H21" s="38">
        <v>25</v>
      </c>
      <c r="I21" s="34">
        <v>12000</v>
      </c>
      <c r="J21" s="5">
        <v>4350</v>
      </c>
      <c r="K21" s="15">
        <f>L21+8110+4344</f>
        <v>12454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>
        <v>24</v>
      </c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19"/>
        <v>0.29686334309429829</v>
      </c>
      <c r="AF21" s="94">
        <f t="shared" si="8"/>
        <v>14</v>
      </c>
    </row>
    <row r="22" spans="1:32" ht="27" customHeight="1" thickBot="1">
      <c r="A22" s="110">
        <v>15</v>
      </c>
      <c r="B22" s="11" t="s">
        <v>59</v>
      </c>
      <c r="C22" s="11" t="s">
        <v>119</v>
      </c>
      <c r="D22" s="55"/>
      <c r="E22" s="56" t="s">
        <v>698</v>
      </c>
      <c r="F22" s="12" t="s">
        <v>120</v>
      </c>
      <c r="G22" s="12">
        <v>4</v>
      </c>
      <c r="H22" s="38">
        <v>20</v>
      </c>
      <c r="I22" s="7">
        <v>500000</v>
      </c>
      <c r="J22" s="14">
        <v>48180</v>
      </c>
      <c r="K22" s="15">
        <f>35092+L22+26284</f>
        <v>109548</v>
      </c>
      <c r="L22" s="15">
        <f>4855*4+7188*4</f>
        <v>48172</v>
      </c>
      <c r="M22" s="16">
        <f t="shared" si="0"/>
        <v>48172</v>
      </c>
      <c r="N22" s="16">
        <v>0</v>
      </c>
      <c r="O22" s="62">
        <f t="shared" si="1"/>
        <v>0</v>
      </c>
      <c r="P22" s="42">
        <f t="shared" si="2"/>
        <v>23</v>
      </c>
      <c r="Q22" s="43">
        <f t="shared" si="3"/>
        <v>1</v>
      </c>
      <c r="R22" s="7"/>
      <c r="S22" s="6"/>
      <c r="T22" s="17"/>
      <c r="U22" s="17"/>
      <c r="V22" s="18">
        <v>1</v>
      </c>
      <c r="W22" s="19"/>
      <c r="X22" s="17"/>
      <c r="Y22" s="20"/>
      <c r="Z22" s="20"/>
      <c r="AA22" s="21"/>
      <c r="AB22" s="8">
        <f t="shared" si="4"/>
        <v>0.99983395599833957</v>
      </c>
      <c r="AC22" s="9">
        <f t="shared" si="5"/>
        <v>0.95833333333333337</v>
      </c>
      <c r="AD22" s="10">
        <f t="shared" si="6"/>
        <v>0.95817420783174212</v>
      </c>
      <c r="AE22" s="39">
        <f t="shared" si="19"/>
        <v>0.29686334309429829</v>
      </c>
      <c r="AF22" s="94">
        <f t="shared" si="8"/>
        <v>15</v>
      </c>
    </row>
    <row r="23" spans="1:32" ht="31.5" customHeight="1" thickBot="1">
      <c r="A23" s="430" t="s">
        <v>34</v>
      </c>
      <c r="B23" s="431"/>
      <c r="C23" s="431"/>
      <c r="D23" s="431"/>
      <c r="E23" s="431"/>
      <c r="F23" s="431"/>
      <c r="G23" s="431"/>
      <c r="H23" s="432"/>
      <c r="I23" s="25">
        <f t="shared" ref="I23:N23" si="20">SUM(I6:I22)</f>
        <v>585100</v>
      </c>
      <c r="J23" s="22">
        <f t="shared" si="20"/>
        <v>85956</v>
      </c>
      <c r="K23" s="23">
        <f t="shared" si="20"/>
        <v>210149</v>
      </c>
      <c r="L23" s="24">
        <f t="shared" si="20"/>
        <v>62879</v>
      </c>
      <c r="M23" s="23">
        <f t="shared" si="20"/>
        <v>62879</v>
      </c>
      <c r="N23" s="24">
        <f t="shared" si="20"/>
        <v>0</v>
      </c>
      <c r="O23" s="44">
        <f t="shared" si="1"/>
        <v>0</v>
      </c>
      <c r="P23" s="45">
        <f t="shared" ref="P23:AA23" si="21">SUM(P6:P22)</f>
        <v>107</v>
      </c>
      <c r="Q23" s="46">
        <f t="shared" si="21"/>
        <v>301</v>
      </c>
      <c r="R23" s="26">
        <f t="shared" si="21"/>
        <v>24</v>
      </c>
      <c r="S23" s="27">
        <f t="shared" si="21"/>
        <v>2</v>
      </c>
      <c r="T23" s="27">
        <f t="shared" si="21"/>
        <v>0</v>
      </c>
      <c r="U23" s="27">
        <f t="shared" si="21"/>
        <v>0</v>
      </c>
      <c r="V23" s="28">
        <f t="shared" si="21"/>
        <v>1</v>
      </c>
      <c r="W23" s="29">
        <f t="shared" si="21"/>
        <v>250</v>
      </c>
      <c r="X23" s="30">
        <f t="shared" si="21"/>
        <v>0</v>
      </c>
      <c r="Y23" s="30">
        <f t="shared" si="21"/>
        <v>0</v>
      </c>
      <c r="Z23" s="30">
        <f t="shared" si="21"/>
        <v>0</v>
      </c>
      <c r="AA23" s="30">
        <f t="shared" si="21"/>
        <v>24</v>
      </c>
      <c r="AB23" s="31">
        <f>SUM(AB6:AB22)/15</f>
        <v>0.59868979503770514</v>
      </c>
      <c r="AC23" s="4">
        <f>SUM(AC6:AC22)/15</f>
        <v>0.29722222222222222</v>
      </c>
      <c r="AD23" s="4">
        <f>SUM(AD6:AD22)/15</f>
        <v>0.29686334309429829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5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433" t="s">
        <v>46</v>
      </c>
      <c r="B50" s="433"/>
      <c r="C50" s="433"/>
      <c r="D50" s="433"/>
      <c r="E50" s="433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434" t="s">
        <v>728</v>
      </c>
      <c r="B51" s="435"/>
      <c r="C51" s="435"/>
      <c r="D51" s="435"/>
      <c r="E51" s="435"/>
      <c r="F51" s="435"/>
      <c r="G51" s="435"/>
      <c r="H51" s="435"/>
      <c r="I51" s="435"/>
      <c r="J51" s="435"/>
      <c r="K51" s="435"/>
      <c r="L51" s="435"/>
      <c r="M51" s="436"/>
      <c r="N51" s="437" t="s">
        <v>737</v>
      </c>
      <c r="O51" s="438"/>
      <c r="P51" s="438"/>
      <c r="Q51" s="438"/>
      <c r="R51" s="438"/>
      <c r="S51" s="438"/>
      <c r="T51" s="438"/>
      <c r="U51" s="438"/>
      <c r="V51" s="438"/>
      <c r="W51" s="438"/>
      <c r="X51" s="438"/>
      <c r="Y51" s="438"/>
      <c r="Z51" s="438"/>
      <c r="AA51" s="438"/>
      <c r="AB51" s="438"/>
      <c r="AC51" s="438"/>
      <c r="AD51" s="439"/>
    </row>
    <row r="52" spans="1:32" ht="27" customHeight="1">
      <c r="A52" s="440" t="s">
        <v>2</v>
      </c>
      <c r="B52" s="441"/>
      <c r="C52" s="320" t="s">
        <v>47</v>
      </c>
      <c r="D52" s="320" t="s">
        <v>48</v>
      </c>
      <c r="E52" s="320" t="s">
        <v>113</v>
      </c>
      <c r="F52" s="441" t="s">
        <v>112</v>
      </c>
      <c r="G52" s="441"/>
      <c r="H52" s="441"/>
      <c r="I52" s="441"/>
      <c r="J52" s="441"/>
      <c r="K52" s="441"/>
      <c r="L52" s="441"/>
      <c r="M52" s="442"/>
      <c r="N52" s="73" t="s">
        <v>117</v>
      </c>
      <c r="O52" s="320" t="s">
        <v>47</v>
      </c>
      <c r="P52" s="443" t="s">
        <v>48</v>
      </c>
      <c r="Q52" s="444"/>
      <c r="R52" s="443" t="s">
        <v>39</v>
      </c>
      <c r="S52" s="445"/>
      <c r="T52" s="445"/>
      <c r="U52" s="444"/>
      <c r="V52" s="443" t="s">
        <v>49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7" t="s">
        <v>127</v>
      </c>
      <c r="B53" s="458"/>
      <c r="C53" s="321" t="s">
        <v>132</v>
      </c>
      <c r="D53" s="322" t="s">
        <v>121</v>
      </c>
      <c r="E53" s="321" t="s">
        <v>700</v>
      </c>
      <c r="F53" s="459" t="s">
        <v>729</v>
      </c>
      <c r="G53" s="459"/>
      <c r="H53" s="459"/>
      <c r="I53" s="459"/>
      <c r="J53" s="459"/>
      <c r="K53" s="459"/>
      <c r="L53" s="459"/>
      <c r="M53" s="460"/>
      <c r="N53" s="323" t="s">
        <v>127</v>
      </c>
      <c r="O53" s="74" t="s">
        <v>132</v>
      </c>
      <c r="P53" s="461" t="s">
        <v>738</v>
      </c>
      <c r="Q53" s="462"/>
      <c r="R53" s="463" t="s">
        <v>739</v>
      </c>
      <c r="S53" s="463"/>
      <c r="T53" s="463"/>
      <c r="U53" s="463"/>
      <c r="V53" s="459" t="s">
        <v>243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 t="s">
        <v>702</v>
      </c>
      <c r="B54" s="458"/>
      <c r="C54" s="321" t="s">
        <v>131</v>
      </c>
      <c r="D54" s="322" t="s">
        <v>703</v>
      </c>
      <c r="E54" s="321" t="s">
        <v>704</v>
      </c>
      <c r="F54" s="459" t="s">
        <v>730</v>
      </c>
      <c r="G54" s="459"/>
      <c r="H54" s="459"/>
      <c r="I54" s="459"/>
      <c r="J54" s="459"/>
      <c r="K54" s="459"/>
      <c r="L54" s="459"/>
      <c r="M54" s="460"/>
      <c r="N54" s="323" t="s">
        <v>731</v>
      </c>
      <c r="O54" s="74" t="s">
        <v>734</v>
      </c>
      <c r="P54" s="461" t="s">
        <v>740</v>
      </c>
      <c r="Q54" s="462"/>
      <c r="R54" s="463" t="s">
        <v>741</v>
      </c>
      <c r="S54" s="463"/>
      <c r="T54" s="463"/>
      <c r="U54" s="463"/>
      <c r="V54" s="459" t="s">
        <v>243</v>
      </c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57" t="s">
        <v>731</v>
      </c>
      <c r="B55" s="458"/>
      <c r="C55" s="321" t="s">
        <v>732</v>
      </c>
      <c r="D55" s="322" t="s">
        <v>726</v>
      </c>
      <c r="E55" s="321" t="s">
        <v>727</v>
      </c>
      <c r="F55" s="459" t="s">
        <v>733</v>
      </c>
      <c r="G55" s="459"/>
      <c r="H55" s="459"/>
      <c r="I55" s="459"/>
      <c r="J55" s="459"/>
      <c r="K55" s="459"/>
      <c r="L55" s="459"/>
      <c r="M55" s="460"/>
      <c r="N55" s="323" t="s">
        <v>122</v>
      </c>
      <c r="O55" s="74" t="s">
        <v>134</v>
      </c>
      <c r="P55" s="461" t="s">
        <v>721</v>
      </c>
      <c r="Q55" s="462"/>
      <c r="R55" s="463" t="s">
        <v>742</v>
      </c>
      <c r="S55" s="463"/>
      <c r="T55" s="463"/>
      <c r="U55" s="463"/>
      <c r="V55" s="459" t="s">
        <v>243</v>
      </c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 t="s">
        <v>122</v>
      </c>
      <c r="B56" s="463"/>
      <c r="C56" s="322" t="s">
        <v>734</v>
      </c>
      <c r="D56" s="322" t="s">
        <v>721</v>
      </c>
      <c r="E56" s="321" t="s">
        <v>725</v>
      </c>
      <c r="F56" s="459" t="s">
        <v>733</v>
      </c>
      <c r="G56" s="459"/>
      <c r="H56" s="459"/>
      <c r="I56" s="459"/>
      <c r="J56" s="459"/>
      <c r="K56" s="459"/>
      <c r="L56" s="459"/>
      <c r="M56" s="460"/>
      <c r="N56" s="323"/>
      <c r="O56" s="74"/>
      <c r="P56" s="461"/>
      <c r="Q56" s="462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 t="s">
        <v>122</v>
      </c>
      <c r="B57" s="463"/>
      <c r="C57" s="322" t="s">
        <v>134</v>
      </c>
      <c r="D57" s="322" t="s">
        <v>735</v>
      </c>
      <c r="E57" s="321" t="s">
        <v>722</v>
      </c>
      <c r="F57" s="459" t="s">
        <v>733</v>
      </c>
      <c r="G57" s="459"/>
      <c r="H57" s="459"/>
      <c r="I57" s="459"/>
      <c r="J57" s="459"/>
      <c r="K57" s="459"/>
      <c r="L57" s="459"/>
      <c r="M57" s="460"/>
      <c r="N57" s="323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64" t="s">
        <v>122</v>
      </c>
      <c r="B58" s="463"/>
      <c r="C58" s="322" t="s">
        <v>134</v>
      </c>
      <c r="D58" s="322" t="s">
        <v>736</v>
      </c>
      <c r="E58" s="321" t="s">
        <v>724</v>
      </c>
      <c r="F58" s="459" t="s">
        <v>733</v>
      </c>
      <c r="G58" s="459"/>
      <c r="H58" s="459"/>
      <c r="I58" s="459"/>
      <c r="J58" s="459"/>
      <c r="K58" s="459"/>
      <c r="L58" s="459"/>
      <c r="M58" s="460"/>
      <c r="N58" s="323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322"/>
      <c r="D59" s="322"/>
      <c r="E59" s="321"/>
      <c r="F59" s="459"/>
      <c r="G59" s="459"/>
      <c r="H59" s="459"/>
      <c r="I59" s="459"/>
      <c r="J59" s="459"/>
      <c r="K59" s="459"/>
      <c r="L59" s="459"/>
      <c r="M59" s="460"/>
      <c r="N59" s="323"/>
      <c r="O59" s="74"/>
      <c r="P59" s="461"/>
      <c r="Q59" s="462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</row>
    <row r="60" spans="1:32" ht="27" customHeight="1">
      <c r="A60" s="457"/>
      <c r="B60" s="458"/>
      <c r="C60" s="321"/>
      <c r="D60" s="322"/>
      <c r="E60" s="321"/>
      <c r="F60" s="459"/>
      <c r="G60" s="459"/>
      <c r="H60" s="459"/>
      <c r="I60" s="459"/>
      <c r="J60" s="459"/>
      <c r="K60" s="459"/>
      <c r="L60" s="459"/>
      <c r="M60" s="460"/>
      <c r="N60" s="323"/>
      <c r="O60" s="74"/>
      <c r="P60" s="463"/>
      <c r="Q60" s="463"/>
      <c r="R60" s="463"/>
      <c r="S60" s="463"/>
      <c r="T60" s="463"/>
      <c r="U60" s="463"/>
      <c r="V60" s="459"/>
      <c r="W60" s="459"/>
      <c r="X60" s="459"/>
      <c r="Y60" s="459"/>
      <c r="Z60" s="459"/>
      <c r="AA60" s="459"/>
      <c r="AB60" s="459"/>
      <c r="AC60" s="459"/>
      <c r="AD60" s="460"/>
    </row>
    <row r="61" spans="1:32" ht="27" customHeight="1">
      <c r="A61" s="464"/>
      <c r="B61" s="463"/>
      <c r="C61" s="322"/>
      <c r="D61" s="322"/>
      <c r="E61" s="322"/>
      <c r="F61" s="459"/>
      <c r="G61" s="459"/>
      <c r="H61" s="459"/>
      <c r="I61" s="459"/>
      <c r="J61" s="459"/>
      <c r="K61" s="459"/>
      <c r="L61" s="459"/>
      <c r="M61" s="460"/>
      <c r="N61" s="323"/>
      <c r="O61" s="74"/>
      <c r="P61" s="463"/>
      <c r="Q61" s="463"/>
      <c r="R61" s="463"/>
      <c r="S61" s="463"/>
      <c r="T61" s="463"/>
      <c r="U61" s="463"/>
      <c r="V61" s="459"/>
      <c r="W61" s="459"/>
      <c r="X61" s="459"/>
      <c r="Y61" s="459"/>
      <c r="Z61" s="459"/>
      <c r="AA61" s="459"/>
      <c r="AB61" s="459"/>
      <c r="AC61" s="459"/>
      <c r="AD61" s="460"/>
      <c r="AF61" s="94">
        <f>8*3000</f>
        <v>24000</v>
      </c>
    </row>
    <row r="62" spans="1:32" ht="27" customHeight="1" thickBot="1">
      <c r="A62" s="465"/>
      <c r="B62" s="466"/>
      <c r="C62" s="325"/>
      <c r="D62" s="325"/>
      <c r="E62" s="325"/>
      <c r="F62" s="467"/>
      <c r="G62" s="467"/>
      <c r="H62" s="467"/>
      <c r="I62" s="467"/>
      <c r="J62" s="467"/>
      <c r="K62" s="467"/>
      <c r="L62" s="467"/>
      <c r="M62" s="468"/>
      <c r="N62" s="324"/>
      <c r="O62" s="121"/>
      <c r="P62" s="466"/>
      <c r="Q62" s="466"/>
      <c r="R62" s="466"/>
      <c r="S62" s="466"/>
      <c r="T62" s="466"/>
      <c r="U62" s="466"/>
      <c r="V62" s="467"/>
      <c r="W62" s="467"/>
      <c r="X62" s="467"/>
      <c r="Y62" s="467"/>
      <c r="Z62" s="467"/>
      <c r="AA62" s="467"/>
      <c r="AB62" s="467"/>
      <c r="AC62" s="467"/>
      <c r="AD62" s="468"/>
      <c r="AF62" s="94">
        <f>16*3000</f>
        <v>48000</v>
      </c>
    </row>
    <row r="63" spans="1:32" ht="27.75" thickBot="1">
      <c r="A63" s="469" t="s">
        <v>743</v>
      </c>
      <c r="B63" s="469"/>
      <c r="C63" s="469"/>
      <c r="D63" s="469"/>
      <c r="E63" s="469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4">
        <v>24000</v>
      </c>
    </row>
    <row r="64" spans="1:32" ht="29.25" customHeight="1" thickBot="1">
      <c r="A64" s="470" t="s">
        <v>118</v>
      </c>
      <c r="B64" s="471"/>
      <c r="C64" s="326" t="s">
        <v>2</v>
      </c>
      <c r="D64" s="326" t="s">
        <v>38</v>
      </c>
      <c r="E64" s="326" t="s">
        <v>3</v>
      </c>
      <c r="F64" s="471" t="s">
        <v>115</v>
      </c>
      <c r="G64" s="471"/>
      <c r="H64" s="471"/>
      <c r="I64" s="471"/>
      <c r="J64" s="471"/>
      <c r="K64" s="471" t="s">
        <v>40</v>
      </c>
      <c r="L64" s="471"/>
      <c r="M64" s="326" t="s">
        <v>41</v>
      </c>
      <c r="N64" s="471" t="s">
        <v>42</v>
      </c>
      <c r="O64" s="471"/>
      <c r="P64" s="472" t="s">
        <v>43</v>
      </c>
      <c r="Q64" s="473"/>
      <c r="R64" s="472" t="s">
        <v>44</v>
      </c>
      <c r="S64" s="474"/>
      <c r="T64" s="474"/>
      <c r="U64" s="474"/>
      <c r="V64" s="474"/>
      <c r="W64" s="474"/>
      <c r="X64" s="474"/>
      <c r="Y64" s="474"/>
      <c r="Z64" s="474"/>
      <c r="AA64" s="473"/>
      <c r="AB64" s="471" t="s">
        <v>45</v>
      </c>
      <c r="AC64" s="471"/>
      <c r="AD64" s="475"/>
      <c r="AF64" s="94">
        <f>SUM(AF61:AF63)</f>
        <v>96000</v>
      </c>
    </row>
    <row r="65" spans="1:32" ht="25.5" customHeight="1">
      <c r="A65" s="476">
        <v>1</v>
      </c>
      <c r="B65" s="477"/>
      <c r="C65" s="133"/>
      <c r="D65" s="329"/>
      <c r="E65" s="327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2</v>
      </c>
      <c r="B66" s="477"/>
      <c r="C66" s="133"/>
      <c r="D66" s="329"/>
      <c r="E66" s="327"/>
      <c r="F66" s="478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</row>
    <row r="67" spans="1:32" ht="25.5" customHeight="1">
      <c r="A67" s="476">
        <v>3</v>
      </c>
      <c r="B67" s="477"/>
      <c r="C67" s="133"/>
      <c r="D67" s="329"/>
      <c r="E67" s="327"/>
      <c r="F67" s="478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4</v>
      </c>
      <c r="B68" s="477"/>
      <c r="C68" s="133"/>
      <c r="D68" s="329"/>
      <c r="E68" s="327"/>
      <c r="F68" s="479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5</v>
      </c>
      <c r="B69" s="477"/>
      <c r="C69" s="133"/>
      <c r="D69" s="329"/>
      <c r="E69" s="327"/>
      <c r="F69" s="479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6</v>
      </c>
      <c r="B70" s="477"/>
      <c r="C70" s="133"/>
      <c r="D70" s="329"/>
      <c r="E70" s="327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5.5" customHeight="1">
      <c r="A71" s="476">
        <v>7</v>
      </c>
      <c r="B71" s="477"/>
      <c r="C71" s="133"/>
      <c r="D71" s="329"/>
      <c r="E71" s="327"/>
      <c r="F71" s="478"/>
      <c r="G71" s="479"/>
      <c r="H71" s="479"/>
      <c r="I71" s="479"/>
      <c r="J71" s="479"/>
      <c r="K71" s="479"/>
      <c r="L71" s="479"/>
      <c r="M71" s="54"/>
      <c r="N71" s="479"/>
      <c r="O71" s="479"/>
      <c r="P71" s="480"/>
      <c r="Q71" s="480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79"/>
      <c r="AC71" s="479"/>
      <c r="AD71" s="481"/>
      <c r="AF71" s="53"/>
    </row>
    <row r="72" spans="1:32" ht="25.5" customHeight="1">
      <c r="A72" s="476">
        <v>8</v>
      </c>
      <c r="B72" s="477"/>
      <c r="C72" s="133"/>
      <c r="D72" s="329"/>
      <c r="E72" s="327"/>
      <c r="F72" s="478"/>
      <c r="G72" s="479"/>
      <c r="H72" s="479"/>
      <c r="I72" s="479"/>
      <c r="J72" s="479"/>
      <c r="K72" s="479"/>
      <c r="L72" s="479"/>
      <c r="M72" s="54"/>
      <c r="N72" s="479"/>
      <c r="O72" s="479"/>
      <c r="P72" s="480"/>
      <c r="Q72" s="480"/>
      <c r="R72" s="459"/>
      <c r="S72" s="459"/>
      <c r="T72" s="459"/>
      <c r="U72" s="459"/>
      <c r="V72" s="459"/>
      <c r="W72" s="459"/>
      <c r="X72" s="459"/>
      <c r="Y72" s="459"/>
      <c r="Z72" s="459"/>
      <c r="AA72" s="459"/>
      <c r="AB72" s="479"/>
      <c r="AC72" s="479"/>
      <c r="AD72" s="481"/>
      <c r="AF72" s="53"/>
    </row>
    <row r="73" spans="1:32" ht="26.25" customHeight="1" thickBot="1">
      <c r="A73" s="482" t="s">
        <v>744</v>
      </c>
      <c r="B73" s="482"/>
      <c r="C73" s="482"/>
      <c r="D73" s="482"/>
      <c r="E73" s="482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83" t="s">
        <v>118</v>
      </c>
      <c r="B74" s="484"/>
      <c r="C74" s="328" t="s">
        <v>2</v>
      </c>
      <c r="D74" s="328" t="s">
        <v>38</v>
      </c>
      <c r="E74" s="328" t="s">
        <v>3</v>
      </c>
      <c r="F74" s="484" t="s">
        <v>39</v>
      </c>
      <c r="G74" s="484"/>
      <c r="H74" s="484"/>
      <c r="I74" s="484"/>
      <c r="J74" s="484"/>
      <c r="K74" s="485" t="s">
        <v>60</v>
      </c>
      <c r="L74" s="486"/>
      <c r="M74" s="486"/>
      <c r="N74" s="486"/>
      <c r="O74" s="486"/>
      <c r="P74" s="486"/>
      <c r="Q74" s="486"/>
      <c r="R74" s="486"/>
      <c r="S74" s="487"/>
      <c r="T74" s="484" t="s">
        <v>50</v>
      </c>
      <c r="U74" s="484"/>
      <c r="V74" s="485" t="s">
        <v>51</v>
      </c>
      <c r="W74" s="487"/>
      <c r="X74" s="486" t="s">
        <v>52</v>
      </c>
      <c r="Y74" s="486"/>
      <c r="Z74" s="486"/>
      <c r="AA74" s="486"/>
      <c r="AB74" s="486"/>
      <c r="AC74" s="486"/>
      <c r="AD74" s="488"/>
      <c r="AF74" s="53"/>
    </row>
    <row r="75" spans="1:32" ht="33.75" customHeight="1">
      <c r="A75" s="497">
        <v>1</v>
      </c>
      <c r="B75" s="498"/>
      <c r="C75" s="330" t="s">
        <v>122</v>
      </c>
      <c r="D75" s="330"/>
      <c r="E75" s="71" t="s">
        <v>556</v>
      </c>
      <c r="F75" s="499" t="s">
        <v>557</v>
      </c>
      <c r="G75" s="500"/>
      <c r="H75" s="500"/>
      <c r="I75" s="500"/>
      <c r="J75" s="501"/>
      <c r="K75" s="502" t="s">
        <v>141</v>
      </c>
      <c r="L75" s="503"/>
      <c r="M75" s="503"/>
      <c r="N75" s="503"/>
      <c r="O75" s="503"/>
      <c r="P75" s="503"/>
      <c r="Q75" s="503"/>
      <c r="R75" s="503"/>
      <c r="S75" s="504"/>
      <c r="T75" s="505">
        <v>42873</v>
      </c>
      <c r="U75" s="506"/>
      <c r="V75" s="507"/>
      <c r="W75" s="507"/>
      <c r="X75" s="508"/>
      <c r="Y75" s="508"/>
      <c r="Z75" s="508"/>
      <c r="AA75" s="508"/>
      <c r="AB75" s="508"/>
      <c r="AC75" s="508"/>
      <c r="AD75" s="509"/>
      <c r="AF75" s="53"/>
    </row>
    <row r="76" spans="1:32" ht="30" customHeight="1">
      <c r="A76" s="489">
        <f>A75+1</f>
        <v>2</v>
      </c>
      <c r="B76" s="490"/>
      <c r="C76" s="329" t="s">
        <v>122</v>
      </c>
      <c r="D76" s="329"/>
      <c r="E76" s="35" t="s">
        <v>388</v>
      </c>
      <c r="F76" s="490" t="s">
        <v>394</v>
      </c>
      <c r="G76" s="490"/>
      <c r="H76" s="490"/>
      <c r="I76" s="490"/>
      <c r="J76" s="490"/>
      <c r="K76" s="491" t="s">
        <v>522</v>
      </c>
      <c r="L76" s="492"/>
      <c r="M76" s="492"/>
      <c r="N76" s="492"/>
      <c r="O76" s="492"/>
      <c r="P76" s="492"/>
      <c r="Q76" s="492"/>
      <c r="R76" s="492"/>
      <c r="S76" s="493"/>
      <c r="T76" s="494">
        <v>42867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ref="A77:A83" si="22">A76+1</f>
        <v>3</v>
      </c>
      <c r="B77" s="490"/>
      <c r="C77" s="329" t="s">
        <v>127</v>
      </c>
      <c r="D77" s="329"/>
      <c r="E77" s="35" t="s">
        <v>121</v>
      </c>
      <c r="F77" s="490" t="s">
        <v>585</v>
      </c>
      <c r="G77" s="490"/>
      <c r="H77" s="490"/>
      <c r="I77" s="490"/>
      <c r="J77" s="490"/>
      <c r="K77" s="491" t="s">
        <v>61</v>
      </c>
      <c r="L77" s="492"/>
      <c r="M77" s="492"/>
      <c r="N77" s="492"/>
      <c r="O77" s="492"/>
      <c r="P77" s="492"/>
      <c r="Q77" s="492"/>
      <c r="R77" s="492"/>
      <c r="S77" s="493"/>
      <c r="T77" s="494">
        <v>42874</v>
      </c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22"/>
        <v>4</v>
      </c>
      <c r="B78" s="490"/>
      <c r="C78" s="329" t="s">
        <v>122</v>
      </c>
      <c r="D78" s="329"/>
      <c r="E78" s="35" t="s">
        <v>623</v>
      </c>
      <c r="F78" s="490" t="s">
        <v>151</v>
      </c>
      <c r="G78" s="490"/>
      <c r="H78" s="490"/>
      <c r="I78" s="490"/>
      <c r="J78" s="490"/>
      <c r="K78" s="491" t="s">
        <v>689</v>
      </c>
      <c r="L78" s="492"/>
      <c r="M78" s="492"/>
      <c r="N78" s="492"/>
      <c r="O78" s="492"/>
      <c r="P78" s="492"/>
      <c r="Q78" s="492"/>
      <c r="R78" s="492"/>
      <c r="S78" s="493"/>
      <c r="T78" s="494">
        <v>42874</v>
      </c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22"/>
        <v>5</v>
      </c>
      <c r="B79" s="490"/>
      <c r="C79" s="329"/>
      <c r="D79" s="329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22"/>
        <v>6</v>
      </c>
      <c r="B80" s="490"/>
      <c r="C80" s="329"/>
      <c r="D80" s="329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22"/>
        <v>7</v>
      </c>
      <c r="B81" s="490"/>
      <c r="C81" s="329"/>
      <c r="D81" s="329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0" customHeight="1">
      <c r="A82" s="489">
        <f t="shared" si="22"/>
        <v>8</v>
      </c>
      <c r="B82" s="490"/>
      <c r="C82" s="329"/>
      <c r="D82" s="329"/>
      <c r="E82" s="35"/>
      <c r="F82" s="490"/>
      <c r="G82" s="490"/>
      <c r="H82" s="490"/>
      <c r="I82" s="490"/>
      <c r="J82" s="490"/>
      <c r="K82" s="491"/>
      <c r="L82" s="492"/>
      <c r="M82" s="492"/>
      <c r="N82" s="492"/>
      <c r="O82" s="492"/>
      <c r="P82" s="492"/>
      <c r="Q82" s="492"/>
      <c r="R82" s="492"/>
      <c r="S82" s="493"/>
      <c r="T82" s="494"/>
      <c r="U82" s="494"/>
      <c r="V82" s="494"/>
      <c r="W82" s="494"/>
      <c r="X82" s="495"/>
      <c r="Y82" s="495"/>
      <c r="Z82" s="495"/>
      <c r="AA82" s="495"/>
      <c r="AB82" s="495"/>
      <c r="AC82" s="495"/>
      <c r="AD82" s="496"/>
      <c r="AF82" s="53"/>
    </row>
    <row r="83" spans="1:32" ht="30" customHeight="1">
      <c r="A83" s="489">
        <f t="shared" si="22"/>
        <v>9</v>
      </c>
      <c r="B83" s="490"/>
      <c r="C83" s="329"/>
      <c r="D83" s="329"/>
      <c r="E83" s="35"/>
      <c r="F83" s="490"/>
      <c r="G83" s="490"/>
      <c r="H83" s="490"/>
      <c r="I83" s="490"/>
      <c r="J83" s="490"/>
      <c r="K83" s="491"/>
      <c r="L83" s="492"/>
      <c r="M83" s="492"/>
      <c r="N83" s="492"/>
      <c r="O83" s="492"/>
      <c r="P83" s="492"/>
      <c r="Q83" s="492"/>
      <c r="R83" s="492"/>
      <c r="S83" s="493"/>
      <c r="T83" s="494"/>
      <c r="U83" s="494"/>
      <c r="V83" s="494"/>
      <c r="W83" s="494"/>
      <c r="X83" s="495"/>
      <c r="Y83" s="495"/>
      <c r="Z83" s="495"/>
      <c r="AA83" s="495"/>
      <c r="AB83" s="495"/>
      <c r="AC83" s="495"/>
      <c r="AD83" s="496"/>
      <c r="AF83" s="53"/>
    </row>
    <row r="84" spans="1:32" ht="36" thickBot="1">
      <c r="A84" s="482" t="s">
        <v>745</v>
      </c>
      <c r="B84" s="482"/>
      <c r="C84" s="482"/>
      <c r="D84" s="482"/>
      <c r="E84" s="482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510" t="s">
        <v>37</v>
      </c>
      <c r="B85" s="511"/>
      <c r="C85" s="511" t="s">
        <v>53</v>
      </c>
      <c r="D85" s="511"/>
      <c r="E85" s="511" t="s">
        <v>54</v>
      </c>
      <c r="F85" s="511"/>
      <c r="G85" s="511"/>
      <c r="H85" s="511"/>
      <c r="I85" s="511"/>
      <c r="J85" s="511"/>
      <c r="K85" s="511" t="s">
        <v>55</v>
      </c>
      <c r="L85" s="511"/>
      <c r="M85" s="511"/>
      <c r="N85" s="511"/>
      <c r="O85" s="511"/>
      <c r="P85" s="511"/>
      <c r="Q85" s="511"/>
      <c r="R85" s="511"/>
      <c r="S85" s="511"/>
      <c r="T85" s="511" t="s">
        <v>56</v>
      </c>
      <c r="U85" s="511"/>
      <c r="V85" s="511" t="s">
        <v>57</v>
      </c>
      <c r="W85" s="511"/>
      <c r="X85" s="511"/>
      <c r="Y85" s="511" t="s">
        <v>52</v>
      </c>
      <c r="Z85" s="511"/>
      <c r="AA85" s="511"/>
      <c r="AB85" s="511"/>
      <c r="AC85" s="511"/>
      <c r="AD85" s="512"/>
      <c r="AF85" s="53"/>
    </row>
    <row r="86" spans="1:32" ht="30.75" customHeight="1">
      <c r="A86" s="513">
        <v>1</v>
      </c>
      <c r="B86" s="514"/>
      <c r="C86" s="515">
        <v>14</v>
      </c>
      <c r="D86" s="515"/>
      <c r="E86" s="515" t="s">
        <v>719</v>
      </c>
      <c r="F86" s="515"/>
      <c r="G86" s="515"/>
      <c r="H86" s="515"/>
      <c r="I86" s="515"/>
      <c r="J86" s="515"/>
      <c r="K86" s="515"/>
      <c r="L86" s="515"/>
      <c r="M86" s="515"/>
      <c r="N86" s="515"/>
      <c r="O86" s="515"/>
      <c r="P86" s="515"/>
      <c r="Q86" s="515"/>
      <c r="R86" s="515"/>
      <c r="S86" s="515"/>
      <c r="T86" s="515" t="s">
        <v>552</v>
      </c>
      <c r="U86" s="515"/>
      <c r="V86" s="516"/>
      <c r="W86" s="516"/>
      <c r="X86" s="516"/>
      <c r="Y86" s="517"/>
      <c r="Z86" s="517"/>
      <c r="AA86" s="517"/>
      <c r="AB86" s="517"/>
      <c r="AC86" s="517"/>
      <c r="AD86" s="518"/>
      <c r="AF86" s="53"/>
    </row>
    <row r="87" spans="1:32" ht="30.75" customHeight="1">
      <c r="A87" s="489">
        <v>2</v>
      </c>
      <c r="B87" s="490"/>
      <c r="C87" s="515"/>
      <c r="D87" s="515"/>
      <c r="E87" s="515"/>
      <c r="F87" s="515"/>
      <c r="G87" s="515"/>
      <c r="H87" s="515"/>
      <c r="I87" s="515"/>
      <c r="J87" s="515"/>
      <c r="K87" s="515"/>
      <c r="L87" s="515"/>
      <c r="M87" s="515"/>
      <c r="N87" s="515"/>
      <c r="O87" s="515"/>
      <c r="P87" s="515"/>
      <c r="Q87" s="515"/>
      <c r="R87" s="515"/>
      <c r="S87" s="515"/>
      <c r="T87" s="515"/>
      <c r="U87" s="515"/>
      <c r="V87" s="516"/>
      <c r="W87" s="516"/>
      <c r="X87" s="516"/>
      <c r="Y87" s="517"/>
      <c r="Z87" s="517"/>
      <c r="AA87" s="517"/>
      <c r="AB87" s="517"/>
      <c r="AC87" s="517"/>
      <c r="AD87" s="518"/>
      <c r="AF87" s="53"/>
    </row>
    <row r="88" spans="1:32" ht="30.75" customHeight="1" thickBot="1">
      <c r="A88" s="519">
        <v>3</v>
      </c>
      <c r="B88" s="520"/>
      <c r="C88" s="520"/>
      <c r="D88" s="520"/>
      <c r="E88" s="520"/>
      <c r="F88" s="520"/>
      <c r="G88" s="520"/>
      <c r="H88" s="520"/>
      <c r="I88" s="520"/>
      <c r="J88" s="520"/>
      <c r="K88" s="520"/>
      <c r="L88" s="520"/>
      <c r="M88" s="520"/>
      <c r="N88" s="520"/>
      <c r="O88" s="520"/>
      <c r="P88" s="520"/>
      <c r="Q88" s="520"/>
      <c r="R88" s="520"/>
      <c r="S88" s="520"/>
      <c r="T88" s="520"/>
      <c r="U88" s="520"/>
      <c r="V88" s="520"/>
      <c r="W88" s="520"/>
      <c r="X88" s="520"/>
      <c r="Y88" s="521"/>
      <c r="Z88" s="521"/>
      <c r="AA88" s="521"/>
      <c r="AB88" s="521"/>
      <c r="AC88" s="521"/>
      <c r="AD88" s="522"/>
      <c r="AF88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746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342" t="s">
        <v>17</v>
      </c>
      <c r="L5" s="342" t="s">
        <v>18</v>
      </c>
      <c r="M5" s="342" t="s">
        <v>19</v>
      </c>
      <c r="N5" s="34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0.29707411597948619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145</v>
      </c>
      <c r="E7" s="56" t="s">
        <v>638</v>
      </c>
      <c r="F7" s="12" t="s">
        <v>180</v>
      </c>
      <c r="G7" s="36">
        <v>2</v>
      </c>
      <c r="H7" s="38">
        <v>25</v>
      </c>
      <c r="I7" s="7">
        <v>5000</v>
      </c>
      <c r="J7" s="14">
        <v>4370</v>
      </c>
      <c r="K7" s="15">
        <f>L7+7082+4364</f>
        <v>11446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0.29707411597948619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666</v>
      </c>
      <c r="D8" s="55" t="s">
        <v>653</v>
      </c>
      <c r="E8" s="57" t="s">
        <v>669</v>
      </c>
      <c r="F8" s="12">
        <v>7301</v>
      </c>
      <c r="G8" s="36" t="s">
        <v>476</v>
      </c>
      <c r="H8" s="38">
        <v>25</v>
      </c>
      <c r="I8" s="7">
        <v>1000</v>
      </c>
      <c r="J8" s="14">
        <v>1300</v>
      </c>
      <c r="K8" s="15">
        <f>L8+1957+1293</f>
        <v>3250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0.29707411597948619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127</v>
      </c>
      <c r="D9" s="55" t="s">
        <v>747</v>
      </c>
      <c r="E9" s="57" t="s">
        <v>748</v>
      </c>
      <c r="F9" s="12" t="s">
        <v>749</v>
      </c>
      <c r="G9" s="12">
        <v>32</v>
      </c>
      <c r="H9" s="13">
        <v>20</v>
      </c>
      <c r="I9" s="34">
        <v>80000</v>
      </c>
      <c r="J9" s="5">
        <v>188320</v>
      </c>
      <c r="K9" s="15">
        <f>L9</f>
        <v>188320</v>
      </c>
      <c r="L9" s="15">
        <f>3536*32+2349*32</f>
        <v>188320</v>
      </c>
      <c r="M9" s="16">
        <f t="shared" si="0"/>
        <v>188320</v>
      </c>
      <c r="N9" s="16">
        <v>0</v>
      </c>
      <c r="O9" s="62">
        <f t="shared" si="1"/>
        <v>0</v>
      </c>
      <c r="P9" s="42">
        <f t="shared" si="2"/>
        <v>22</v>
      </c>
      <c r="Q9" s="43">
        <f t="shared" si="3"/>
        <v>2</v>
      </c>
      <c r="R9" s="7"/>
      <c r="S9" s="6"/>
      <c r="T9" s="17">
        <v>2</v>
      </c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0.91666666666666663</v>
      </c>
      <c r="AD9" s="10">
        <f t="shared" si="6"/>
        <v>0.91666666666666663</v>
      </c>
      <c r="AE9" s="39">
        <f t="shared" si="7"/>
        <v>0.29707411597948619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127</v>
      </c>
      <c r="D10" s="55" t="s">
        <v>123</v>
      </c>
      <c r="E10" s="57" t="s">
        <v>682</v>
      </c>
      <c r="F10" s="12" t="s">
        <v>661</v>
      </c>
      <c r="G10" s="12">
        <v>1</v>
      </c>
      <c r="H10" s="13">
        <v>25</v>
      </c>
      <c r="I10" s="34">
        <v>13000</v>
      </c>
      <c r="J10" s="14">
        <v>5840</v>
      </c>
      <c r="K10" s="15">
        <f>L10+1747+4573</f>
        <v>12160</v>
      </c>
      <c r="L10" s="15">
        <f>2921+282+2637</f>
        <v>5840</v>
      </c>
      <c r="M10" s="16">
        <f t="shared" si="0"/>
        <v>5840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0.29707411597948619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357</v>
      </c>
      <c r="F11" s="12" t="s">
        <v>358</v>
      </c>
      <c r="G11" s="12">
        <v>1</v>
      </c>
      <c r="H11" s="13">
        <v>25</v>
      </c>
      <c r="I11" s="34">
        <v>25000</v>
      </c>
      <c r="J11" s="14">
        <v>1550</v>
      </c>
      <c r="K11" s="15">
        <f>L11+3973+5965+4763+6085+2069+5247+5012+1549</f>
        <v>34663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0.29707411597948619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723</v>
      </c>
      <c r="E12" s="57" t="s">
        <v>724</v>
      </c>
      <c r="F12" s="12">
        <v>7301</v>
      </c>
      <c r="G12" s="12">
        <v>1</v>
      </c>
      <c r="H12" s="13">
        <v>25</v>
      </c>
      <c r="I12" s="34">
        <v>100</v>
      </c>
      <c r="J12" s="5">
        <v>301</v>
      </c>
      <c r="K12" s="15">
        <f>L12+301</f>
        <v>301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0.29707411597948619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750</v>
      </c>
      <c r="E13" s="57" t="s">
        <v>751</v>
      </c>
      <c r="F13" s="12">
        <v>7301</v>
      </c>
      <c r="G13" s="12">
        <v>2</v>
      </c>
      <c r="H13" s="13">
        <v>25</v>
      </c>
      <c r="I13" s="7">
        <v>1300</v>
      </c>
      <c r="J13" s="14">
        <v>2900</v>
      </c>
      <c r="K13" s="15">
        <f>L13</f>
        <v>2896</v>
      </c>
      <c r="L13" s="15">
        <f>1448*2</f>
        <v>2896</v>
      </c>
      <c r="M13" s="16">
        <f t="shared" si="0"/>
        <v>2896</v>
      </c>
      <c r="N13" s="16">
        <v>0</v>
      </c>
      <c r="O13" s="62">
        <f t="shared" si="1"/>
        <v>0</v>
      </c>
      <c r="P13" s="42">
        <f t="shared" si="2"/>
        <v>6</v>
      </c>
      <c r="Q13" s="43">
        <f t="shared" si="3"/>
        <v>18</v>
      </c>
      <c r="R13" s="7"/>
      <c r="S13" s="6"/>
      <c r="T13" s="17"/>
      <c r="U13" s="17"/>
      <c r="V13" s="18"/>
      <c r="W13" s="19">
        <v>18</v>
      </c>
      <c r="X13" s="17"/>
      <c r="Y13" s="20"/>
      <c r="Z13" s="20"/>
      <c r="AA13" s="21"/>
      <c r="AB13" s="8">
        <f t="shared" si="4"/>
        <v>0.99862068965517237</v>
      </c>
      <c r="AC13" s="9">
        <f t="shared" si="5"/>
        <v>0.25</v>
      </c>
      <c r="AD13" s="10">
        <f t="shared" si="6"/>
        <v>0.24965517241379309</v>
      </c>
      <c r="AE13" s="39">
        <f t="shared" si="7"/>
        <v>0.29707411597948619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560</v>
      </c>
      <c r="F14" s="33" t="s">
        <v>561</v>
      </c>
      <c r="G14" s="36">
        <v>1</v>
      </c>
      <c r="H14" s="38">
        <v>50</v>
      </c>
      <c r="I14" s="7">
        <v>100</v>
      </c>
      <c r="J14" s="5">
        <v>470</v>
      </c>
      <c r="K14" s="15">
        <f>L14+462</f>
        <v>462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0.29707411597948619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154</v>
      </c>
      <c r="D15" s="55" t="s">
        <v>284</v>
      </c>
      <c r="E15" s="57" t="s">
        <v>430</v>
      </c>
      <c r="F15" s="12" t="s">
        <v>424</v>
      </c>
      <c r="G15" s="12">
        <v>1</v>
      </c>
      <c r="H15" s="13">
        <v>25</v>
      </c>
      <c r="I15" s="34">
        <v>200</v>
      </c>
      <c r="J15" s="5">
        <v>300</v>
      </c>
      <c r="K15" s="15">
        <f>L15+2138+3980+300</f>
        <v>6418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/>
      <c r="X15" s="17"/>
      <c r="Y15" s="20"/>
      <c r="Z15" s="20"/>
      <c r="AA15" s="21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0.29707411597948619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122</v>
      </c>
      <c r="D16" s="55" t="s">
        <v>752</v>
      </c>
      <c r="E16" s="57" t="s">
        <v>753</v>
      </c>
      <c r="F16" s="12">
        <v>7301</v>
      </c>
      <c r="G16" s="36">
        <v>1</v>
      </c>
      <c r="H16" s="38">
        <v>25</v>
      </c>
      <c r="I16" s="7">
        <v>1000</v>
      </c>
      <c r="J16" s="14">
        <v>1080</v>
      </c>
      <c r="K16" s="15">
        <f>L16</f>
        <v>1075</v>
      </c>
      <c r="L16" s="15">
        <f>939+136</f>
        <v>1075</v>
      </c>
      <c r="M16" s="16">
        <f t="shared" si="0"/>
        <v>1075</v>
      </c>
      <c r="N16" s="16">
        <v>0</v>
      </c>
      <c r="O16" s="62">
        <f t="shared" si="1"/>
        <v>0</v>
      </c>
      <c r="P16" s="42">
        <f t="shared" si="2"/>
        <v>7</v>
      </c>
      <c r="Q16" s="43">
        <f t="shared" si="3"/>
        <v>17</v>
      </c>
      <c r="R16" s="7"/>
      <c r="S16" s="6"/>
      <c r="T16" s="17"/>
      <c r="U16" s="17"/>
      <c r="V16" s="18"/>
      <c r="W16" s="19">
        <v>17</v>
      </c>
      <c r="X16" s="17"/>
      <c r="Y16" s="20"/>
      <c r="Z16" s="20"/>
      <c r="AA16" s="21"/>
      <c r="AB16" s="8">
        <f t="shared" si="4"/>
        <v>0.99537037037037035</v>
      </c>
      <c r="AC16" s="9">
        <f t="shared" si="5"/>
        <v>0.29166666666666669</v>
      </c>
      <c r="AD16" s="10">
        <f t="shared" si="6"/>
        <v>0.29031635802469136</v>
      </c>
      <c r="AE16" s="39">
        <f t="shared" si="7"/>
        <v>0.29707411597948619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411</v>
      </c>
      <c r="D17" s="55" t="s">
        <v>726</v>
      </c>
      <c r="E17" s="56" t="s">
        <v>727</v>
      </c>
      <c r="F17" s="12">
        <v>8301</v>
      </c>
      <c r="G17" s="12">
        <v>1</v>
      </c>
      <c r="H17" s="13">
        <v>25</v>
      </c>
      <c r="I17" s="34">
        <v>100</v>
      </c>
      <c r="J17" s="5">
        <v>236</v>
      </c>
      <c r="K17" s="15">
        <f>L17+236</f>
        <v>236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0.29707411597948619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127</v>
      </c>
      <c r="D18" s="55" t="s">
        <v>144</v>
      </c>
      <c r="E18" s="57" t="s">
        <v>697</v>
      </c>
      <c r="F18" s="12" t="s">
        <v>696</v>
      </c>
      <c r="G18" s="12">
        <v>1</v>
      </c>
      <c r="H18" s="13">
        <v>25</v>
      </c>
      <c r="I18" s="34">
        <v>16000</v>
      </c>
      <c r="J18" s="5">
        <v>5270</v>
      </c>
      <c r="K18" s="15">
        <f>L18+1918+4697</f>
        <v>11883</v>
      </c>
      <c r="L18" s="15">
        <f>2762+2506</f>
        <v>5268</v>
      </c>
      <c r="M18" s="16">
        <f t="shared" si="0"/>
        <v>5268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0.99962049335863379</v>
      </c>
      <c r="AC18" s="9">
        <f t="shared" si="5"/>
        <v>1</v>
      </c>
      <c r="AD18" s="10">
        <f t="shared" si="6"/>
        <v>0.99962049335863379</v>
      </c>
      <c r="AE18" s="39">
        <f t="shared" si="7"/>
        <v>0.29707411597948619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58</v>
      </c>
      <c r="E19" s="57" t="s">
        <v>301</v>
      </c>
      <c r="F19" s="33" t="s">
        <v>126</v>
      </c>
      <c r="G19" s="36">
        <v>2</v>
      </c>
      <c r="H19" s="38">
        <v>25</v>
      </c>
      <c r="I19" s="34">
        <v>12000</v>
      </c>
      <c r="J19" s="5">
        <v>4350</v>
      </c>
      <c r="K19" s="15">
        <f>L19+8110+4344</f>
        <v>12454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>
        <v>24</v>
      </c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0.29707411597948619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698</v>
      </c>
      <c r="F20" s="12" t="s">
        <v>120</v>
      </c>
      <c r="G20" s="12">
        <v>4</v>
      </c>
      <c r="H20" s="38">
        <v>20</v>
      </c>
      <c r="I20" s="7">
        <v>500000</v>
      </c>
      <c r="J20" s="14">
        <v>54440</v>
      </c>
      <c r="K20" s="15">
        <f>35092+L20+26284+48172</f>
        <v>163980</v>
      </c>
      <c r="L20" s="15">
        <f>7107*4+6501*4</f>
        <v>54432</v>
      </c>
      <c r="M20" s="16">
        <f t="shared" si="0"/>
        <v>54432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0.99985304922850848</v>
      </c>
      <c r="AC20" s="9">
        <f t="shared" si="5"/>
        <v>1</v>
      </c>
      <c r="AD20" s="10">
        <f t="shared" si="6"/>
        <v>0.99985304922850848</v>
      </c>
      <c r="AE20" s="39">
        <f t="shared" si="7"/>
        <v>0.29707411597948619</v>
      </c>
      <c r="AF20" s="94">
        <f t="shared" si="8"/>
        <v>15</v>
      </c>
    </row>
    <row r="21" spans="1:32" ht="31.5" customHeight="1" thickBot="1">
      <c r="A21" s="430" t="s">
        <v>34</v>
      </c>
      <c r="B21" s="431"/>
      <c r="C21" s="431"/>
      <c r="D21" s="431"/>
      <c r="E21" s="431"/>
      <c r="F21" s="431"/>
      <c r="G21" s="431"/>
      <c r="H21" s="432"/>
      <c r="I21" s="25">
        <f t="shared" ref="I21:N21" si="10">SUM(I6:I20)</f>
        <v>658800</v>
      </c>
      <c r="J21" s="22">
        <f t="shared" si="10"/>
        <v>276867</v>
      </c>
      <c r="K21" s="23">
        <f t="shared" si="10"/>
        <v>455678</v>
      </c>
      <c r="L21" s="24">
        <f t="shared" si="10"/>
        <v>257831</v>
      </c>
      <c r="M21" s="23">
        <f t="shared" si="10"/>
        <v>257831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107</v>
      </c>
      <c r="Q21" s="46">
        <f t="shared" si="11"/>
        <v>253</v>
      </c>
      <c r="R21" s="26">
        <f t="shared" si="11"/>
        <v>24</v>
      </c>
      <c r="S21" s="27">
        <f t="shared" si="11"/>
        <v>0</v>
      </c>
      <c r="T21" s="27">
        <f t="shared" si="11"/>
        <v>2</v>
      </c>
      <c r="U21" s="27">
        <f t="shared" si="11"/>
        <v>0</v>
      </c>
      <c r="V21" s="28">
        <f t="shared" si="11"/>
        <v>0</v>
      </c>
      <c r="W21" s="29">
        <f t="shared" si="11"/>
        <v>203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24</v>
      </c>
      <c r="AB21" s="31">
        <f>SUM(AB6:AB20)/15</f>
        <v>0.39956430684084565</v>
      </c>
      <c r="AC21" s="4">
        <f>SUM(AC6:AC20)/15</f>
        <v>0.29722222222222222</v>
      </c>
      <c r="AD21" s="4">
        <f>SUM(AD6:AD20)/15</f>
        <v>0.29707411597948619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33" t="s">
        <v>46</v>
      </c>
      <c r="B48" s="433"/>
      <c r="C48" s="433"/>
      <c r="D48" s="433"/>
      <c r="E48" s="43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4" t="s">
        <v>754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6"/>
      <c r="N49" s="437" t="s">
        <v>764</v>
      </c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9"/>
    </row>
    <row r="50" spans="1:32" ht="27" customHeight="1">
      <c r="A50" s="440" t="s">
        <v>2</v>
      </c>
      <c r="B50" s="441"/>
      <c r="C50" s="341" t="s">
        <v>47</v>
      </c>
      <c r="D50" s="341" t="s">
        <v>48</v>
      </c>
      <c r="E50" s="341" t="s">
        <v>113</v>
      </c>
      <c r="F50" s="441" t="s">
        <v>112</v>
      </c>
      <c r="G50" s="441"/>
      <c r="H50" s="441"/>
      <c r="I50" s="441"/>
      <c r="J50" s="441"/>
      <c r="K50" s="441"/>
      <c r="L50" s="441"/>
      <c r="M50" s="442"/>
      <c r="N50" s="73" t="s">
        <v>117</v>
      </c>
      <c r="O50" s="341" t="s">
        <v>47</v>
      </c>
      <c r="P50" s="443" t="s">
        <v>48</v>
      </c>
      <c r="Q50" s="444"/>
      <c r="R50" s="443" t="s">
        <v>39</v>
      </c>
      <c r="S50" s="445"/>
      <c r="T50" s="445"/>
      <c r="U50" s="444"/>
      <c r="V50" s="443" t="s">
        <v>49</v>
      </c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57" t="s">
        <v>127</v>
      </c>
      <c r="B51" s="458"/>
      <c r="C51" s="340" t="s">
        <v>132</v>
      </c>
      <c r="D51" s="337" t="s">
        <v>755</v>
      </c>
      <c r="E51" s="340" t="s">
        <v>748</v>
      </c>
      <c r="F51" s="459" t="s">
        <v>756</v>
      </c>
      <c r="G51" s="459"/>
      <c r="H51" s="459"/>
      <c r="I51" s="459"/>
      <c r="J51" s="459"/>
      <c r="K51" s="459"/>
      <c r="L51" s="459"/>
      <c r="M51" s="460"/>
      <c r="N51" s="336" t="s">
        <v>248</v>
      </c>
      <c r="O51" s="74" t="s">
        <v>765</v>
      </c>
      <c r="P51" s="461" t="s">
        <v>766</v>
      </c>
      <c r="Q51" s="462"/>
      <c r="R51" s="463" t="s">
        <v>767</v>
      </c>
      <c r="S51" s="463"/>
      <c r="T51" s="463"/>
      <c r="U51" s="463"/>
      <c r="V51" s="459" t="s">
        <v>760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64" t="s">
        <v>122</v>
      </c>
      <c r="B52" s="463"/>
      <c r="C52" s="337" t="s">
        <v>734</v>
      </c>
      <c r="D52" s="337" t="s">
        <v>757</v>
      </c>
      <c r="E52" s="340" t="s">
        <v>751</v>
      </c>
      <c r="F52" s="459" t="s">
        <v>733</v>
      </c>
      <c r="G52" s="459"/>
      <c r="H52" s="459"/>
      <c r="I52" s="459"/>
      <c r="J52" s="459"/>
      <c r="K52" s="459"/>
      <c r="L52" s="459"/>
      <c r="M52" s="460"/>
      <c r="N52" s="336" t="s">
        <v>122</v>
      </c>
      <c r="O52" s="74" t="s">
        <v>134</v>
      </c>
      <c r="P52" s="461" t="s">
        <v>721</v>
      </c>
      <c r="Q52" s="462"/>
      <c r="R52" s="463" t="s">
        <v>742</v>
      </c>
      <c r="S52" s="463"/>
      <c r="T52" s="463"/>
      <c r="U52" s="463"/>
      <c r="V52" s="459" t="s">
        <v>768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57" t="s">
        <v>248</v>
      </c>
      <c r="B53" s="458"/>
      <c r="C53" s="340" t="s">
        <v>134</v>
      </c>
      <c r="D53" s="337" t="s">
        <v>758</v>
      </c>
      <c r="E53" s="340" t="s">
        <v>759</v>
      </c>
      <c r="F53" s="459" t="s">
        <v>761</v>
      </c>
      <c r="G53" s="459"/>
      <c r="H53" s="459"/>
      <c r="I53" s="459"/>
      <c r="J53" s="459"/>
      <c r="K53" s="459"/>
      <c r="L53" s="459"/>
      <c r="M53" s="460"/>
      <c r="N53" s="336" t="s">
        <v>122</v>
      </c>
      <c r="O53" s="74" t="s">
        <v>280</v>
      </c>
      <c r="P53" s="461" t="s">
        <v>721</v>
      </c>
      <c r="Q53" s="462"/>
      <c r="R53" s="463" t="s">
        <v>769</v>
      </c>
      <c r="S53" s="463"/>
      <c r="T53" s="463"/>
      <c r="U53" s="463"/>
      <c r="V53" s="459" t="s">
        <v>243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64" t="s">
        <v>248</v>
      </c>
      <c r="B54" s="463"/>
      <c r="C54" s="337" t="s">
        <v>762</v>
      </c>
      <c r="D54" s="337" t="s">
        <v>763</v>
      </c>
      <c r="E54" s="340" t="s">
        <v>753</v>
      </c>
      <c r="F54" s="459" t="s">
        <v>733</v>
      </c>
      <c r="G54" s="459"/>
      <c r="H54" s="459"/>
      <c r="I54" s="459"/>
      <c r="J54" s="459"/>
      <c r="K54" s="459"/>
      <c r="L54" s="459"/>
      <c r="M54" s="460"/>
      <c r="N54" s="336" t="s">
        <v>770</v>
      </c>
      <c r="O54" s="74" t="s">
        <v>771</v>
      </c>
      <c r="P54" s="461" t="s">
        <v>772</v>
      </c>
      <c r="Q54" s="462"/>
      <c r="R54" s="463" t="s">
        <v>773</v>
      </c>
      <c r="S54" s="463"/>
      <c r="T54" s="463"/>
      <c r="U54" s="463"/>
      <c r="V54" s="459" t="s">
        <v>774</v>
      </c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64"/>
      <c r="B55" s="463"/>
      <c r="C55" s="337"/>
      <c r="D55" s="337"/>
      <c r="E55" s="340"/>
      <c r="F55" s="459"/>
      <c r="G55" s="459"/>
      <c r="H55" s="459"/>
      <c r="I55" s="459"/>
      <c r="J55" s="459"/>
      <c r="K55" s="459"/>
      <c r="L55" s="459"/>
      <c r="M55" s="460"/>
      <c r="N55" s="336"/>
      <c r="O55" s="74"/>
      <c r="P55" s="461"/>
      <c r="Q55" s="462"/>
      <c r="R55" s="463"/>
      <c r="S55" s="463"/>
      <c r="T55" s="463"/>
      <c r="U55" s="463"/>
      <c r="V55" s="459"/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/>
      <c r="B56" s="463"/>
      <c r="C56" s="337"/>
      <c r="D56" s="337"/>
      <c r="E56" s="340"/>
      <c r="F56" s="459"/>
      <c r="G56" s="459"/>
      <c r="H56" s="459"/>
      <c r="I56" s="459"/>
      <c r="J56" s="459"/>
      <c r="K56" s="459"/>
      <c r="L56" s="459"/>
      <c r="M56" s="460"/>
      <c r="N56" s="336"/>
      <c r="O56" s="74"/>
      <c r="P56" s="463"/>
      <c r="Q56" s="463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337"/>
      <c r="D57" s="337"/>
      <c r="E57" s="340"/>
      <c r="F57" s="459"/>
      <c r="G57" s="459"/>
      <c r="H57" s="459"/>
      <c r="I57" s="459"/>
      <c r="J57" s="459"/>
      <c r="K57" s="459"/>
      <c r="L57" s="459"/>
      <c r="M57" s="460"/>
      <c r="N57" s="336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57"/>
      <c r="B58" s="458"/>
      <c r="C58" s="340"/>
      <c r="D58" s="337"/>
      <c r="E58" s="340"/>
      <c r="F58" s="459"/>
      <c r="G58" s="459"/>
      <c r="H58" s="459"/>
      <c r="I58" s="459"/>
      <c r="J58" s="459"/>
      <c r="K58" s="459"/>
      <c r="L58" s="459"/>
      <c r="M58" s="460"/>
      <c r="N58" s="336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337"/>
      <c r="D59" s="337"/>
      <c r="E59" s="337"/>
      <c r="F59" s="459"/>
      <c r="G59" s="459"/>
      <c r="H59" s="459"/>
      <c r="I59" s="459"/>
      <c r="J59" s="459"/>
      <c r="K59" s="459"/>
      <c r="L59" s="459"/>
      <c r="M59" s="460"/>
      <c r="N59" s="336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  <c r="AF59" s="94">
        <f>8*3000</f>
        <v>24000</v>
      </c>
    </row>
    <row r="60" spans="1:32" ht="27" customHeight="1" thickBot="1">
      <c r="A60" s="465"/>
      <c r="B60" s="466"/>
      <c r="C60" s="339"/>
      <c r="D60" s="339"/>
      <c r="E60" s="339"/>
      <c r="F60" s="467"/>
      <c r="G60" s="467"/>
      <c r="H60" s="467"/>
      <c r="I60" s="467"/>
      <c r="J60" s="467"/>
      <c r="K60" s="467"/>
      <c r="L60" s="467"/>
      <c r="M60" s="468"/>
      <c r="N60" s="338"/>
      <c r="O60" s="121"/>
      <c r="P60" s="466"/>
      <c r="Q60" s="466"/>
      <c r="R60" s="466"/>
      <c r="S60" s="466"/>
      <c r="T60" s="466"/>
      <c r="U60" s="466"/>
      <c r="V60" s="467"/>
      <c r="W60" s="467"/>
      <c r="X60" s="467"/>
      <c r="Y60" s="467"/>
      <c r="Z60" s="467"/>
      <c r="AA60" s="467"/>
      <c r="AB60" s="467"/>
      <c r="AC60" s="467"/>
      <c r="AD60" s="468"/>
      <c r="AF60" s="94">
        <f>16*3000</f>
        <v>48000</v>
      </c>
    </row>
    <row r="61" spans="1:32" ht="27.75" thickBot="1">
      <c r="A61" s="469" t="s">
        <v>775</v>
      </c>
      <c r="B61" s="469"/>
      <c r="C61" s="469"/>
      <c r="D61" s="469"/>
      <c r="E61" s="469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70" t="s">
        <v>118</v>
      </c>
      <c r="B62" s="471"/>
      <c r="C62" s="335" t="s">
        <v>2</v>
      </c>
      <c r="D62" s="335" t="s">
        <v>38</v>
      </c>
      <c r="E62" s="335" t="s">
        <v>3</v>
      </c>
      <c r="F62" s="471" t="s">
        <v>115</v>
      </c>
      <c r="G62" s="471"/>
      <c r="H62" s="471"/>
      <c r="I62" s="471"/>
      <c r="J62" s="471"/>
      <c r="K62" s="471" t="s">
        <v>40</v>
      </c>
      <c r="L62" s="471"/>
      <c r="M62" s="335" t="s">
        <v>41</v>
      </c>
      <c r="N62" s="471" t="s">
        <v>42</v>
      </c>
      <c r="O62" s="471"/>
      <c r="P62" s="472" t="s">
        <v>43</v>
      </c>
      <c r="Q62" s="473"/>
      <c r="R62" s="472" t="s">
        <v>44</v>
      </c>
      <c r="S62" s="474"/>
      <c r="T62" s="474"/>
      <c r="U62" s="474"/>
      <c r="V62" s="474"/>
      <c r="W62" s="474"/>
      <c r="X62" s="474"/>
      <c r="Y62" s="474"/>
      <c r="Z62" s="474"/>
      <c r="AA62" s="473"/>
      <c r="AB62" s="471" t="s">
        <v>45</v>
      </c>
      <c r="AC62" s="471"/>
      <c r="AD62" s="475"/>
      <c r="AF62" s="94">
        <f>SUM(AF59:AF61)</f>
        <v>96000</v>
      </c>
    </row>
    <row r="63" spans="1:32" ht="25.5" customHeight="1">
      <c r="A63" s="476">
        <v>1</v>
      </c>
      <c r="B63" s="477"/>
      <c r="C63" s="133"/>
      <c r="D63" s="331"/>
      <c r="E63" s="333"/>
      <c r="F63" s="478"/>
      <c r="G63" s="479"/>
      <c r="H63" s="479"/>
      <c r="I63" s="479"/>
      <c r="J63" s="479"/>
      <c r="K63" s="479"/>
      <c r="L63" s="479"/>
      <c r="M63" s="54"/>
      <c r="N63" s="479"/>
      <c r="O63" s="479"/>
      <c r="P63" s="480"/>
      <c r="Q63" s="480"/>
      <c r="R63" s="459"/>
      <c r="S63" s="459"/>
      <c r="T63" s="459"/>
      <c r="U63" s="459"/>
      <c r="V63" s="459"/>
      <c r="W63" s="459"/>
      <c r="X63" s="459"/>
      <c r="Y63" s="459"/>
      <c r="Z63" s="459"/>
      <c r="AA63" s="459"/>
      <c r="AB63" s="479"/>
      <c r="AC63" s="479"/>
      <c r="AD63" s="481"/>
      <c r="AF63" s="53"/>
    </row>
    <row r="64" spans="1:32" ht="25.5" customHeight="1">
      <c r="A64" s="476">
        <v>2</v>
      </c>
      <c r="B64" s="477"/>
      <c r="C64" s="133"/>
      <c r="D64" s="331"/>
      <c r="E64" s="333"/>
      <c r="F64" s="478"/>
      <c r="G64" s="479"/>
      <c r="H64" s="479"/>
      <c r="I64" s="479"/>
      <c r="J64" s="479"/>
      <c r="K64" s="479"/>
      <c r="L64" s="479"/>
      <c r="M64" s="54"/>
      <c r="N64" s="479"/>
      <c r="O64" s="479"/>
      <c r="P64" s="480"/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</row>
    <row r="65" spans="1:32" ht="25.5" customHeight="1">
      <c r="A65" s="476">
        <v>3</v>
      </c>
      <c r="B65" s="477"/>
      <c r="C65" s="133"/>
      <c r="D65" s="331"/>
      <c r="E65" s="333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4</v>
      </c>
      <c r="B66" s="477"/>
      <c r="C66" s="133"/>
      <c r="D66" s="331"/>
      <c r="E66" s="333"/>
      <c r="F66" s="479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5</v>
      </c>
      <c r="B67" s="477"/>
      <c r="C67" s="133"/>
      <c r="D67" s="331"/>
      <c r="E67" s="333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6</v>
      </c>
      <c r="B68" s="477"/>
      <c r="C68" s="133"/>
      <c r="D68" s="331"/>
      <c r="E68" s="333"/>
      <c r="F68" s="478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7</v>
      </c>
      <c r="B69" s="477"/>
      <c r="C69" s="133"/>
      <c r="D69" s="331"/>
      <c r="E69" s="333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8</v>
      </c>
      <c r="B70" s="477"/>
      <c r="C70" s="133"/>
      <c r="D70" s="331"/>
      <c r="E70" s="333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6.25" customHeight="1" thickBot="1">
      <c r="A71" s="482" t="s">
        <v>776</v>
      </c>
      <c r="B71" s="482"/>
      <c r="C71" s="482"/>
      <c r="D71" s="482"/>
      <c r="E71" s="48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83" t="s">
        <v>118</v>
      </c>
      <c r="B72" s="484"/>
      <c r="C72" s="334" t="s">
        <v>2</v>
      </c>
      <c r="D72" s="334" t="s">
        <v>38</v>
      </c>
      <c r="E72" s="334" t="s">
        <v>3</v>
      </c>
      <c r="F72" s="484" t="s">
        <v>39</v>
      </c>
      <c r="G72" s="484"/>
      <c r="H72" s="484"/>
      <c r="I72" s="484"/>
      <c r="J72" s="484"/>
      <c r="K72" s="485" t="s">
        <v>60</v>
      </c>
      <c r="L72" s="486"/>
      <c r="M72" s="486"/>
      <c r="N72" s="486"/>
      <c r="O72" s="486"/>
      <c r="P72" s="486"/>
      <c r="Q72" s="486"/>
      <c r="R72" s="486"/>
      <c r="S72" s="487"/>
      <c r="T72" s="484" t="s">
        <v>50</v>
      </c>
      <c r="U72" s="484"/>
      <c r="V72" s="485" t="s">
        <v>51</v>
      </c>
      <c r="W72" s="487"/>
      <c r="X72" s="486" t="s">
        <v>52</v>
      </c>
      <c r="Y72" s="486"/>
      <c r="Z72" s="486"/>
      <c r="AA72" s="486"/>
      <c r="AB72" s="486"/>
      <c r="AC72" s="486"/>
      <c r="AD72" s="488"/>
      <c r="AF72" s="53"/>
    </row>
    <row r="73" spans="1:32" ht="33.75" customHeight="1">
      <c r="A73" s="497">
        <v>1</v>
      </c>
      <c r="B73" s="498"/>
      <c r="C73" s="332" t="s">
        <v>122</v>
      </c>
      <c r="D73" s="332"/>
      <c r="E73" s="71" t="s">
        <v>556</v>
      </c>
      <c r="F73" s="499" t="s">
        <v>557</v>
      </c>
      <c r="G73" s="500"/>
      <c r="H73" s="500"/>
      <c r="I73" s="500"/>
      <c r="J73" s="501"/>
      <c r="K73" s="502" t="s">
        <v>141</v>
      </c>
      <c r="L73" s="503"/>
      <c r="M73" s="503"/>
      <c r="N73" s="503"/>
      <c r="O73" s="503"/>
      <c r="P73" s="503"/>
      <c r="Q73" s="503"/>
      <c r="R73" s="503"/>
      <c r="S73" s="504"/>
      <c r="T73" s="505">
        <v>42873</v>
      </c>
      <c r="U73" s="506"/>
      <c r="V73" s="507"/>
      <c r="W73" s="507"/>
      <c r="X73" s="508"/>
      <c r="Y73" s="508"/>
      <c r="Z73" s="508"/>
      <c r="AA73" s="508"/>
      <c r="AB73" s="508"/>
      <c r="AC73" s="508"/>
      <c r="AD73" s="509"/>
      <c r="AF73" s="53"/>
    </row>
    <row r="74" spans="1:32" ht="30" customHeight="1">
      <c r="A74" s="489">
        <f>A73+1</f>
        <v>2</v>
      </c>
      <c r="B74" s="490"/>
      <c r="C74" s="331" t="s">
        <v>122</v>
      </c>
      <c r="D74" s="331"/>
      <c r="E74" s="35" t="s">
        <v>388</v>
      </c>
      <c r="F74" s="490" t="s">
        <v>394</v>
      </c>
      <c r="G74" s="490"/>
      <c r="H74" s="490"/>
      <c r="I74" s="490"/>
      <c r="J74" s="490"/>
      <c r="K74" s="491" t="s">
        <v>522</v>
      </c>
      <c r="L74" s="492"/>
      <c r="M74" s="492"/>
      <c r="N74" s="492"/>
      <c r="O74" s="492"/>
      <c r="P74" s="492"/>
      <c r="Q74" s="492"/>
      <c r="R74" s="492"/>
      <c r="S74" s="493"/>
      <c r="T74" s="494">
        <v>42867</v>
      </c>
      <c r="U74" s="494"/>
      <c r="V74" s="494"/>
      <c r="W74" s="494"/>
      <c r="X74" s="495"/>
      <c r="Y74" s="495"/>
      <c r="Z74" s="495"/>
      <c r="AA74" s="495"/>
      <c r="AB74" s="495"/>
      <c r="AC74" s="495"/>
      <c r="AD74" s="496"/>
      <c r="AF74" s="53"/>
    </row>
    <row r="75" spans="1:32" ht="30" customHeight="1">
      <c r="A75" s="489">
        <f t="shared" ref="A75:A81" si="12">A74+1</f>
        <v>3</v>
      </c>
      <c r="B75" s="490"/>
      <c r="C75" s="331" t="s">
        <v>127</v>
      </c>
      <c r="D75" s="331"/>
      <c r="E75" s="35" t="s">
        <v>121</v>
      </c>
      <c r="F75" s="490" t="s">
        <v>585</v>
      </c>
      <c r="G75" s="490"/>
      <c r="H75" s="490"/>
      <c r="I75" s="490"/>
      <c r="J75" s="490"/>
      <c r="K75" s="491" t="s">
        <v>61</v>
      </c>
      <c r="L75" s="492"/>
      <c r="M75" s="492"/>
      <c r="N75" s="492"/>
      <c r="O75" s="492"/>
      <c r="P75" s="492"/>
      <c r="Q75" s="492"/>
      <c r="R75" s="492"/>
      <c r="S75" s="493"/>
      <c r="T75" s="494">
        <v>42874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si="12"/>
        <v>4</v>
      </c>
      <c r="B76" s="490"/>
      <c r="C76" s="331" t="s">
        <v>122</v>
      </c>
      <c r="D76" s="331"/>
      <c r="E76" s="35" t="s">
        <v>623</v>
      </c>
      <c r="F76" s="490" t="s">
        <v>151</v>
      </c>
      <c r="G76" s="490"/>
      <c r="H76" s="490"/>
      <c r="I76" s="490"/>
      <c r="J76" s="490"/>
      <c r="K76" s="491" t="s">
        <v>689</v>
      </c>
      <c r="L76" s="492"/>
      <c r="M76" s="492"/>
      <c r="N76" s="492"/>
      <c r="O76" s="492"/>
      <c r="P76" s="492"/>
      <c r="Q76" s="492"/>
      <c r="R76" s="492"/>
      <c r="S76" s="493"/>
      <c r="T76" s="494">
        <v>42874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12"/>
        <v>5</v>
      </c>
      <c r="B77" s="490"/>
      <c r="C77" s="331"/>
      <c r="D77" s="331"/>
      <c r="E77" s="35"/>
      <c r="F77" s="490"/>
      <c r="G77" s="490"/>
      <c r="H77" s="490"/>
      <c r="I77" s="490"/>
      <c r="J77" s="490"/>
      <c r="K77" s="491"/>
      <c r="L77" s="492"/>
      <c r="M77" s="492"/>
      <c r="N77" s="492"/>
      <c r="O77" s="492"/>
      <c r="P77" s="492"/>
      <c r="Q77" s="492"/>
      <c r="R77" s="492"/>
      <c r="S77" s="493"/>
      <c r="T77" s="494"/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12"/>
        <v>6</v>
      </c>
      <c r="B78" s="490"/>
      <c r="C78" s="331"/>
      <c r="D78" s="331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12"/>
        <v>7</v>
      </c>
      <c r="B79" s="490"/>
      <c r="C79" s="331"/>
      <c r="D79" s="331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12"/>
        <v>8</v>
      </c>
      <c r="B80" s="490"/>
      <c r="C80" s="331"/>
      <c r="D80" s="331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12"/>
        <v>9</v>
      </c>
      <c r="B81" s="490"/>
      <c r="C81" s="331"/>
      <c r="D81" s="331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6" thickBot="1">
      <c r="A82" s="482" t="s">
        <v>777</v>
      </c>
      <c r="B82" s="482"/>
      <c r="C82" s="482"/>
      <c r="D82" s="482"/>
      <c r="E82" s="48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510" t="s">
        <v>37</v>
      </c>
      <c r="B83" s="511"/>
      <c r="C83" s="511" t="s">
        <v>53</v>
      </c>
      <c r="D83" s="511"/>
      <c r="E83" s="511" t="s">
        <v>54</v>
      </c>
      <c r="F83" s="511"/>
      <c r="G83" s="511"/>
      <c r="H83" s="511"/>
      <c r="I83" s="511"/>
      <c r="J83" s="511"/>
      <c r="K83" s="511" t="s">
        <v>55</v>
      </c>
      <c r="L83" s="511"/>
      <c r="M83" s="511"/>
      <c r="N83" s="511"/>
      <c r="O83" s="511"/>
      <c r="P83" s="511"/>
      <c r="Q83" s="511"/>
      <c r="R83" s="511"/>
      <c r="S83" s="511"/>
      <c r="T83" s="511" t="s">
        <v>56</v>
      </c>
      <c r="U83" s="511"/>
      <c r="V83" s="511" t="s">
        <v>57</v>
      </c>
      <c r="W83" s="511"/>
      <c r="X83" s="511"/>
      <c r="Y83" s="511" t="s">
        <v>52</v>
      </c>
      <c r="Z83" s="511"/>
      <c r="AA83" s="511"/>
      <c r="AB83" s="511"/>
      <c r="AC83" s="511"/>
      <c r="AD83" s="512"/>
      <c r="AF83" s="53"/>
    </row>
    <row r="84" spans="1:32" ht="30.75" customHeight="1">
      <c r="A84" s="513">
        <v>1</v>
      </c>
      <c r="B84" s="514"/>
      <c r="C84" s="515">
        <v>14</v>
      </c>
      <c r="D84" s="515"/>
      <c r="E84" s="515" t="s">
        <v>719</v>
      </c>
      <c r="F84" s="515"/>
      <c r="G84" s="515"/>
      <c r="H84" s="515"/>
      <c r="I84" s="515"/>
      <c r="J84" s="515"/>
      <c r="K84" s="515"/>
      <c r="L84" s="515"/>
      <c r="M84" s="515"/>
      <c r="N84" s="515"/>
      <c r="O84" s="515"/>
      <c r="P84" s="515"/>
      <c r="Q84" s="515"/>
      <c r="R84" s="515"/>
      <c r="S84" s="515"/>
      <c r="T84" s="515" t="s">
        <v>552</v>
      </c>
      <c r="U84" s="515"/>
      <c r="V84" s="516"/>
      <c r="W84" s="516"/>
      <c r="X84" s="516"/>
      <c r="Y84" s="517"/>
      <c r="Z84" s="517"/>
      <c r="AA84" s="517"/>
      <c r="AB84" s="517"/>
      <c r="AC84" s="517"/>
      <c r="AD84" s="518"/>
      <c r="AF84" s="53"/>
    </row>
    <row r="85" spans="1:32" ht="30.75" customHeight="1">
      <c r="A85" s="489">
        <v>2</v>
      </c>
      <c r="B85" s="490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 thickBot="1">
      <c r="A86" s="519">
        <v>3</v>
      </c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1"/>
      <c r="Z86" s="521"/>
      <c r="AA86" s="521"/>
      <c r="AB86" s="521"/>
      <c r="AC86" s="521"/>
      <c r="AD86" s="52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T12" sqref="T1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778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343" t="s">
        <v>17</v>
      </c>
      <c r="L5" s="343" t="s">
        <v>18</v>
      </c>
      <c r="M5" s="343" t="s">
        <v>19</v>
      </c>
      <c r="N5" s="34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0.30248911734753409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145</v>
      </c>
      <c r="E7" s="56" t="s">
        <v>638</v>
      </c>
      <c r="F7" s="12" t="s">
        <v>180</v>
      </c>
      <c r="G7" s="36">
        <v>2</v>
      </c>
      <c r="H7" s="38">
        <v>25</v>
      </c>
      <c r="I7" s="7">
        <v>5000</v>
      </c>
      <c r="J7" s="14">
        <v>4370</v>
      </c>
      <c r="K7" s="15">
        <f>L7+7082+4364</f>
        <v>11446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0.30248911734753409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652</v>
      </c>
      <c r="D8" s="55" t="s">
        <v>653</v>
      </c>
      <c r="E8" s="57" t="s">
        <v>654</v>
      </c>
      <c r="F8" s="12">
        <v>7301</v>
      </c>
      <c r="G8" s="36" t="s">
        <v>476</v>
      </c>
      <c r="H8" s="38">
        <v>25</v>
      </c>
      <c r="I8" s="7">
        <v>1000</v>
      </c>
      <c r="J8" s="14">
        <v>1300</v>
      </c>
      <c r="K8" s="15">
        <f>L8+1957+1293</f>
        <v>3250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0.30248911734753409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127</v>
      </c>
      <c r="D9" s="55" t="s">
        <v>747</v>
      </c>
      <c r="E9" s="57" t="s">
        <v>748</v>
      </c>
      <c r="F9" s="12" t="s">
        <v>749</v>
      </c>
      <c r="G9" s="12">
        <v>32</v>
      </c>
      <c r="H9" s="13">
        <v>20</v>
      </c>
      <c r="I9" s="34">
        <v>80000</v>
      </c>
      <c r="J9" s="5">
        <v>180200</v>
      </c>
      <c r="K9" s="15">
        <f>L9+188320</f>
        <v>368512</v>
      </c>
      <c r="L9" s="15">
        <f>2423*32+3208*32</f>
        <v>180192</v>
      </c>
      <c r="M9" s="16">
        <f t="shared" si="0"/>
        <v>180192</v>
      </c>
      <c r="N9" s="16">
        <v>0</v>
      </c>
      <c r="O9" s="62">
        <f t="shared" si="1"/>
        <v>0</v>
      </c>
      <c r="P9" s="42">
        <f t="shared" si="2"/>
        <v>22</v>
      </c>
      <c r="Q9" s="43">
        <f t="shared" si="3"/>
        <v>2</v>
      </c>
      <c r="R9" s="7"/>
      <c r="S9" s="6"/>
      <c r="T9" s="17"/>
      <c r="U9" s="17"/>
      <c r="V9" s="18"/>
      <c r="W9" s="19">
        <v>2</v>
      </c>
      <c r="X9" s="17"/>
      <c r="Y9" s="20"/>
      <c r="Z9" s="20"/>
      <c r="AA9" s="21"/>
      <c r="AB9" s="8">
        <f t="shared" si="4"/>
        <v>0.9999556048834628</v>
      </c>
      <c r="AC9" s="9">
        <f t="shared" si="5"/>
        <v>0.91666666666666663</v>
      </c>
      <c r="AD9" s="10">
        <f t="shared" si="6"/>
        <v>0.91662597114317423</v>
      </c>
      <c r="AE9" s="39">
        <f t="shared" si="7"/>
        <v>0.30248911734753409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201</v>
      </c>
      <c r="D10" s="55" t="s">
        <v>779</v>
      </c>
      <c r="E10" s="57" t="s">
        <v>780</v>
      </c>
      <c r="F10" s="12" t="s">
        <v>781</v>
      </c>
      <c r="G10" s="12">
        <v>1</v>
      </c>
      <c r="H10" s="13">
        <v>25</v>
      </c>
      <c r="I10" s="34">
        <v>220</v>
      </c>
      <c r="J10" s="14">
        <v>421</v>
      </c>
      <c r="K10" s="15">
        <f>L10</f>
        <v>421</v>
      </c>
      <c r="L10" s="15">
        <v>421</v>
      </c>
      <c r="M10" s="16">
        <f t="shared" si="0"/>
        <v>421</v>
      </c>
      <c r="N10" s="16">
        <v>0</v>
      </c>
      <c r="O10" s="62">
        <f t="shared" si="1"/>
        <v>0</v>
      </c>
      <c r="P10" s="42">
        <f t="shared" si="2"/>
        <v>4</v>
      </c>
      <c r="Q10" s="43">
        <f t="shared" si="3"/>
        <v>20</v>
      </c>
      <c r="R10" s="7"/>
      <c r="S10" s="6">
        <v>20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0.16666666666666666</v>
      </c>
      <c r="AD10" s="10">
        <f t="shared" si="6"/>
        <v>0.16666666666666666</v>
      </c>
      <c r="AE10" s="39">
        <f t="shared" si="7"/>
        <v>0.30248911734753409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782</v>
      </c>
      <c r="F11" s="12" t="s">
        <v>136</v>
      </c>
      <c r="G11" s="12">
        <v>1</v>
      </c>
      <c r="H11" s="13">
        <v>25</v>
      </c>
      <c r="I11" s="34">
        <v>6000</v>
      </c>
      <c r="J11" s="14">
        <v>1630</v>
      </c>
      <c r="K11" s="15">
        <f>L11</f>
        <v>1628</v>
      </c>
      <c r="L11" s="15">
        <v>1628</v>
      </c>
      <c r="M11" s="16">
        <f t="shared" si="0"/>
        <v>1628</v>
      </c>
      <c r="N11" s="16">
        <v>0</v>
      </c>
      <c r="O11" s="62">
        <f t="shared" si="1"/>
        <v>0</v>
      </c>
      <c r="P11" s="42">
        <f t="shared" si="2"/>
        <v>16</v>
      </c>
      <c r="Q11" s="43">
        <f t="shared" si="3"/>
        <v>8</v>
      </c>
      <c r="R11" s="7"/>
      <c r="S11" s="6">
        <v>8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0.99877300613496933</v>
      </c>
      <c r="AC11" s="9">
        <f t="shared" si="5"/>
        <v>0.66666666666666663</v>
      </c>
      <c r="AD11" s="10">
        <f t="shared" si="6"/>
        <v>0.66584867075664622</v>
      </c>
      <c r="AE11" s="39">
        <f t="shared" si="7"/>
        <v>0.30248911734753409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723</v>
      </c>
      <c r="E12" s="57" t="s">
        <v>724</v>
      </c>
      <c r="F12" s="12">
        <v>7301</v>
      </c>
      <c r="G12" s="12">
        <v>1</v>
      </c>
      <c r="H12" s="13">
        <v>25</v>
      </c>
      <c r="I12" s="34">
        <v>100</v>
      </c>
      <c r="J12" s="5">
        <v>301</v>
      </c>
      <c r="K12" s="15">
        <f>L12+301</f>
        <v>301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0.30248911734753409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783</v>
      </c>
      <c r="E13" s="57" t="s">
        <v>784</v>
      </c>
      <c r="F13" s="12" t="s">
        <v>785</v>
      </c>
      <c r="G13" s="12">
        <v>1</v>
      </c>
      <c r="H13" s="13">
        <v>25</v>
      </c>
      <c r="I13" s="7">
        <v>1000</v>
      </c>
      <c r="J13" s="14">
        <v>1110</v>
      </c>
      <c r="K13" s="15">
        <f>L13</f>
        <v>1106</v>
      </c>
      <c r="L13" s="15">
        <v>1106</v>
      </c>
      <c r="M13" s="16">
        <f t="shared" si="0"/>
        <v>1106</v>
      </c>
      <c r="N13" s="16">
        <v>0</v>
      </c>
      <c r="O13" s="62">
        <f t="shared" si="1"/>
        <v>0</v>
      </c>
      <c r="P13" s="42">
        <f t="shared" si="2"/>
        <v>6</v>
      </c>
      <c r="Q13" s="43">
        <f t="shared" si="3"/>
        <v>18</v>
      </c>
      <c r="R13" s="7"/>
      <c r="S13" s="6"/>
      <c r="T13" s="17"/>
      <c r="U13" s="17"/>
      <c r="V13" s="18"/>
      <c r="W13" s="19">
        <v>18</v>
      </c>
      <c r="X13" s="17"/>
      <c r="Y13" s="20"/>
      <c r="Z13" s="20"/>
      <c r="AA13" s="21"/>
      <c r="AB13" s="8">
        <f t="shared" si="4"/>
        <v>0.99639639639639643</v>
      </c>
      <c r="AC13" s="9">
        <f t="shared" si="5"/>
        <v>0.25</v>
      </c>
      <c r="AD13" s="10">
        <f t="shared" si="6"/>
        <v>0.24909909909909911</v>
      </c>
      <c r="AE13" s="39">
        <f t="shared" si="7"/>
        <v>0.30248911734753409</v>
      </c>
      <c r="AF13" s="94">
        <f t="shared" si="8"/>
        <v>8</v>
      </c>
    </row>
    <row r="14" spans="1:32" ht="27" customHeight="1">
      <c r="A14" s="110">
        <v>8</v>
      </c>
      <c r="B14" s="11" t="s">
        <v>59</v>
      </c>
      <c r="C14" s="11" t="s">
        <v>122</v>
      </c>
      <c r="D14" s="55" t="s">
        <v>381</v>
      </c>
      <c r="E14" s="57" t="s">
        <v>786</v>
      </c>
      <c r="F14" s="12" t="s">
        <v>785</v>
      </c>
      <c r="G14" s="12">
        <v>1</v>
      </c>
      <c r="H14" s="13">
        <v>25</v>
      </c>
      <c r="I14" s="7">
        <v>1000</v>
      </c>
      <c r="J14" s="14">
        <v>2000</v>
      </c>
      <c r="K14" s="15">
        <f>L14</f>
        <v>1993</v>
      </c>
      <c r="L14" s="15">
        <v>1993</v>
      </c>
      <c r="M14" s="16">
        <f t="shared" ref="M14" si="10">L14-N14</f>
        <v>1993</v>
      </c>
      <c r="N14" s="16">
        <v>0</v>
      </c>
      <c r="O14" s="62">
        <f t="shared" ref="O14" si="11">IF(L14=0,"0",N14/L14)</f>
        <v>0</v>
      </c>
      <c r="P14" s="42">
        <f t="shared" ref="P14" si="12">IF(L14=0,"0",(24-Q14))</f>
        <v>13</v>
      </c>
      <c r="Q14" s="43">
        <f t="shared" ref="Q14" si="13">SUM(R14:AA14)</f>
        <v>11</v>
      </c>
      <c r="R14" s="7"/>
      <c r="S14" s="6">
        <v>11</v>
      </c>
      <c r="T14" s="17"/>
      <c r="U14" s="17"/>
      <c r="V14" s="18"/>
      <c r="W14" s="19"/>
      <c r="X14" s="17"/>
      <c r="Y14" s="20"/>
      <c r="Z14" s="20"/>
      <c r="AA14" s="21"/>
      <c r="AB14" s="8">
        <f t="shared" ref="AB14" si="14">IF(J14=0,"0",(L14/J14))</f>
        <v>0.99650000000000005</v>
      </c>
      <c r="AC14" s="9">
        <f t="shared" ref="AC14" si="15">IF(P14=0,"0",(P14/24))</f>
        <v>0.54166666666666663</v>
      </c>
      <c r="AD14" s="10">
        <f t="shared" ref="AD14" si="16">AC14*AB14*(1-O14)</f>
        <v>0.53977083333333331</v>
      </c>
      <c r="AE14" s="39">
        <f t="shared" si="7"/>
        <v>0.30248911734753409</v>
      </c>
      <c r="AF14" s="94">
        <f t="shared" ref="AF14" si="17">A14</f>
        <v>8</v>
      </c>
    </row>
    <row r="15" spans="1:32" ht="27" customHeight="1">
      <c r="A15" s="109">
        <v>9</v>
      </c>
      <c r="B15" s="11" t="s">
        <v>59</v>
      </c>
      <c r="C15" s="37" t="s">
        <v>122</v>
      </c>
      <c r="D15" s="55" t="s">
        <v>58</v>
      </c>
      <c r="E15" s="57" t="s">
        <v>560</v>
      </c>
      <c r="F15" s="33" t="s">
        <v>561</v>
      </c>
      <c r="G15" s="36">
        <v>1</v>
      </c>
      <c r="H15" s="38">
        <v>50</v>
      </c>
      <c r="I15" s="7">
        <v>100</v>
      </c>
      <c r="J15" s="5">
        <v>470</v>
      </c>
      <c r="K15" s="15">
        <f>L15+462</f>
        <v>462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0.30248911734753409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37" t="s">
        <v>154</v>
      </c>
      <c r="D16" s="55" t="s">
        <v>284</v>
      </c>
      <c r="E16" s="57" t="s">
        <v>430</v>
      </c>
      <c r="F16" s="12" t="s">
        <v>424</v>
      </c>
      <c r="G16" s="12">
        <v>1</v>
      </c>
      <c r="H16" s="13">
        <v>25</v>
      </c>
      <c r="I16" s="34">
        <v>200</v>
      </c>
      <c r="J16" s="5">
        <v>300</v>
      </c>
      <c r="K16" s="15">
        <f>L16+2138+3980+300</f>
        <v>6418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/>
      <c r="X16" s="17"/>
      <c r="Y16" s="20"/>
      <c r="Z16" s="20"/>
      <c r="AA16" s="21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0.30248911734753409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122</v>
      </c>
      <c r="D17" s="55" t="s">
        <v>752</v>
      </c>
      <c r="E17" s="57" t="s">
        <v>753</v>
      </c>
      <c r="F17" s="12">
        <v>7301</v>
      </c>
      <c r="G17" s="36">
        <v>1</v>
      </c>
      <c r="H17" s="38">
        <v>25</v>
      </c>
      <c r="I17" s="7">
        <v>1000</v>
      </c>
      <c r="J17" s="14">
        <v>1080</v>
      </c>
      <c r="K17" s="15">
        <f>L17+1075</f>
        <v>1075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0.30248911734753409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411</v>
      </c>
      <c r="D18" s="55" t="s">
        <v>726</v>
      </c>
      <c r="E18" s="56" t="s">
        <v>727</v>
      </c>
      <c r="F18" s="12">
        <v>8301</v>
      </c>
      <c r="G18" s="12">
        <v>1</v>
      </c>
      <c r="H18" s="13">
        <v>25</v>
      </c>
      <c r="I18" s="34">
        <v>100</v>
      </c>
      <c r="J18" s="5">
        <v>236</v>
      </c>
      <c r="K18" s="15">
        <f>L18+236</f>
        <v>236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0.30248911734753409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127</v>
      </c>
      <c r="D19" s="55" t="s">
        <v>144</v>
      </c>
      <c r="E19" s="57" t="s">
        <v>686</v>
      </c>
      <c r="F19" s="12" t="s">
        <v>156</v>
      </c>
      <c r="G19" s="12">
        <v>1</v>
      </c>
      <c r="H19" s="13">
        <v>25</v>
      </c>
      <c r="I19" s="34">
        <v>16000</v>
      </c>
      <c r="J19" s="5">
        <v>5310</v>
      </c>
      <c r="K19" s="15">
        <f>L19+1918+4697+5268</f>
        <v>17190</v>
      </c>
      <c r="L19" s="15">
        <f>2774+2533</f>
        <v>5307</v>
      </c>
      <c r="M19" s="16">
        <f t="shared" si="0"/>
        <v>5307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0.99943502824858754</v>
      </c>
      <c r="AC19" s="9">
        <f t="shared" si="5"/>
        <v>1</v>
      </c>
      <c r="AD19" s="10">
        <f t="shared" si="6"/>
        <v>0.99943502824858754</v>
      </c>
      <c r="AE19" s="39">
        <f t="shared" si="7"/>
        <v>0.30248911734753409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62</v>
      </c>
      <c r="D20" s="55" t="s">
        <v>58</v>
      </c>
      <c r="E20" s="57" t="s">
        <v>301</v>
      </c>
      <c r="F20" s="33" t="s">
        <v>126</v>
      </c>
      <c r="G20" s="36">
        <v>2</v>
      </c>
      <c r="H20" s="38">
        <v>25</v>
      </c>
      <c r="I20" s="34">
        <v>12000</v>
      </c>
      <c r="J20" s="5">
        <v>4350</v>
      </c>
      <c r="K20" s="15">
        <f>L20+8110+4344</f>
        <v>12454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>
        <v>24</v>
      </c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0.30248911734753409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/>
      <c r="E21" s="56" t="s">
        <v>698</v>
      </c>
      <c r="F21" s="12" t="s">
        <v>120</v>
      </c>
      <c r="G21" s="12">
        <v>4</v>
      </c>
      <c r="H21" s="38">
        <v>20</v>
      </c>
      <c r="I21" s="7">
        <v>500000</v>
      </c>
      <c r="J21" s="14">
        <v>54790</v>
      </c>
      <c r="K21" s="15">
        <f>35092+L21+26284+48172+54432</f>
        <v>218764</v>
      </c>
      <c r="L21" s="15">
        <f>7118*4+6578*4</f>
        <v>54784</v>
      </c>
      <c r="M21" s="16">
        <f t="shared" si="0"/>
        <v>54784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0.99989049096550464</v>
      </c>
      <c r="AC21" s="9">
        <f t="shared" si="5"/>
        <v>1</v>
      </c>
      <c r="AD21" s="10">
        <f t="shared" si="6"/>
        <v>0.99989049096550464</v>
      </c>
      <c r="AE21" s="39">
        <f t="shared" si="7"/>
        <v>0.30248911734753409</v>
      </c>
      <c r="AF21" s="94">
        <f t="shared" si="8"/>
        <v>15</v>
      </c>
    </row>
    <row r="22" spans="1:32" ht="31.5" customHeight="1" thickBot="1">
      <c r="A22" s="430" t="s">
        <v>34</v>
      </c>
      <c r="B22" s="431"/>
      <c r="C22" s="431"/>
      <c r="D22" s="431"/>
      <c r="E22" s="431"/>
      <c r="F22" s="431"/>
      <c r="G22" s="431"/>
      <c r="H22" s="432"/>
      <c r="I22" s="25">
        <f t="shared" ref="I22:N22" si="18">SUM(I6:I21)</f>
        <v>627720</v>
      </c>
      <c r="J22" s="22">
        <f t="shared" si="18"/>
        <v>264008</v>
      </c>
      <c r="K22" s="23">
        <f t="shared" si="18"/>
        <v>651390</v>
      </c>
      <c r="L22" s="24">
        <f t="shared" si="18"/>
        <v>245431</v>
      </c>
      <c r="M22" s="23">
        <f t="shared" si="18"/>
        <v>245431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109</v>
      </c>
      <c r="Q22" s="46">
        <f t="shared" si="19"/>
        <v>275</v>
      </c>
      <c r="R22" s="26">
        <f t="shared" si="19"/>
        <v>24</v>
      </c>
      <c r="S22" s="27">
        <f t="shared" si="19"/>
        <v>39</v>
      </c>
      <c r="T22" s="27">
        <f t="shared" si="19"/>
        <v>0</v>
      </c>
      <c r="U22" s="27">
        <f t="shared" si="19"/>
        <v>0</v>
      </c>
      <c r="V22" s="28">
        <f t="shared" si="19"/>
        <v>0</v>
      </c>
      <c r="W22" s="29">
        <f t="shared" si="19"/>
        <v>188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24</v>
      </c>
      <c r="AB22" s="31">
        <f>SUM(AB6:AB21)/15</f>
        <v>0.46606336844192803</v>
      </c>
      <c r="AC22" s="4">
        <f>SUM(AC6:AC21)/15</f>
        <v>0.30277777777777776</v>
      </c>
      <c r="AD22" s="4">
        <f>SUM(AD6:AD21)/15</f>
        <v>0.30248911734753409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33" t="s">
        <v>46</v>
      </c>
      <c r="B49" s="433"/>
      <c r="C49" s="433"/>
      <c r="D49" s="433"/>
      <c r="E49" s="433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34" t="s">
        <v>787</v>
      </c>
      <c r="B50" s="435"/>
      <c r="C50" s="435"/>
      <c r="D50" s="435"/>
      <c r="E50" s="435"/>
      <c r="F50" s="435"/>
      <c r="G50" s="435"/>
      <c r="H50" s="435"/>
      <c r="I50" s="435"/>
      <c r="J50" s="435"/>
      <c r="K50" s="435"/>
      <c r="L50" s="435"/>
      <c r="M50" s="436"/>
      <c r="N50" s="437" t="s">
        <v>799</v>
      </c>
      <c r="O50" s="438"/>
      <c r="P50" s="438"/>
      <c r="Q50" s="438"/>
      <c r="R50" s="438"/>
      <c r="S50" s="438"/>
      <c r="T50" s="438"/>
      <c r="U50" s="438"/>
      <c r="V50" s="438"/>
      <c r="W50" s="438"/>
      <c r="X50" s="438"/>
      <c r="Y50" s="438"/>
      <c r="Z50" s="438"/>
      <c r="AA50" s="438"/>
      <c r="AB50" s="438"/>
      <c r="AC50" s="438"/>
      <c r="AD50" s="439"/>
    </row>
    <row r="51" spans="1:32" ht="27" customHeight="1">
      <c r="A51" s="440" t="s">
        <v>2</v>
      </c>
      <c r="B51" s="441"/>
      <c r="C51" s="344" t="s">
        <v>47</v>
      </c>
      <c r="D51" s="344" t="s">
        <v>48</v>
      </c>
      <c r="E51" s="344" t="s">
        <v>113</v>
      </c>
      <c r="F51" s="441" t="s">
        <v>112</v>
      </c>
      <c r="G51" s="441"/>
      <c r="H51" s="441"/>
      <c r="I51" s="441"/>
      <c r="J51" s="441"/>
      <c r="K51" s="441"/>
      <c r="L51" s="441"/>
      <c r="M51" s="442"/>
      <c r="N51" s="73" t="s">
        <v>117</v>
      </c>
      <c r="O51" s="344" t="s">
        <v>47</v>
      </c>
      <c r="P51" s="443" t="s">
        <v>48</v>
      </c>
      <c r="Q51" s="444"/>
      <c r="R51" s="443" t="s">
        <v>39</v>
      </c>
      <c r="S51" s="445"/>
      <c r="T51" s="445"/>
      <c r="U51" s="444"/>
      <c r="V51" s="443" t="s">
        <v>49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57" t="s">
        <v>788</v>
      </c>
      <c r="B52" s="458"/>
      <c r="C52" s="345" t="s">
        <v>242</v>
      </c>
      <c r="D52" s="346" t="s">
        <v>58</v>
      </c>
      <c r="E52" s="345" t="s">
        <v>784</v>
      </c>
      <c r="F52" s="459" t="s">
        <v>243</v>
      </c>
      <c r="G52" s="459"/>
      <c r="H52" s="459"/>
      <c r="I52" s="459"/>
      <c r="J52" s="459"/>
      <c r="K52" s="459"/>
      <c r="L52" s="459"/>
      <c r="M52" s="460"/>
      <c r="N52" s="347" t="s">
        <v>201</v>
      </c>
      <c r="O52" s="74" t="s">
        <v>134</v>
      </c>
      <c r="P52" s="461" t="s">
        <v>800</v>
      </c>
      <c r="Q52" s="462"/>
      <c r="R52" s="463" t="s">
        <v>801</v>
      </c>
      <c r="S52" s="463"/>
      <c r="T52" s="463"/>
      <c r="U52" s="463"/>
      <c r="V52" s="459" t="s">
        <v>802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64" t="s">
        <v>122</v>
      </c>
      <c r="B53" s="463"/>
      <c r="C53" s="346" t="s">
        <v>734</v>
      </c>
      <c r="D53" s="346" t="s">
        <v>480</v>
      </c>
      <c r="E53" s="345" t="s">
        <v>759</v>
      </c>
      <c r="F53" s="459" t="s">
        <v>789</v>
      </c>
      <c r="G53" s="459"/>
      <c r="H53" s="459"/>
      <c r="I53" s="459"/>
      <c r="J53" s="459"/>
      <c r="K53" s="459"/>
      <c r="L53" s="459"/>
      <c r="M53" s="460"/>
      <c r="N53" s="347" t="s">
        <v>770</v>
      </c>
      <c r="O53" s="74" t="s">
        <v>207</v>
      </c>
      <c r="P53" s="461" t="s">
        <v>121</v>
      </c>
      <c r="Q53" s="462"/>
      <c r="R53" s="463" t="s">
        <v>773</v>
      </c>
      <c r="S53" s="463"/>
      <c r="T53" s="463"/>
      <c r="U53" s="463"/>
      <c r="V53" s="459" t="s">
        <v>802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 t="s">
        <v>201</v>
      </c>
      <c r="B54" s="458"/>
      <c r="C54" s="345" t="s">
        <v>134</v>
      </c>
      <c r="D54" s="346" t="s">
        <v>790</v>
      </c>
      <c r="E54" s="345" t="s">
        <v>791</v>
      </c>
      <c r="F54" s="459" t="s">
        <v>792</v>
      </c>
      <c r="G54" s="459"/>
      <c r="H54" s="459"/>
      <c r="I54" s="459"/>
      <c r="J54" s="459"/>
      <c r="K54" s="459"/>
      <c r="L54" s="459"/>
      <c r="M54" s="460"/>
      <c r="N54" s="347"/>
      <c r="O54" s="74"/>
      <c r="P54" s="461"/>
      <c r="Q54" s="462"/>
      <c r="R54" s="463"/>
      <c r="S54" s="463"/>
      <c r="T54" s="463"/>
      <c r="U54" s="463"/>
      <c r="V54" s="459"/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64" t="s">
        <v>793</v>
      </c>
      <c r="B55" s="463"/>
      <c r="C55" s="346" t="s">
        <v>207</v>
      </c>
      <c r="D55" s="346" t="s">
        <v>794</v>
      </c>
      <c r="E55" s="345" t="s">
        <v>782</v>
      </c>
      <c r="F55" s="459" t="s">
        <v>795</v>
      </c>
      <c r="G55" s="459"/>
      <c r="H55" s="459"/>
      <c r="I55" s="459"/>
      <c r="J55" s="459"/>
      <c r="K55" s="459"/>
      <c r="L55" s="459"/>
      <c r="M55" s="460"/>
      <c r="N55" s="347"/>
      <c r="O55" s="74"/>
      <c r="P55" s="461"/>
      <c r="Q55" s="462"/>
      <c r="R55" s="463"/>
      <c r="S55" s="463"/>
      <c r="T55" s="463"/>
      <c r="U55" s="463"/>
      <c r="V55" s="459"/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 t="s">
        <v>201</v>
      </c>
      <c r="B56" s="463"/>
      <c r="C56" s="346" t="s">
        <v>796</v>
      </c>
      <c r="D56" s="346" t="s">
        <v>797</v>
      </c>
      <c r="E56" s="345" t="s">
        <v>780</v>
      </c>
      <c r="F56" s="459" t="s">
        <v>798</v>
      </c>
      <c r="G56" s="459"/>
      <c r="H56" s="459"/>
      <c r="I56" s="459"/>
      <c r="J56" s="459"/>
      <c r="K56" s="459"/>
      <c r="L56" s="459"/>
      <c r="M56" s="460"/>
      <c r="N56" s="347"/>
      <c r="O56" s="74"/>
      <c r="P56" s="461"/>
      <c r="Q56" s="462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346"/>
      <c r="D57" s="346"/>
      <c r="E57" s="345"/>
      <c r="F57" s="459"/>
      <c r="G57" s="459"/>
      <c r="H57" s="459"/>
      <c r="I57" s="459"/>
      <c r="J57" s="459"/>
      <c r="K57" s="459"/>
      <c r="L57" s="459"/>
      <c r="M57" s="460"/>
      <c r="N57" s="347"/>
      <c r="O57" s="74"/>
      <c r="P57" s="463"/>
      <c r="Q57" s="463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64"/>
      <c r="B58" s="463"/>
      <c r="C58" s="346"/>
      <c r="D58" s="346"/>
      <c r="E58" s="345"/>
      <c r="F58" s="459"/>
      <c r="G58" s="459"/>
      <c r="H58" s="459"/>
      <c r="I58" s="459"/>
      <c r="J58" s="459"/>
      <c r="K58" s="459"/>
      <c r="L58" s="459"/>
      <c r="M58" s="460"/>
      <c r="N58" s="347"/>
      <c r="O58" s="74"/>
      <c r="P58" s="461"/>
      <c r="Q58" s="462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57"/>
      <c r="B59" s="458"/>
      <c r="C59" s="345"/>
      <c r="D59" s="346"/>
      <c r="E59" s="345"/>
      <c r="F59" s="459"/>
      <c r="G59" s="459"/>
      <c r="H59" s="459"/>
      <c r="I59" s="459"/>
      <c r="J59" s="459"/>
      <c r="K59" s="459"/>
      <c r="L59" s="459"/>
      <c r="M59" s="460"/>
      <c r="N59" s="347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</row>
    <row r="60" spans="1:32" ht="27" customHeight="1">
      <c r="A60" s="464"/>
      <c r="B60" s="463"/>
      <c r="C60" s="346"/>
      <c r="D60" s="346"/>
      <c r="E60" s="346"/>
      <c r="F60" s="459"/>
      <c r="G60" s="459"/>
      <c r="H60" s="459"/>
      <c r="I60" s="459"/>
      <c r="J60" s="459"/>
      <c r="K60" s="459"/>
      <c r="L60" s="459"/>
      <c r="M60" s="460"/>
      <c r="N60" s="347"/>
      <c r="O60" s="74"/>
      <c r="P60" s="463"/>
      <c r="Q60" s="463"/>
      <c r="R60" s="463"/>
      <c r="S60" s="463"/>
      <c r="T60" s="463"/>
      <c r="U60" s="463"/>
      <c r="V60" s="459"/>
      <c r="W60" s="459"/>
      <c r="X60" s="459"/>
      <c r="Y60" s="459"/>
      <c r="Z60" s="459"/>
      <c r="AA60" s="459"/>
      <c r="AB60" s="459"/>
      <c r="AC60" s="459"/>
      <c r="AD60" s="460"/>
      <c r="AF60" s="94">
        <f>8*3000</f>
        <v>24000</v>
      </c>
    </row>
    <row r="61" spans="1:32" ht="27" customHeight="1" thickBot="1">
      <c r="A61" s="465"/>
      <c r="B61" s="466"/>
      <c r="C61" s="349"/>
      <c r="D61" s="349"/>
      <c r="E61" s="349"/>
      <c r="F61" s="467"/>
      <c r="G61" s="467"/>
      <c r="H61" s="467"/>
      <c r="I61" s="467"/>
      <c r="J61" s="467"/>
      <c r="K61" s="467"/>
      <c r="L61" s="467"/>
      <c r="M61" s="468"/>
      <c r="N61" s="348"/>
      <c r="O61" s="121"/>
      <c r="P61" s="466"/>
      <c r="Q61" s="466"/>
      <c r="R61" s="466"/>
      <c r="S61" s="466"/>
      <c r="T61" s="466"/>
      <c r="U61" s="466"/>
      <c r="V61" s="467"/>
      <c r="W61" s="467"/>
      <c r="X61" s="467"/>
      <c r="Y61" s="467"/>
      <c r="Z61" s="467"/>
      <c r="AA61" s="467"/>
      <c r="AB61" s="467"/>
      <c r="AC61" s="467"/>
      <c r="AD61" s="468"/>
      <c r="AF61" s="94">
        <f>16*3000</f>
        <v>48000</v>
      </c>
    </row>
    <row r="62" spans="1:32" ht="27.75" thickBot="1">
      <c r="A62" s="469" t="s">
        <v>803</v>
      </c>
      <c r="B62" s="469"/>
      <c r="C62" s="469"/>
      <c r="D62" s="469"/>
      <c r="E62" s="469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70" t="s">
        <v>118</v>
      </c>
      <c r="B63" s="471"/>
      <c r="C63" s="350" t="s">
        <v>2</v>
      </c>
      <c r="D63" s="350" t="s">
        <v>38</v>
      </c>
      <c r="E63" s="350" t="s">
        <v>3</v>
      </c>
      <c r="F63" s="471" t="s">
        <v>115</v>
      </c>
      <c r="G63" s="471"/>
      <c r="H63" s="471"/>
      <c r="I63" s="471"/>
      <c r="J63" s="471"/>
      <c r="K63" s="471" t="s">
        <v>40</v>
      </c>
      <c r="L63" s="471"/>
      <c r="M63" s="350" t="s">
        <v>41</v>
      </c>
      <c r="N63" s="471" t="s">
        <v>42</v>
      </c>
      <c r="O63" s="471"/>
      <c r="P63" s="472" t="s">
        <v>43</v>
      </c>
      <c r="Q63" s="473"/>
      <c r="R63" s="472" t="s">
        <v>44</v>
      </c>
      <c r="S63" s="474"/>
      <c r="T63" s="474"/>
      <c r="U63" s="474"/>
      <c r="V63" s="474"/>
      <c r="W63" s="474"/>
      <c r="X63" s="474"/>
      <c r="Y63" s="474"/>
      <c r="Z63" s="474"/>
      <c r="AA63" s="473"/>
      <c r="AB63" s="471" t="s">
        <v>45</v>
      </c>
      <c r="AC63" s="471"/>
      <c r="AD63" s="475"/>
      <c r="AF63" s="94">
        <f>SUM(AF60:AF62)</f>
        <v>96000</v>
      </c>
    </row>
    <row r="64" spans="1:32" ht="25.5" customHeight="1">
      <c r="A64" s="476">
        <v>1</v>
      </c>
      <c r="B64" s="477"/>
      <c r="C64" s="133"/>
      <c r="D64" s="353"/>
      <c r="E64" s="351"/>
      <c r="F64" s="478"/>
      <c r="G64" s="479"/>
      <c r="H64" s="479"/>
      <c r="I64" s="479"/>
      <c r="J64" s="479"/>
      <c r="K64" s="479"/>
      <c r="L64" s="479"/>
      <c r="M64" s="54"/>
      <c r="N64" s="479"/>
      <c r="O64" s="479"/>
      <c r="P64" s="480"/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  <c r="AF64" s="53"/>
    </row>
    <row r="65" spans="1:32" ht="25.5" customHeight="1">
      <c r="A65" s="476">
        <v>2</v>
      </c>
      <c r="B65" s="477"/>
      <c r="C65" s="133"/>
      <c r="D65" s="353"/>
      <c r="E65" s="351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</row>
    <row r="66" spans="1:32" ht="25.5" customHeight="1">
      <c r="A66" s="476">
        <v>3</v>
      </c>
      <c r="B66" s="477"/>
      <c r="C66" s="133"/>
      <c r="D66" s="353"/>
      <c r="E66" s="351"/>
      <c r="F66" s="478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4</v>
      </c>
      <c r="B67" s="477"/>
      <c r="C67" s="133"/>
      <c r="D67" s="353"/>
      <c r="E67" s="351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5</v>
      </c>
      <c r="B68" s="477"/>
      <c r="C68" s="133"/>
      <c r="D68" s="353"/>
      <c r="E68" s="351"/>
      <c r="F68" s="479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6</v>
      </c>
      <c r="B69" s="477"/>
      <c r="C69" s="133"/>
      <c r="D69" s="353"/>
      <c r="E69" s="351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7</v>
      </c>
      <c r="B70" s="477"/>
      <c r="C70" s="133"/>
      <c r="D70" s="353"/>
      <c r="E70" s="351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5.5" customHeight="1">
      <c r="A71" s="476">
        <v>8</v>
      </c>
      <c r="B71" s="477"/>
      <c r="C71" s="133"/>
      <c r="D71" s="353"/>
      <c r="E71" s="351"/>
      <c r="F71" s="478"/>
      <c r="G71" s="479"/>
      <c r="H71" s="479"/>
      <c r="I71" s="479"/>
      <c r="J71" s="479"/>
      <c r="K71" s="479"/>
      <c r="L71" s="479"/>
      <c r="M71" s="54"/>
      <c r="N71" s="479"/>
      <c r="O71" s="479"/>
      <c r="P71" s="480"/>
      <c r="Q71" s="480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79"/>
      <c r="AC71" s="479"/>
      <c r="AD71" s="481"/>
      <c r="AF71" s="53"/>
    </row>
    <row r="72" spans="1:32" ht="26.25" customHeight="1" thickBot="1">
      <c r="A72" s="482" t="s">
        <v>804</v>
      </c>
      <c r="B72" s="482"/>
      <c r="C72" s="482"/>
      <c r="D72" s="482"/>
      <c r="E72" s="482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83" t="s">
        <v>118</v>
      </c>
      <c r="B73" s="484"/>
      <c r="C73" s="352" t="s">
        <v>2</v>
      </c>
      <c r="D73" s="352" t="s">
        <v>38</v>
      </c>
      <c r="E73" s="352" t="s">
        <v>3</v>
      </c>
      <c r="F73" s="484" t="s">
        <v>39</v>
      </c>
      <c r="G73" s="484"/>
      <c r="H73" s="484"/>
      <c r="I73" s="484"/>
      <c r="J73" s="484"/>
      <c r="K73" s="485" t="s">
        <v>60</v>
      </c>
      <c r="L73" s="486"/>
      <c r="M73" s="486"/>
      <c r="N73" s="486"/>
      <c r="O73" s="486"/>
      <c r="P73" s="486"/>
      <c r="Q73" s="486"/>
      <c r="R73" s="486"/>
      <c r="S73" s="487"/>
      <c r="T73" s="484" t="s">
        <v>50</v>
      </c>
      <c r="U73" s="484"/>
      <c r="V73" s="485" t="s">
        <v>51</v>
      </c>
      <c r="W73" s="487"/>
      <c r="X73" s="486" t="s">
        <v>52</v>
      </c>
      <c r="Y73" s="486"/>
      <c r="Z73" s="486"/>
      <c r="AA73" s="486"/>
      <c r="AB73" s="486"/>
      <c r="AC73" s="486"/>
      <c r="AD73" s="488"/>
      <c r="AF73" s="53"/>
    </row>
    <row r="74" spans="1:32" ht="33.75" customHeight="1">
      <c r="A74" s="497">
        <v>1</v>
      </c>
      <c r="B74" s="498"/>
      <c r="C74" s="354" t="s">
        <v>122</v>
      </c>
      <c r="D74" s="354"/>
      <c r="E74" s="71" t="s">
        <v>556</v>
      </c>
      <c r="F74" s="499" t="s">
        <v>557</v>
      </c>
      <c r="G74" s="500"/>
      <c r="H74" s="500"/>
      <c r="I74" s="500"/>
      <c r="J74" s="501"/>
      <c r="K74" s="502" t="s">
        <v>141</v>
      </c>
      <c r="L74" s="503"/>
      <c r="M74" s="503"/>
      <c r="N74" s="503"/>
      <c r="O74" s="503"/>
      <c r="P74" s="503"/>
      <c r="Q74" s="503"/>
      <c r="R74" s="503"/>
      <c r="S74" s="504"/>
      <c r="T74" s="505">
        <v>42873</v>
      </c>
      <c r="U74" s="506"/>
      <c r="V74" s="507"/>
      <c r="W74" s="507"/>
      <c r="X74" s="508"/>
      <c r="Y74" s="508"/>
      <c r="Z74" s="508"/>
      <c r="AA74" s="508"/>
      <c r="AB74" s="508"/>
      <c r="AC74" s="508"/>
      <c r="AD74" s="509"/>
      <c r="AF74" s="53"/>
    </row>
    <row r="75" spans="1:32" ht="30" customHeight="1">
      <c r="A75" s="489">
        <f>A74+1</f>
        <v>2</v>
      </c>
      <c r="B75" s="490"/>
      <c r="C75" s="353" t="s">
        <v>122</v>
      </c>
      <c r="D75" s="353"/>
      <c r="E75" s="35" t="s">
        <v>388</v>
      </c>
      <c r="F75" s="490" t="s">
        <v>394</v>
      </c>
      <c r="G75" s="490"/>
      <c r="H75" s="490"/>
      <c r="I75" s="490"/>
      <c r="J75" s="490"/>
      <c r="K75" s="491" t="s">
        <v>522</v>
      </c>
      <c r="L75" s="492"/>
      <c r="M75" s="492"/>
      <c r="N75" s="492"/>
      <c r="O75" s="492"/>
      <c r="P75" s="492"/>
      <c r="Q75" s="492"/>
      <c r="R75" s="492"/>
      <c r="S75" s="493"/>
      <c r="T75" s="494">
        <v>42867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ref="A76:A82" si="20">A75+1</f>
        <v>3</v>
      </c>
      <c r="B76" s="490"/>
      <c r="C76" s="353" t="s">
        <v>127</v>
      </c>
      <c r="D76" s="353"/>
      <c r="E76" s="35" t="s">
        <v>121</v>
      </c>
      <c r="F76" s="490" t="s">
        <v>585</v>
      </c>
      <c r="G76" s="490"/>
      <c r="H76" s="490"/>
      <c r="I76" s="490"/>
      <c r="J76" s="490"/>
      <c r="K76" s="491" t="s">
        <v>61</v>
      </c>
      <c r="L76" s="492"/>
      <c r="M76" s="492"/>
      <c r="N76" s="492"/>
      <c r="O76" s="492"/>
      <c r="P76" s="492"/>
      <c r="Q76" s="492"/>
      <c r="R76" s="492"/>
      <c r="S76" s="493"/>
      <c r="T76" s="494">
        <v>42874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20"/>
        <v>4</v>
      </c>
      <c r="B77" s="490"/>
      <c r="C77" s="353" t="s">
        <v>122</v>
      </c>
      <c r="D77" s="353"/>
      <c r="E77" s="35" t="s">
        <v>623</v>
      </c>
      <c r="F77" s="490" t="s">
        <v>151</v>
      </c>
      <c r="G77" s="490"/>
      <c r="H77" s="490"/>
      <c r="I77" s="490"/>
      <c r="J77" s="490"/>
      <c r="K77" s="491" t="s">
        <v>689</v>
      </c>
      <c r="L77" s="492"/>
      <c r="M77" s="492"/>
      <c r="N77" s="492"/>
      <c r="O77" s="492"/>
      <c r="P77" s="492"/>
      <c r="Q77" s="492"/>
      <c r="R77" s="492"/>
      <c r="S77" s="493"/>
      <c r="T77" s="494">
        <v>42874</v>
      </c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20"/>
        <v>5</v>
      </c>
      <c r="B78" s="490"/>
      <c r="C78" s="353"/>
      <c r="D78" s="353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20"/>
        <v>6</v>
      </c>
      <c r="B79" s="490"/>
      <c r="C79" s="353"/>
      <c r="D79" s="353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20"/>
        <v>7</v>
      </c>
      <c r="B80" s="490"/>
      <c r="C80" s="353"/>
      <c r="D80" s="353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20"/>
        <v>8</v>
      </c>
      <c r="B81" s="490"/>
      <c r="C81" s="353"/>
      <c r="D81" s="353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0" customHeight="1">
      <c r="A82" s="489">
        <f t="shared" si="20"/>
        <v>9</v>
      </c>
      <c r="B82" s="490"/>
      <c r="C82" s="353"/>
      <c r="D82" s="353"/>
      <c r="E82" s="35"/>
      <c r="F82" s="490"/>
      <c r="G82" s="490"/>
      <c r="H82" s="490"/>
      <c r="I82" s="490"/>
      <c r="J82" s="490"/>
      <c r="K82" s="491"/>
      <c r="L82" s="492"/>
      <c r="M82" s="492"/>
      <c r="N82" s="492"/>
      <c r="O82" s="492"/>
      <c r="P82" s="492"/>
      <c r="Q82" s="492"/>
      <c r="R82" s="492"/>
      <c r="S82" s="493"/>
      <c r="T82" s="494"/>
      <c r="U82" s="494"/>
      <c r="V82" s="494"/>
      <c r="W82" s="494"/>
      <c r="X82" s="495"/>
      <c r="Y82" s="495"/>
      <c r="Z82" s="495"/>
      <c r="AA82" s="495"/>
      <c r="AB82" s="495"/>
      <c r="AC82" s="495"/>
      <c r="AD82" s="496"/>
      <c r="AF82" s="53"/>
    </row>
    <row r="83" spans="1:32" ht="36" thickBot="1">
      <c r="A83" s="482" t="s">
        <v>805</v>
      </c>
      <c r="B83" s="482"/>
      <c r="C83" s="482"/>
      <c r="D83" s="482"/>
      <c r="E83" s="482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510" t="s">
        <v>37</v>
      </c>
      <c r="B84" s="511"/>
      <c r="C84" s="511" t="s">
        <v>53</v>
      </c>
      <c r="D84" s="511"/>
      <c r="E84" s="511" t="s">
        <v>54</v>
      </c>
      <c r="F84" s="511"/>
      <c r="G84" s="511"/>
      <c r="H84" s="511"/>
      <c r="I84" s="511"/>
      <c r="J84" s="511"/>
      <c r="K84" s="511" t="s">
        <v>55</v>
      </c>
      <c r="L84" s="511"/>
      <c r="M84" s="511"/>
      <c r="N84" s="511"/>
      <c r="O84" s="511"/>
      <c r="P84" s="511"/>
      <c r="Q84" s="511"/>
      <c r="R84" s="511"/>
      <c r="S84" s="511"/>
      <c r="T84" s="511" t="s">
        <v>56</v>
      </c>
      <c r="U84" s="511"/>
      <c r="V84" s="511" t="s">
        <v>57</v>
      </c>
      <c r="W84" s="511"/>
      <c r="X84" s="511"/>
      <c r="Y84" s="511" t="s">
        <v>52</v>
      </c>
      <c r="Z84" s="511"/>
      <c r="AA84" s="511"/>
      <c r="AB84" s="511"/>
      <c r="AC84" s="511"/>
      <c r="AD84" s="512"/>
      <c r="AF84" s="53"/>
    </row>
    <row r="85" spans="1:32" ht="30.75" customHeight="1">
      <c r="A85" s="513">
        <v>1</v>
      </c>
      <c r="B85" s="514"/>
      <c r="C85" s="515">
        <v>14</v>
      </c>
      <c r="D85" s="515"/>
      <c r="E85" s="515" t="s">
        <v>719</v>
      </c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 t="s">
        <v>552</v>
      </c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>
      <c r="A86" s="489">
        <v>2</v>
      </c>
      <c r="B86" s="490"/>
      <c r="C86" s="515"/>
      <c r="D86" s="515"/>
      <c r="E86" s="515"/>
      <c r="F86" s="515"/>
      <c r="G86" s="515"/>
      <c r="H86" s="515"/>
      <c r="I86" s="515"/>
      <c r="J86" s="515"/>
      <c r="K86" s="515"/>
      <c r="L86" s="515"/>
      <c r="M86" s="515"/>
      <c r="N86" s="515"/>
      <c r="O86" s="515"/>
      <c r="P86" s="515"/>
      <c r="Q86" s="515"/>
      <c r="R86" s="515"/>
      <c r="S86" s="515"/>
      <c r="T86" s="515"/>
      <c r="U86" s="515"/>
      <c r="V86" s="516"/>
      <c r="W86" s="516"/>
      <c r="X86" s="516"/>
      <c r="Y86" s="517"/>
      <c r="Z86" s="517"/>
      <c r="AA86" s="517"/>
      <c r="AB86" s="517"/>
      <c r="AC86" s="517"/>
      <c r="AD86" s="518"/>
      <c r="AF86" s="53"/>
    </row>
    <row r="87" spans="1:32" ht="30.75" customHeight="1" thickBot="1">
      <c r="A87" s="519">
        <v>3</v>
      </c>
      <c r="B87" s="520"/>
      <c r="C87" s="520"/>
      <c r="D87" s="520"/>
      <c r="E87" s="520"/>
      <c r="F87" s="520"/>
      <c r="G87" s="520"/>
      <c r="H87" s="520"/>
      <c r="I87" s="520"/>
      <c r="J87" s="520"/>
      <c r="K87" s="520"/>
      <c r="L87" s="520"/>
      <c r="M87" s="520"/>
      <c r="N87" s="520"/>
      <c r="O87" s="520"/>
      <c r="P87" s="520"/>
      <c r="Q87" s="520"/>
      <c r="R87" s="520"/>
      <c r="S87" s="520"/>
      <c r="T87" s="520"/>
      <c r="U87" s="520"/>
      <c r="V87" s="520"/>
      <c r="W87" s="520"/>
      <c r="X87" s="520"/>
      <c r="Y87" s="521"/>
      <c r="Z87" s="521"/>
      <c r="AA87" s="521"/>
      <c r="AB87" s="521"/>
      <c r="AC87" s="521"/>
      <c r="AD87" s="522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K81" sqref="K81:S81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806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366" t="s">
        <v>17</v>
      </c>
      <c r="L5" s="366" t="s">
        <v>18</v>
      </c>
      <c r="M5" s="366" t="s">
        <v>19</v>
      </c>
      <c r="N5" s="36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0.19970660345254546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145</v>
      </c>
      <c r="E7" s="56" t="s">
        <v>638</v>
      </c>
      <c r="F7" s="12" t="s">
        <v>180</v>
      </c>
      <c r="G7" s="36">
        <v>2</v>
      </c>
      <c r="H7" s="38">
        <v>25</v>
      </c>
      <c r="I7" s="7">
        <v>5000</v>
      </c>
      <c r="J7" s="14">
        <v>4370</v>
      </c>
      <c r="K7" s="15">
        <f>L7+7082+4364</f>
        <v>11446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0.19970660345254546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652</v>
      </c>
      <c r="D8" s="55" t="s">
        <v>653</v>
      </c>
      <c r="E8" s="57" t="s">
        <v>654</v>
      </c>
      <c r="F8" s="12">
        <v>7301</v>
      </c>
      <c r="G8" s="36" t="s">
        <v>476</v>
      </c>
      <c r="H8" s="38">
        <v>25</v>
      </c>
      <c r="I8" s="7">
        <v>1000</v>
      </c>
      <c r="J8" s="14">
        <v>1300</v>
      </c>
      <c r="K8" s="15">
        <f>L8+1957+1293</f>
        <v>3250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0.19970660345254546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127</v>
      </c>
      <c r="D9" s="55" t="s">
        <v>747</v>
      </c>
      <c r="E9" s="57" t="s">
        <v>748</v>
      </c>
      <c r="F9" s="12" t="s">
        <v>749</v>
      </c>
      <c r="G9" s="12">
        <v>32</v>
      </c>
      <c r="H9" s="13">
        <v>20</v>
      </c>
      <c r="I9" s="34">
        <v>80000</v>
      </c>
      <c r="J9" s="5">
        <v>180200</v>
      </c>
      <c r="K9" s="15">
        <f>L9+188320+180192</f>
        <v>368512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0.19970660345254546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201</v>
      </c>
      <c r="D10" s="55" t="s">
        <v>779</v>
      </c>
      <c r="E10" s="57" t="s">
        <v>780</v>
      </c>
      <c r="F10" s="12" t="s">
        <v>781</v>
      </c>
      <c r="G10" s="12">
        <v>1</v>
      </c>
      <c r="H10" s="13">
        <v>25</v>
      </c>
      <c r="I10" s="34">
        <v>220</v>
      </c>
      <c r="J10" s="14">
        <v>421</v>
      </c>
      <c r="K10" s="15">
        <f>L10+421</f>
        <v>421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0.19970660345254546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782</v>
      </c>
      <c r="F11" s="12" t="s">
        <v>136</v>
      </c>
      <c r="G11" s="12">
        <v>1</v>
      </c>
      <c r="H11" s="13">
        <v>25</v>
      </c>
      <c r="I11" s="34">
        <v>6000</v>
      </c>
      <c r="J11" s="14">
        <v>2930</v>
      </c>
      <c r="K11" s="15">
        <f>L11+1628</f>
        <v>4555</v>
      </c>
      <c r="L11" s="15">
        <f>2927</f>
        <v>2927</v>
      </c>
      <c r="M11" s="16">
        <f t="shared" si="0"/>
        <v>2927</v>
      </c>
      <c r="N11" s="16">
        <v>0</v>
      </c>
      <c r="O11" s="62">
        <f t="shared" si="1"/>
        <v>0</v>
      </c>
      <c r="P11" s="42">
        <f t="shared" si="2"/>
        <v>17</v>
      </c>
      <c r="Q11" s="43">
        <f t="shared" si="3"/>
        <v>7</v>
      </c>
      <c r="R11" s="7"/>
      <c r="S11" s="6">
        <v>7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0.99897610921501712</v>
      </c>
      <c r="AC11" s="9">
        <f t="shared" si="5"/>
        <v>0.70833333333333337</v>
      </c>
      <c r="AD11" s="10">
        <f t="shared" si="6"/>
        <v>0.70760807736063713</v>
      </c>
      <c r="AE11" s="39">
        <f t="shared" si="7"/>
        <v>0.19970660345254546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723</v>
      </c>
      <c r="E12" s="57" t="s">
        <v>724</v>
      </c>
      <c r="F12" s="12">
        <v>7301</v>
      </c>
      <c r="G12" s="12">
        <v>1</v>
      </c>
      <c r="H12" s="13">
        <v>25</v>
      </c>
      <c r="I12" s="34">
        <v>100</v>
      </c>
      <c r="J12" s="5">
        <v>301</v>
      </c>
      <c r="K12" s="15">
        <f>L12+301</f>
        <v>301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0.19970660345254546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807</v>
      </c>
      <c r="E13" s="57" t="s">
        <v>808</v>
      </c>
      <c r="F13" s="12" t="s">
        <v>809</v>
      </c>
      <c r="G13" s="12">
        <v>1</v>
      </c>
      <c r="H13" s="13">
        <v>25</v>
      </c>
      <c r="I13" s="7">
        <v>2000</v>
      </c>
      <c r="J13" s="14">
        <v>2400</v>
      </c>
      <c r="K13" s="15">
        <f>L13</f>
        <v>2400</v>
      </c>
      <c r="L13" s="15">
        <f>1313+1087</f>
        <v>2400</v>
      </c>
      <c r="M13" s="16">
        <f t="shared" si="0"/>
        <v>2400</v>
      </c>
      <c r="N13" s="16">
        <v>0</v>
      </c>
      <c r="O13" s="62">
        <f t="shared" si="1"/>
        <v>0</v>
      </c>
      <c r="P13" s="42">
        <f t="shared" si="2"/>
        <v>15</v>
      </c>
      <c r="Q13" s="43">
        <f t="shared" si="3"/>
        <v>9</v>
      </c>
      <c r="R13" s="7"/>
      <c r="S13" s="6"/>
      <c r="T13" s="17"/>
      <c r="U13" s="17"/>
      <c r="V13" s="18"/>
      <c r="W13" s="19">
        <v>9</v>
      </c>
      <c r="X13" s="17"/>
      <c r="Y13" s="20"/>
      <c r="Z13" s="20"/>
      <c r="AA13" s="21"/>
      <c r="AB13" s="8">
        <f t="shared" si="4"/>
        <v>1</v>
      </c>
      <c r="AC13" s="9">
        <f t="shared" si="5"/>
        <v>0.625</v>
      </c>
      <c r="AD13" s="10">
        <f t="shared" si="6"/>
        <v>0.625</v>
      </c>
      <c r="AE13" s="39">
        <f t="shared" si="7"/>
        <v>0.19970660345254546</v>
      </c>
      <c r="AF13" s="94">
        <f t="shared" si="8"/>
        <v>8</v>
      </c>
    </row>
    <row r="14" spans="1:32" ht="27" customHeight="1">
      <c r="A14" s="110">
        <v>8</v>
      </c>
      <c r="B14" s="11" t="s">
        <v>59</v>
      </c>
      <c r="C14" s="11" t="s">
        <v>122</v>
      </c>
      <c r="D14" s="55" t="s">
        <v>381</v>
      </c>
      <c r="E14" s="57" t="s">
        <v>786</v>
      </c>
      <c r="F14" s="12" t="s">
        <v>785</v>
      </c>
      <c r="G14" s="12">
        <v>1</v>
      </c>
      <c r="H14" s="13">
        <v>25</v>
      </c>
      <c r="I14" s="7">
        <v>1000</v>
      </c>
      <c r="J14" s="14">
        <v>620</v>
      </c>
      <c r="K14" s="15">
        <f>L14+1993</f>
        <v>2608</v>
      </c>
      <c r="L14" s="15">
        <v>615</v>
      </c>
      <c r="M14" s="16">
        <f t="shared" si="0"/>
        <v>615</v>
      </c>
      <c r="N14" s="16">
        <v>0</v>
      </c>
      <c r="O14" s="62">
        <f t="shared" si="1"/>
        <v>0</v>
      </c>
      <c r="P14" s="42">
        <f t="shared" si="2"/>
        <v>4</v>
      </c>
      <c r="Q14" s="43">
        <f t="shared" si="3"/>
        <v>20</v>
      </c>
      <c r="R14" s="7"/>
      <c r="S14" s="6"/>
      <c r="T14" s="17"/>
      <c r="U14" s="17"/>
      <c r="V14" s="18"/>
      <c r="W14" s="19">
        <v>20</v>
      </c>
      <c r="X14" s="17"/>
      <c r="Y14" s="20"/>
      <c r="Z14" s="20"/>
      <c r="AA14" s="21"/>
      <c r="AB14" s="8">
        <f t="shared" si="4"/>
        <v>0.99193548387096775</v>
      </c>
      <c r="AC14" s="9">
        <f t="shared" si="5"/>
        <v>0.16666666666666666</v>
      </c>
      <c r="AD14" s="10">
        <f t="shared" si="6"/>
        <v>0.16532258064516128</v>
      </c>
      <c r="AE14" s="39">
        <f t="shared" si="7"/>
        <v>0.19970660345254546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122</v>
      </c>
      <c r="D15" s="55" t="s">
        <v>58</v>
      </c>
      <c r="E15" s="57" t="s">
        <v>560</v>
      </c>
      <c r="F15" s="33" t="s">
        <v>561</v>
      </c>
      <c r="G15" s="36">
        <v>1</v>
      </c>
      <c r="H15" s="38">
        <v>50</v>
      </c>
      <c r="I15" s="7">
        <v>100</v>
      </c>
      <c r="J15" s="5">
        <v>470</v>
      </c>
      <c r="K15" s="15">
        <f>L15+462</f>
        <v>462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0.19970660345254546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37" t="s">
        <v>154</v>
      </c>
      <c r="D16" s="55" t="s">
        <v>284</v>
      </c>
      <c r="E16" s="57" t="s">
        <v>430</v>
      </c>
      <c r="F16" s="12" t="s">
        <v>424</v>
      </c>
      <c r="G16" s="12">
        <v>1</v>
      </c>
      <c r="H16" s="13">
        <v>25</v>
      </c>
      <c r="I16" s="34">
        <v>200</v>
      </c>
      <c r="J16" s="5">
        <v>300</v>
      </c>
      <c r="K16" s="15">
        <f>L16+2138+3980+300</f>
        <v>6418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/>
      <c r="X16" s="17"/>
      <c r="Y16" s="20"/>
      <c r="Z16" s="20"/>
      <c r="AA16" s="21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0.19970660345254546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122</v>
      </c>
      <c r="D17" s="55" t="s">
        <v>752</v>
      </c>
      <c r="E17" s="57" t="s">
        <v>753</v>
      </c>
      <c r="F17" s="12">
        <v>7301</v>
      </c>
      <c r="G17" s="36">
        <v>1</v>
      </c>
      <c r="H17" s="38">
        <v>25</v>
      </c>
      <c r="I17" s="7">
        <v>1000</v>
      </c>
      <c r="J17" s="14">
        <v>1080</v>
      </c>
      <c r="K17" s="15">
        <f>L17+1075</f>
        <v>1075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0.19970660345254546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411</v>
      </c>
      <c r="D18" s="55" t="s">
        <v>726</v>
      </c>
      <c r="E18" s="56" t="s">
        <v>727</v>
      </c>
      <c r="F18" s="12">
        <v>8301</v>
      </c>
      <c r="G18" s="12">
        <v>1</v>
      </c>
      <c r="H18" s="13">
        <v>25</v>
      </c>
      <c r="I18" s="34">
        <v>100</v>
      </c>
      <c r="J18" s="5">
        <v>236</v>
      </c>
      <c r="K18" s="15">
        <f>L18+236</f>
        <v>236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0.19970660345254546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127</v>
      </c>
      <c r="D19" s="55" t="s">
        <v>144</v>
      </c>
      <c r="E19" s="57" t="s">
        <v>686</v>
      </c>
      <c r="F19" s="12" t="s">
        <v>156</v>
      </c>
      <c r="G19" s="12">
        <v>1</v>
      </c>
      <c r="H19" s="13">
        <v>25</v>
      </c>
      <c r="I19" s="34">
        <v>16000</v>
      </c>
      <c r="J19" s="5">
        <v>1930</v>
      </c>
      <c r="K19" s="15">
        <f>L19+1918+4697+5268+5307</f>
        <v>19111</v>
      </c>
      <c r="L19" s="15">
        <v>1921</v>
      </c>
      <c r="M19" s="16">
        <f t="shared" si="0"/>
        <v>1921</v>
      </c>
      <c r="N19" s="16">
        <v>0</v>
      </c>
      <c r="O19" s="62">
        <f t="shared" si="1"/>
        <v>0</v>
      </c>
      <c r="P19" s="42">
        <f t="shared" si="2"/>
        <v>12</v>
      </c>
      <c r="Q19" s="43">
        <f t="shared" si="3"/>
        <v>12</v>
      </c>
      <c r="R19" s="7"/>
      <c r="S19" s="6"/>
      <c r="T19" s="17"/>
      <c r="U19" s="17"/>
      <c r="V19" s="18"/>
      <c r="W19" s="19">
        <v>12</v>
      </c>
      <c r="X19" s="17"/>
      <c r="Y19" s="20"/>
      <c r="Z19" s="20"/>
      <c r="AA19" s="21"/>
      <c r="AB19" s="8">
        <f t="shared" si="4"/>
        <v>0.99533678756476685</v>
      </c>
      <c r="AC19" s="9">
        <f t="shared" si="5"/>
        <v>0.5</v>
      </c>
      <c r="AD19" s="10">
        <f t="shared" si="6"/>
        <v>0.49766839378238342</v>
      </c>
      <c r="AE19" s="39">
        <f t="shared" si="7"/>
        <v>0.19970660345254546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62</v>
      </c>
      <c r="D20" s="55" t="s">
        <v>58</v>
      </c>
      <c r="E20" s="57" t="s">
        <v>301</v>
      </c>
      <c r="F20" s="33" t="s">
        <v>126</v>
      </c>
      <c r="G20" s="36">
        <v>2</v>
      </c>
      <c r="H20" s="38">
        <v>25</v>
      </c>
      <c r="I20" s="34">
        <v>12000</v>
      </c>
      <c r="J20" s="5">
        <v>4350</v>
      </c>
      <c r="K20" s="15">
        <f>L20+8110+4344</f>
        <v>12454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>
        <v>24</v>
      </c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0.19970660345254546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/>
      <c r="E21" s="56" t="s">
        <v>698</v>
      </c>
      <c r="F21" s="12" t="s">
        <v>120</v>
      </c>
      <c r="G21" s="12">
        <v>4</v>
      </c>
      <c r="H21" s="38">
        <v>20</v>
      </c>
      <c r="I21" s="7">
        <v>500000</v>
      </c>
      <c r="J21" s="14">
        <v>54860</v>
      </c>
      <c r="K21" s="15">
        <f>35092+L21+26284+48172+54432+54784</f>
        <v>273624</v>
      </c>
      <c r="L21" s="15">
        <f>7143*4+6572*4</f>
        <v>54860</v>
      </c>
      <c r="M21" s="16">
        <f t="shared" si="0"/>
        <v>54860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1</v>
      </c>
      <c r="AC21" s="9">
        <f t="shared" si="5"/>
        <v>1</v>
      </c>
      <c r="AD21" s="10">
        <f t="shared" si="6"/>
        <v>1</v>
      </c>
      <c r="AE21" s="39">
        <f t="shared" si="7"/>
        <v>0.19970660345254546</v>
      </c>
      <c r="AF21" s="94">
        <f t="shared" si="8"/>
        <v>15</v>
      </c>
    </row>
    <row r="22" spans="1:32" ht="31.5" customHeight="1" thickBot="1">
      <c r="A22" s="430" t="s">
        <v>34</v>
      </c>
      <c r="B22" s="431"/>
      <c r="C22" s="431"/>
      <c r="D22" s="431"/>
      <c r="E22" s="431"/>
      <c r="F22" s="431"/>
      <c r="G22" s="431"/>
      <c r="H22" s="432"/>
      <c r="I22" s="25">
        <f t="shared" ref="I22:N22" si="10">SUM(I6:I21)</f>
        <v>628720</v>
      </c>
      <c r="J22" s="22">
        <f t="shared" si="10"/>
        <v>261908</v>
      </c>
      <c r="K22" s="23">
        <f t="shared" si="10"/>
        <v>713007</v>
      </c>
      <c r="L22" s="24">
        <f t="shared" si="10"/>
        <v>62723</v>
      </c>
      <c r="M22" s="23">
        <f t="shared" si="10"/>
        <v>62723</v>
      </c>
      <c r="N22" s="24">
        <f t="shared" si="10"/>
        <v>0</v>
      </c>
      <c r="O22" s="44">
        <f t="shared" si="1"/>
        <v>0</v>
      </c>
      <c r="P22" s="45">
        <f t="shared" ref="P22:AA22" si="11">SUM(P6:P21)</f>
        <v>72</v>
      </c>
      <c r="Q22" s="46">
        <f t="shared" si="11"/>
        <v>312</v>
      </c>
      <c r="R22" s="26">
        <f t="shared" si="11"/>
        <v>24</v>
      </c>
      <c r="S22" s="27">
        <f t="shared" si="11"/>
        <v>7</v>
      </c>
      <c r="T22" s="27">
        <f t="shared" si="11"/>
        <v>0</v>
      </c>
      <c r="U22" s="27">
        <f t="shared" si="11"/>
        <v>0</v>
      </c>
      <c r="V22" s="28">
        <f t="shared" si="11"/>
        <v>0</v>
      </c>
      <c r="W22" s="29">
        <f t="shared" si="11"/>
        <v>257</v>
      </c>
      <c r="X22" s="30">
        <f t="shared" si="11"/>
        <v>0</v>
      </c>
      <c r="Y22" s="30">
        <f t="shared" si="11"/>
        <v>0</v>
      </c>
      <c r="Z22" s="30">
        <f t="shared" si="11"/>
        <v>0</v>
      </c>
      <c r="AA22" s="30">
        <f t="shared" si="11"/>
        <v>24</v>
      </c>
      <c r="AB22" s="31">
        <f>SUM(AB6:AB21)/15</f>
        <v>0.3324165587100501</v>
      </c>
      <c r="AC22" s="4">
        <f>SUM(AC6:AC21)/15</f>
        <v>0.2</v>
      </c>
      <c r="AD22" s="4">
        <f>SUM(AD6:AD21)/15</f>
        <v>0.19970660345254546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33" t="s">
        <v>46</v>
      </c>
      <c r="B49" s="433"/>
      <c r="C49" s="433"/>
      <c r="D49" s="433"/>
      <c r="E49" s="433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34" t="s">
        <v>810</v>
      </c>
      <c r="B50" s="435"/>
      <c r="C50" s="435"/>
      <c r="D50" s="435"/>
      <c r="E50" s="435"/>
      <c r="F50" s="435"/>
      <c r="G50" s="435"/>
      <c r="H50" s="435"/>
      <c r="I50" s="435"/>
      <c r="J50" s="435"/>
      <c r="K50" s="435"/>
      <c r="L50" s="435"/>
      <c r="M50" s="436"/>
      <c r="N50" s="437" t="s">
        <v>813</v>
      </c>
      <c r="O50" s="438"/>
      <c r="P50" s="438"/>
      <c r="Q50" s="438"/>
      <c r="R50" s="438"/>
      <c r="S50" s="438"/>
      <c r="T50" s="438"/>
      <c r="U50" s="438"/>
      <c r="V50" s="438"/>
      <c r="W50" s="438"/>
      <c r="X50" s="438"/>
      <c r="Y50" s="438"/>
      <c r="Z50" s="438"/>
      <c r="AA50" s="438"/>
      <c r="AB50" s="438"/>
      <c r="AC50" s="438"/>
      <c r="AD50" s="439"/>
    </row>
    <row r="51" spans="1:32" ht="27" customHeight="1">
      <c r="A51" s="440" t="s">
        <v>2</v>
      </c>
      <c r="B51" s="441"/>
      <c r="C51" s="365" t="s">
        <v>47</v>
      </c>
      <c r="D51" s="365" t="s">
        <v>48</v>
      </c>
      <c r="E51" s="365" t="s">
        <v>113</v>
      </c>
      <c r="F51" s="441" t="s">
        <v>112</v>
      </c>
      <c r="G51" s="441"/>
      <c r="H51" s="441"/>
      <c r="I51" s="441"/>
      <c r="J51" s="441"/>
      <c r="K51" s="441"/>
      <c r="L51" s="441"/>
      <c r="M51" s="442"/>
      <c r="N51" s="73" t="s">
        <v>117</v>
      </c>
      <c r="O51" s="365" t="s">
        <v>47</v>
      </c>
      <c r="P51" s="443" t="s">
        <v>48</v>
      </c>
      <c r="Q51" s="444"/>
      <c r="R51" s="443" t="s">
        <v>39</v>
      </c>
      <c r="S51" s="445"/>
      <c r="T51" s="445"/>
      <c r="U51" s="444"/>
      <c r="V51" s="443" t="s">
        <v>49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64" t="s">
        <v>793</v>
      </c>
      <c r="B52" s="463"/>
      <c r="C52" s="361" t="s">
        <v>207</v>
      </c>
      <c r="D52" s="361" t="s">
        <v>794</v>
      </c>
      <c r="E52" s="364" t="s">
        <v>782</v>
      </c>
      <c r="F52" s="459" t="s">
        <v>811</v>
      </c>
      <c r="G52" s="459"/>
      <c r="H52" s="459"/>
      <c r="I52" s="459"/>
      <c r="J52" s="459"/>
      <c r="K52" s="459"/>
      <c r="L52" s="459"/>
      <c r="M52" s="460"/>
      <c r="N52" s="360" t="s">
        <v>815</v>
      </c>
      <c r="O52" s="74" t="s">
        <v>134</v>
      </c>
      <c r="P52" s="461" t="s">
        <v>816</v>
      </c>
      <c r="Q52" s="462"/>
      <c r="R52" s="463" t="s">
        <v>814</v>
      </c>
      <c r="S52" s="463"/>
      <c r="T52" s="463"/>
      <c r="U52" s="463"/>
      <c r="V52" s="459" t="s">
        <v>817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57" t="s">
        <v>201</v>
      </c>
      <c r="B53" s="458"/>
      <c r="C53" s="364" t="s">
        <v>812</v>
      </c>
      <c r="D53" s="361" t="s">
        <v>790</v>
      </c>
      <c r="E53" s="364" t="s">
        <v>791</v>
      </c>
      <c r="F53" s="459" t="s">
        <v>811</v>
      </c>
      <c r="G53" s="459"/>
      <c r="H53" s="459"/>
      <c r="I53" s="459"/>
      <c r="J53" s="459"/>
      <c r="K53" s="459"/>
      <c r="L53" s="459"/>
      <c r="M53" s="460"/>
      <c r="N53" s="360" t="s">
        <v>122</v>
      </c>
      <c r="O53" s="74" t="s">
        <v>819</v>
      </c>
      <c r="P53" s="461" t="s">
        <v>820</v>
      </c>
      <c r="Q53" s="462"/>
      <c r="R53" s="463" t="s">
        <v>821</v>
      </c>
      <c r="S53" s="463"/>
      <c r="T53" s="463"/>
      <c r="U53" s="463"/>
      <c r="V53" s="459" t="s">
        <v>818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57"/>
      <c r="B54" s="458"/>
      <c r="C54" s="364"/>
      <c r="D54" s="361"/>
      <c r="E54" s="364"/>
      <c r="F54" s="459"/>
      <c r="G54" s="459"/>
      <c r="H54" s="459"/>
      <c r="I54" s="459"/>
      <c r="J54" s="459"/>
      <c r="K54" s="459"/>
      <c r="L54" s="459"/>
      <c r="M54" s="460"/>
      <c r="N54" s="360"/>
      <c r="O54" s="74"/>
      <c r="P54" s="461"/>
      <c r="Q54" s="462"/>
      <c r="R54" s="463"/>
      <c r="S54" s="463"/>
      <c r="T54" s="463"/>
      <c r="U54" s="463"/>
      <c r="V54" s="459"/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64"/>
      <c r="B55" s="463"/>
      <c r="C55" s="361"/>
      <c r="D55" s="361"/>
      <c r="E55" s="364"/>
      <c r="F55" s="459"/>
      <c r="G55" s="459"/>
      <c r="H55" s="459"/>
      <c r="I55" s="459"/>
      <c r="J55" s="459"/>
      <c r="K55" s="459"/>
      <c r="L55" s="459"/>
      <c r="M55" s="460"/>
      <c r="N55" s="360"/>
      <c r="O55" s="74"/>
      <c r="P55" s="461"/>
      <c r="Q55" s="462"/>
      <c r="R55" s="463"/>
      <c r="S55" s="463"/>
      <c r="T55" s="463"/>
      <c r="U55" s="463"/>
      <c r="V55" s="459"/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/>
      <c r="B56" s="463"/>
      <c r="C56" s="361"/>
      <c r="D56" s="361"/>
      <c r="E56" s="364"/>
      <c r="F56" s="459"/>
      <c r="G56" s="459"/>
      <c r="H56" s="459"/>
      <c r="I56" s="459"/>
      <c r="J56" s="459"/>
      <c r="K56" s="459"/>
      <c r="L56" s="459"/>
      <c r="M56" s="460"/>
      <c r="N56" s="360"/>
      <c r="O56" s="74"/>
      <c r="P56" s="461"/>
      <c r="Q56" s="462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361"/>
      <c r="D57" s="361"/>
      <c r="E57" s="364"/>
      <c r="F57" s="459"/>
      <c r="G57" s="459"/>
      <c r="H57" s="459"/>
      <c r="I57" s="459"/>
      <c r="J57" s="459"/>
      <c r="K57" s="459"/>
      <c r="L57" s="459"/>
      <c r="M57" s="460"/>
      <c r="N57" s="360"/>
      <c r="O57" s="74"/>
      <c r="P57" s="463"/>
      <c r="Q57" s="463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64"/>
      <c r="B58" s="463"/>
      <c r="C58" s="361"/>
      <c r="D58" s="361"/>
      <c r="E58" s="364"/>
      <c r="F58" s="459"/>
      <c r="G58" s="459"/>
      <c r="H58" s="459"/>
      <c r="I58" s="459"/>
      <c r="J58" s="459"/>
      <c r="K58" s="459"/>
      <c r="L58" s="459"/>
      <c r="M58" s="460"/>
      <c r="N58" s="360"/>
      <c r="O58" s="74"/>
      <c r="P58" s="461"/>
      <c r="Q58" s="462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57"/>
      <c r="B59" s="458"/>
      <c r="C59" s="364"/>
      <c r="D59" s="361"/>
      <c r="E59" s="364"/>
      <c r="F59" s="459"/>
      <c r="G59" s="459"/>
      <c r="H59" s="459"/>
      <c r="I59" s="459"/>
      <c r="J59" s="459"/>
      <c r="K59" s="459"/>
      <c r="L59" s="459"/>
      <c r="M59" s="460"/>
      <c r="N59" s="360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</row>
    <row r="60" spans="1:32" ht="27" customHeight="1">
      <c r="A60" s="464"/>
      <c r="B60" s="463"/>
      <c r="C60" s="361"/>
      <c r="D60" s="361"/>
      <c r="E60" s="361"/>
      <c r="F60" s="459"/>
      <c r="G60" s="459"/>
      <c r="H60" s="459"/>
      <c r="I60" s="459"/>
      <c r="J60" s="459"/>
      <c r="K60" s="459"/>
      <c r="L60" s="459"/>
      <c r="M60" s="460"/>
      <c r="N60" s="360"/>
      <c r="O60" s="74"/>
      <c r="P60" s="463"/>
      <c r="Q60" s="463"/>
      <c r="R60" s="463"/>
      <c r="S60" s="463"/>
      <c r="T60" s="463"/>
      <c r="U60" s="463"/>
      <c r="V60" s="459"/>
      <c r="W60" s="459"/>
      <c r="X60" s="459"/>
      <c r="Y60" s="459"/>
      <c r="Z60" s="459"/>
      <c r="AA60" s="459"/>
      <c r="AB60" s="459"/>
      <c r="AC60" s="459"/>
      <c r="AD60" s="460"/>
      <c r="AF60" s="94">
        <f>8*3000</f>
        <v>24000</v>
      </c>
    </row>
    <row r="61" spans="1:32" ht="27" customHeight="1" thickBot="1">
      <c r="A61" s="465"/>
      <c r="B61" s="466"/>
      <c r="C61" s="363"/>
      <c r="D61" s="363"/>
      <c r="E61" s="363"/>
      <c r="F61" s="467"/>
      <c r="G61" s="467"/>
      <c r="H61" s="467"/>
      <c r="I61" s="467"/>
      <c r="J61" s="467"/>
      <c r="K61" s="467"/>
      <c r="L61" s="467"/>
      <c r="M61" s="468"/>
      <c r="N61" s="362"/>
      <c r="O61" s="121"/>
      <c r="P61" s="466"/>
      <c r="Q61" s="466"/>
      <c r="R61" s="466"/>
      <c r="S61" s="466"/>
      <c r="T61" s="466"/>
      <c r="U61" s="466"/>
      <c r="V61" s="467"/>
      <c r="W61" s="467"/>
      <c r="X61" s="467"/>
      <c r="Y61" s="467"/>
      <c r="Z61" s="467"/>
      <c r="AA61" s="467"/>
      <c r="AB61" s="467"/>
      <c r="AC61" s="467"/>
      <c r="AD61" s="468"/>
      <c r="AF61" s="94">
        <f>16*3000</f>
        <v>48000</v>
      </c>
    </row>
    <row r="62" spans="1:32" ht="27.75" thickBot="1">
      <c r="A62" s="469" t="s">
        <v>822</v>
      </c>
      <c r="B62" s="469"/>
      <c r="C62" s="469"/>
      <c r="D62" s="469"/>
      <c r="E62" s="469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70" t="s">
        <v>118</v>
      </c>
      <c r="B63" s="471"/>
      <c r="C63" s="359" t="s">
        <v>2</v>
      </c>
      <c r="D63" s="359" t="s">
        <v>38</v>
      </c>
      <c r="E63" s="359" t="s">
        <v>3</v>
      </c>
      <c r="F63" s="471" t="s">
        <v>115</v>
      </c>
      <c r="G63" s="471"/>
      <c r="H63" s="471"/>
      <c r="I63" s="471"/>
      <c r="J63" s="471"/>
      <c r="K63" s="471" t="s">
        <v>40</v>
      </c>
      <c r="L63" s="471"/>
      <c r="M63" s="359" t="s">
        <v>41</v>
      </c>
      <c r="N63" s="471" t="s">
        <v>42</v>
      </c>
      <c r="O63" s="471"/>
      <c r="P63" s="472" t="s">
        <v>43</v>
      </c>
      <c r="Q63" s="473"/>
      <c r="R63" s="472" t="s">
        <v>44</v>
      </c>
      <c r="S63" s="474"/>
      <c r="T63" s="474"/>
      <c r="U63" s="474"/>
      <c r="V63" s="474"/>
      <c r="W63" s="474"/>
      <c r="X63" s="474"/>
      <c r="Y63" s="474"/>
      <c r="Z63" s="474"/>
      <c r="AA63" s="473"/>
      <c r="AB63" s="471" t="s">
        <v>45</v>
      </c>
      <c r="AC63" s="471"/>
      <c r="AD63" s="475"/>
      <c r="AF63" s="94">
        <f>SUM(AF60:AF62)</f>
        <v>96000</v>
      </c>
    </row>
    <row r="64" spans="1:32" ht="25.5" customHeight="1">
      <c r="A64" s="476">
        <v>1</v>
      </c>
      <c r="B64" s="477"/>
      <c r="C64" s="133" t="s">
        <v>823</v>
      </c>
      <c r="D64" s="355"/>
      <c r="E64" s="357" t="s">
        <v>824</v>
      </c>
      <c r="F64" s="478" t="s">
        <v>825</v>
      </c>
      <c r="G64" s="479"/>
      <c r="H64" s="479"/>
      <c r="I64" s="479"/>
      <c r="J64" s="479"/>
      <c r="K64" s="479" t="s">
        <v>826</v>
      </c>
      <c r="L64" s="479"/>
      <c r="M64" s="54"/>
      <c r="N64" s="479">
        <v>5</v>
      </c>
      <c r="O64" s="479"/>
      <c r="P64" s="480">
        <v>50</v>
      </c>
      <c r="Q64" s="480"/>
      <c r="R64" s="459" t="s">
        <v>827</v>
      </c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  <c r="AF64" s="53"/>
    </row>
    <row r="65" spans="1:32" ht="25.5" customHeight="1">
      <c r="A65" s="476">
        <v>2</v>
      </c>
      <c r="B65" s="477"/>
      <c r="C65" s="133"/>
      <c r="D65" s="355"/>
      <c r="E65" s="357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</row>
    <row r="66" spans="1:32" ht="25.5" customHeight="1">
      <c r="A66" s="476">
        <v>3</v>
      </c>
      <c r="B66" s="477"/>
      <c r="C66" s="133"/>
      <c r="D66" s="355"/>
      <c r="E66" s="357"/>
      <c r="F66" s="478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4</v>
      </c>
      <c r="B67" s="477"/>
      <c r="C67" s="133"/>
      <c r="D67" s="355"/>
      <c r="E67" s="357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5</v>
      </c>
      <c r="B68" s="477"/>
      <c r="C68" s="133"/>
      <c r="D68" s="355"/>
      <c r="E68" s="357"/>
      <c r="F68" s="479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6</v>
      </c>
      <c r="B69" s="477"/>
      <c r="C69" s="133"/>
      <c r="D69" s="355"/>
      <c r="E69" s="357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7</v>
      </c>
      <c r="B70" s="477"/>
      <c r="C70" s="133"/>
      <c r="D70" s="355"/>
      <c r="E70" s="357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5.5" customHeight="1">
      <c r="A71" s="476">
        <v>8</v>
      </c>
      <c r="B71" s="477"/>
      <c r="C71" s="133"/>
      <c r="D71" s="355"/>
      <c r="E71" s="357"/>
      <c r="F71" s="478"/>
      <c r="G71" s="479"/>
      <c r="H71" s="479"/>
      <c r="I71" s="479"/>
      <c r="J71" s="479"/>
      <c r="K71" s="479"/>
      <c r="L71" s="479"/>
      <c r="M71" s="54"/>
      <c r="N71" s="479"/>
      <c r="O71" s="479"/>
      <c r="P71" s="480"/>
      <c r="Q71" s="480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79"/>
      <c r="AC71" s="479"/>
      <c r="AD71" s="481"/>
      <c r="AF71" s="53"/>
    </row>
    <row r="72" spans="1:32" ht="26.25" customHeight="1" thickBot="1">
      <c r="A72" s="482" t="s">
        <v>828</v>
      </c>
      <c r="B72" s="482"/>
      <c r="C72" s="482"/>
      <c r="D72" s="482"/>
      <c r="E72" s="482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83" t="s">
        <v>118</v>
      </c>
      <c r="B73" s="484"/>
      <c r="C73" s="358" t="s">
        <v>2</v>
      </c>
      <c r="D73" s="358" t="s">
        <v>38</v>
      </c>
      <c r="E73" s="358" t="s">
        <v>3</v>
      </c>
      <c r="F73" s="484" t="s">
        <v>39</v>
      </c>
      <c r="G73" s="484"/>
      <c r="H73" s="484"/>
      <c r="I73" s="484"/>
      <c r="J73" s="484"/>
      <c r="K73" s="485" t="s">
        <v>60</v>
      </c>
      <c r="L73" s="486"/>
      <c r="M73" s="486"/>
      <c r="N73" s="486"/>
      <c r="O73" s="486"/>
      <c r="P73" s="486"/>
      <c r="Q73" s="486"/>
      <c r="R73" s="486"/>
      <c r="S73" s="487"/>
      <c r="T73" s="484" t="s">
        <v>50</v>
      </c>
      <c r="U73" s="484"/>
      <c r="V73" s="485" t="s">
        <v>51</v>
      </c>
      <c r="W73" s="487"/>
      <c r="X73" s="486" t="s">
        <v>52</v>
      </c>
      <c r="Y73" s="486"/>
      <c r="Z73" s="486"/>
      <c r="AA73" s="486"/>
      <c r="AB73" s="486"/>
      <c r="AC73" s="486"/>
      <c r="AD73" s="488"/>
      <c r="AF73" s="53"/>
    </row>
    <row r="74" spans="1:32" ht="33.75" customHeight="1">
      <c r="A74" s="497">
        <v>1</v>
      </c>
      <c r="B74" s="498"/>
      <c r="C74" s="356" t="s">
        <v>122</v>
      </c>
      <c r="D74" s="356"/>
      <c r="E74" s="71" t="s">
        <v>556</v>
      </c>
      <c r="F74" s="499" t="s">
        <v>557</v>
      </c>
      <c r="G74" s="500"/>
      <c r="H74" s="500"/>
      <c r="I74" s="500"/>
      <c r="J74" s="501"/>
      <c r="K74" s="502" t="s">
        <v>141</v>
      </c>
      <c r="L74" s="503"/>
      <c r="M74" s="503"/>
      <c r="N74" s="503"/>
      <c r="O74" s="503"/>
      <c r="P74" s="503"/>
      <c r="Q74" s="503"/>
      <c r="R74" s="503"/>
      <c r="S74" s="504"/>
      <c r="T74" s="505">
        <v>42873</v>
      </c>
      <c r="U74" s="506"/>
      <c r="V74" s="507"/>
      <c r="W74" s="507"/>
      <c r="X74" s="508"/>
      <c r="Y74" s="508"/>
      <c r="Z74" s="508"/>
      <c r="AA74" s="508"/>
      <c r="AB74" s="508"/>
      <c r="AC74" s="508"/>
      <c r="AD74" s="509"/>
      <c r="AF74" s="53"/>
    </row>
    <row r="75" spans="1:32" ht="30" customHeight="1">
      <c r="A75" s="489">
        <f>A74+1</f>
        <v>2</v>
      </c>
      <c r="B75" s="490"/>
      <c r="C75" s="355" t="s">
        <v>122</v>
      </c>
      <c r="D75" s="355"/>
      <c r="E75" s="35" t="s">
        <v>388</v>
      </c>
      <c r="F75" s="490" t="s">
        <v>394</v>
      </c>
      <c r="G75" s="490"/>
      <c r="H75" s="490"/>
      <c r="I75" s="490"/>
      <c r="J75" s="490"/>
      <c r="K75" s="491" t="s">
        <v>522</v>
      </c>
      <c r="L75" s="492"/>
      <c r="M75" s="492"/>
      <c r="N75" s="492"/>
      <c r="O75" s="492"/>
      <c r="P75" s="492"/>
      <c r="Q75" s="492"/>
      <c r="R75" s="492"/>
      <c r="S75" s="493"/>
      <c r="T75" s="494">
        <v>42867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ref="A76:A82" si="12">A75+1</f>
        <v>3</v>
      </c>
      <c r="B76" s="490"/>
      <c r="C76" s="355" t="s">
        <v>127</v>
      </c>
      <c r="D76" s="355"/>
      <c r="E76" s="35" t="s">
        <v>121</v>
      </c>
      <c r="F76" s="490" t="s">
        <v>585</v>
      </c>
      <c r="G76" s="490"/>
      <c r="H76" s="490"/>
      <c r="I76" s="490"/>
      <c r="J76" s="490"/>
      <c r="K76" s="491" t="s">
        <v>61</v>
      </c>
      <c r="L76" s="492"/>
      <c r="M76" s="492"/>
      <c r="N76" s="492"/>
      <c r="O76" s="492"/>
      <c r="P76" s="492"/>
      <c r="Q76" s="492"/>
      <c r="R76" s="492"/>
      <c r="S76" s="493"/>
      <c r="T76" s="494">
        <v>42874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12"/>
        <v>4</v>
      </c>
      <c r="B77" s="490"/>
      <c r="C77" s="355" t="s">
        <v>122</v>
      </c>
      <c r="D77" s="355"/>
      <c r="E77" s="35" t="s">
        <v>623</v>
      </c>
      <c r="F77" s="490" t="s">
        <v>151</v>
      </c>
      <c r="G77" s="490"/>
      <c r="H77" s="490"/>
      <c r="I77" s="490"/>
      <c r="J77" s="490"/>
      <c r="K77" s="491" t="s">
        <v>689</v>
      </c>
      <c r="L77" s="492"/>
      <c r="M77" s="492"/>
      <c r="N77" s="492"/>
      <c r="O77" s="492"/>
      <c r="P77" s="492"/>
      <c r="Q77" s="492"/>
      <c r="R77" s="492"/>
      <c r="S77" s="493"/>
      <c r="T77" s="494">
        <v>42874</v>
      </c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12"/>
        <v>5</v>
      </c>
      <c r="B78" s="490"/>
      <c r="C78" s="355"/>
      <c r="D78" s="355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12"/>
        <v>6</v>
      </c>
      <c r="B79" s="490"/>
      <c r="C79" s="355"/>
      <c r="D79" s="355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12"/>
        <v>7</v>
      </c>
      <c r="B80" s="490"/>
      <c r="C80" s="355"/>
      <c r="D80" s="355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12"/>
        <v>8</v>
      </c>
      <c r="B81" s="490"/>
      <c r="C81" s="355"/>
      <c r="D81" s="355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0" customHeight="1">
      <c r="A82" s="489">
        <f t="shared" si="12"/>
        <v>9</v>
      </c>
      <c r="B82" s="490"/>
      <c r="C82" s="355"/>
      <c r="D82" s="355"/>
      <c r="E82" s="35"/>
      <c r="F82" s="490"/>
      <c r="G82" s="490"/>
      <c r="H82" s="490"/>
      <c r="I82" s="490"/>
      <c r="J82" s="490"/>
      <c r="K82" s="491"/>
      <c r="L82" s="492"/>
      <c r="M82" s="492"/>
      <c r="N82" s="492"/>
      <c r="O82" s="492"/>
      <c r="P82" s="492"/>
      <c r="Q82" s="492"/>
      <c r="R82" s="492"/>
      <c r="S82" s="493"/>
      <c r="T82" s="494"/>
      <c r="U82" s="494"/>
      <c r="V82" s="494"/>
      <c r="W82" s="494"/>
      <c r="X82" s="495"/>
      <c r="Y82" s="495"/>
      <c r="Z82" s="495"/>
      <c r="AA82" s="495"/>
      <c r="AB82" s="495"/>
      <c r="AC82" s="495"/>
      <c r="AD82" s="496"/>
      <c r="AF82" s="53"/>
    </row>
    <row r="83" spans="1:32" ht="36" thickBot="1">
      <c r="A83" s="482" t="s">
        <v>829</v>
      </c>
      <c r="B83" s="482"/>
      <c r="C83" s="482"/>
      <c r="D83" s="482"/>
      <c r="E83" s="482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510" t="s">
        <v>37</v>
      </c>
      <c r="B84" s="511"/>
      <c r="C84" s="511" t="s">
        <v>53</v>
      </c>
      <c r="D84" s="511"/>
      <c r="E84" s="511" t="s">
        <v>54</v>
      </c>
      <c r="F84" s="511"/>
      <c r="G84" s="511"/>
      <c r="H84" s="511"/>
      <c r="I84" s="511"/>
      <c r="J84" s="511"/>
      <c r="K84" s="511" t="s">
        <v>55</v>
      </c>
      <c r="L84" s="511"/>
      <c r="M84" s="511"/>
      <c r="N84" s="511"/>
      <c r="O84" s="511"/>
      <c r="P84" s="511"/>
      <c r="Q84" s="511"/>
      <c r="R84" s="511"/>
      <c r="S84" s="511"/>
      <c r="T84" s="511" t="s">
        <v>56</v>
      </c>
      <c r="U84" s="511"/>
      <c r="V84" s="511" t="s">
        <v>57</v>
      </c>
      <c r="W84" s="511"/>
      <c r="X84" s="511"/>
      <c r="Y84" s="511" t="s">
        <v>52</v>
      </c>
      <c r="Z84" s="511"/>
      <c r="AA84" s="511"/>
      <c r="AB84" s="511"/>
      <c r="AC84" s="511"/>
      <c r="AD84" s="512"/>
      <c r="AF84" s="53"/>
    </row>
    <row r="85" spans="1:32" ht="30.75" customHeight="1">
      <c r="A85" s="513">
        <v>1</v>
      </c>
      <c r="B85" s="514"/>
      <c r="C85" s="515">
        <v>14</v>
      </c>
      <c r="D85" s="515"/>
      <c r="E85" s="515" t="s">
        <v>719</v>
      </c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 t="s">
        <v>552</v>
      </c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>
      <c r="A86" s="489">
        <v>2</v>
      </c>
      <c r="B86" s="490"/>
      <c r="C86" s="515"/>
      <c r="D86" s="515"/>
      <c r="E86" s="515"/>
      <c r="F86" s="515"/>
      <c r="G86" s="515"/>
      <c r="H86" s="515"/>
      <c r="I86" s="515"/>
      <c r="J86" s="515"/>
      <c r="K86" s="515"/>
      <c r="L86" s="515"/>
      <c r="M86" s="515"/>
      <c r="N86" s="515"/>
      <c r="O86" s="515"/>
      <c r="P86" s="515"/>
      <c r="Q86" s="515"/>
      <c r="R86" s="515"/>
      <c r="S86" s="515"/>
      <c r="T86" s="515"/>
      <c r="U86" s="515"/>
      <c r="V86" s="516"/>
      <c r="W86" s="516"/>
      <c r="X86" s="516"/>
      <c r="Y86" s="517"/>
      <c r="Z86" s="517"/>
      <c r="AA86" s="517"/>
      <c r="AB86" s="517"/>
      <c r="AC86" s="517"/>
      <c r="AD86" s="518"/>
      <c r="AF86" s="53"/>
    </row>
    <row r="87" spans="1:32" ht="30.75" customHeight="1" thickBot="1">
      <c r="A87" s="519">
        <v>3</v>
      </c>
      <c r="B87" s="520"/>
      <c r="C87" s="520"/>
      <c r="D87" s="520"/>
      <c r="E87" s="520"/>
      <c r="F87" s="520"/>
      <c r="G87" s="520"/>
      <c r="H87" s="520"/>
      <c r="I87" s="520"/>
      <c r="J87" s="520"/>
      <c r="K87" s="520"/>
      <c r="L87" s="520"/>
      <c r="M87" s="520"/>
      <c r="N87" s="520"/>
      <c r="O87" s="520"/>
      <c r="P87" s="520"/>
      <c r="Q87" s="520"/>
      <c r="R87" s="520"/>
      <c r="S87" s="520"/>
      <c r="T87" s="520"/>
      <c r="U87" s="520"/>
      <c r="V87" s="520"/>
      <c r="W87" s="520"/>
      <c r="X87" s="520"/>
      <c r="Y87" s="521"/>
      <c r="Z87" s="521"/>
      <c r="AA87" s="521"/>
      <c r="AB87" s="521"/>
      <c r="AC87" s="521"/>
      <c r="AD87" s="522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T11" sqref="T11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881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367" t="s">
        <v>17</v>
      </c>
      <c r="L5" s="367" t="s">
        <v>18</v>
      </c>
      <c r="M5" s="367" t="s">
        <v>19</v>
      </c>
      <c r="N5" s="36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6.0835789205791801E-2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145</v>
      </c>
      <c r="E7" s="56" t="s">
        <v>638</v>
      </c>
      <c r="F7" s="12" t="s">
        <v>180</v>
      </c>
      <c r="G7" s="36">
        <v>2</v>
      </c>
      <c r="H7" s="38">
        <v>25</v>
      </c>
      <c r="I7" s="7">
        <v>5000</v>
      </c>
      <c r="J7" s="14">
        <v>4370</v>
      </c>
      <c r="K7" s="15">
        <f>L7+7082+4364</f>
        <v>11446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6.0835789205791801E-2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652</v>
      </c>
      <c r="D8" s="55" t="s">
        <v>653</v>
      </c>
      <c r="E8" s="57" t="s">
        <v>654</v>
      </c>
      <c r="F8" s="12">
        <v>7301</v>
      </c>
      <c r="G8" s="36" t="s">
        <v>476</v>
      </c>
      <c r="H8" s="38">
        <v>25</v>
      </c>
      <c r="I8" s="7">
        <v>1000</v>
      </c>
      <c r="J8" s="14">
        <v>1300</v>
      </c>
      <c r="K8" s="15">
        <f>L8+1957+1293</f>
        <v>3250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6.0835789205791801E-2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127</v>
      </c>
      <c r="D9" s="55" t="s">
        <v>747</v>
      </c>
      <c r="E9" s="57" t="s">
        <v>748</v>
      </c>
      <c r="F9" s="12" t="s">
        <v>749</v>
      </c>
      <c r="G9" s="12">
        <v>32</v>
      </c>
      <c r="H9" s="13">
        <v>20</v>
      </c>
      <c r="I9" s="34">
        <v>80000</v>
      </c>
      <c r="J9" s="5">
        <v>180200</v>
      </c>
      <c r="K9" s="15">
        <f>L9+188320+180192</f>
        <v>368512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6.0835789205791801E-2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201</v>
      </c>
      <c r="D10" s="55" t="s">
        <v>779</v>
      </c>
      <c r="E10" s="57" t="s">
        <v>780</v>
      </c>
      <c r="F10" s="12" t="s">
        <v>781</v>
      </c>
      <c r="G10" s="12">
        <v>1</v>
      </c>
      <c r="H10" s="13">
        <v>25</v>
      </c>
      <c r="I10" s="34">
        <v>220</v>
      </c>
      <c r="J10" s="14">
        <v>421</v>
      </c>
      <c r="K10" s="15">
        <f>L10+421</f>
        <v>421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6.0835789205791801E-2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782</v>
      </c>
      <c r="F11" s="12" t="s">
        <v>136</v>
      </c>
      <c r="G11" s="12">
        <v>1</v>
      </c>
      <c r="H11" s="13">
        <v>25</v>
      </c>
      <c r="I11" s="34">
        <v>6000</v>
      </c>
      <c r="J11" s="14">
        <v>1240</v>
      </c>
      <c r="K11" s="15">
        <f>L11+1628+2927</f>
        <v>5788</v>
      </c>
      <c r="L11" s="15">
        <v>1233</v>
      </c>
      <c r="M11" s="16">
        <f t="shared" si="0"/>
        <v>1233</v>
      </c>
      <c r="N11" s="16">
        <v>0</v>
      </c>
      <c r="O11" s="62">
        <f t="shared" si="1"/>
        <v>0</v>
      </c>
      <c r="P11" s="42">
        <f t="shared" si="2"/>
        <v>7</v>
      </c>
      <c r="Q11" s="43">
        <f t="shared" si="3"/>
        <v>17</v>
      </c>
      <c r="R11" s="7"/>
      <c r="S11" s="6">
        <v>17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0.99435483870967745</v>
      </c>
      <c r="AC11" s="9">
        <f t="shared" si="5"/>
        <v>0.29166666666666669</v>
      </c>
      <c r="AD11" s="10">
        <f t="shared" si="6"/>
        <v>0.2900201612903226</v>
      </c>
      <c r="AE11" s="39">
        <f t="shared" si="7"/>
        <v>6.0835789205791801E-2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723</v>
      </c>
      <c r="E12" s="57" t="s">
        <v>724</v>
      </c>
      <c r="F12" s="12">
        <v>7301</v>
      </c>
      <c r="G12" s="12">
        <v>1</v>
      </c>
      <c r="H12" s="13">
        <v>25</v>
      </c>
      <c r="I12" s="34">
        <v>100</v>
      </c>
      <c r="J12" s="5">
        <v>301</v>
      </c>
      <c r="K12" s="15">
        <f>L12+301</f>
        <v>301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6.0835789205791801E-2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381</v>
      </c>
      <c r="E13" s="57" t="s">
        <v>833</v>
      </c>
      <c r="F13" s="12" t="s">
        <v>785</v>
      </c>
      <c r="G13" s="12">
        <v>1</v>
      </c>
      <c r="H13" s="13">
        <v>25</v>
      </c>
      <c r="I13" s="7">
        <v>11000</v>
      </c>
      <c r="J13" s="14">
        <v>620</v>
      </c>
      <c r="K13" s="15">
        <f>L13</f>
        <v>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>
        <v>24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6.0835789205791801E-2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560</v>
      </c>
      <c r="F14" s="33" t="s">
        <v>561</v>
      </c>
      <c r="G14" s="36">
        <v>1</v>
      </c>
      <c r="H14" s="38">
        <v>50</v>
      </c>
      <c r="I14" s="7">
        <v>100</v>
      </c>
      <c r="J14" s="5">
        <v>470</v>
      </c>
      <c r="K14" s="15">
        <f>L14+462</f>
        <v>462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6.0835789205791801E-2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154</v>
      </c>
      <c r="D15" s="55" t="s">
        <v>284</v>
      </c>
      <c r="E15" s="57" t="s">
        <v>430</v>
      </c>
      <c r="F15" s="12" t="s">
        <v>424</v>
      </c>
      <c r="G15" s="12">
        <v>1</v>
      </c>
      <c r="H15" s="13">
        <v>25</v>
      </c>
      <c r="I15" s="34">
        <v>200</v>
      </c>
      <c r="J15" s="5">
        <v>300</v>
      </c>
      <c r="K15" s="15">
        <f>L15+2138+3980+300</f>
        <v>6418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/>
      <c r="X15" s="17"/>
      <c r="Y15" s="20"/>
      <c r="Z15" s="20"/>
      <c r="AA15" s="21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6.0835789205791801E-2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122</v>
      </c>
      <c r="D16" s="55" t="s">
        <v>752</v>
      </c>
      <c r="E16" s="57" t="s">
        <v>753</v>
      </c>
      <c r="F16" s="12">
        <v>7301</v>
      </c>
      <c r="G16" s="36">
        <v>1</v>
      </c>
      <c r="H16" s="38">
        <v>25</v>
      </c>
      <c r="I16" s="7">
        <v>1000</v>
      </c>
      <c r="J16" s="14">
        <v>1080</v>
      </c>
      <c r="K16" s="15">
        <f>L16+1075</f>
        <v>1075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6.0835789205791801E-2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411</v>
      </c>
      <c r="D17" s="55" t="s">
        <v>726</v>
      </c>
      <c r="E17" s="56" t="s">
        <v>727</v>
      </c>
      <c r="F17" s="12">
        <v>8301</v>
      </c>
      <c r="G17" s="12">
        <v>1</v>
      </c>
      <c r="H17" s="13">
        <v>25</v>
      </c>
      <c r="I17" s="34">
        <v>100</v>
      </c>
      <c r="J17" s="5">
        <v>236</v>
      </c>
      <c r="K17" s="15">
        <f>L17+236</f>
        <v>236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6.0835789205791801E-2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341</v>
      </c>
      <c r="D18" s="55" t="s">
        <v>830</v>
      </c>
      <c r="E18" s="57" t="s">
        <v>831</v>
      </c>
      <c r="F18" s="12" t="s">
        <v>832</v>
      </c>
      <c r="G18" s="12">
        <v>1</v>
      </c>
      <c r="H18" s="13">
        <v>25</v>
      </c>
      <c r="I18" s="34">
        <v>11000</v>
      </c>
      <c r="J18" s="5">
        <v>620</v>
      </c>
      <c r="K18" s="15">
        <f>L18</f>
        <v>611</v>
      </c>
      <c r="L18" s="15">
        <v>611</v>
      </c>
      <c r="M18" s="16">
        <f t="shared" si="0"/>
        <v>611</v>
      </c>
      <c r="N18" s="16">
        <v>0</v>
      </c>
      <c r="O18" s="62">
        <f t="shared" si="1"/>
        <v>0</v>
      </c>
      <c r="P18" s="42">
        <f t="shared" si="2"/>
        <v>4</v>
      </c>
      <c r="Q18" s="43">
        <f t="shared" si="3"/>
        <v>20</v>
      </c>
      <c r="R18" s="7"/>
      <c r="S18" s="6"/>
      <c r="T18" s="17">
        <v>6</v>
      </c>
      <c r="U18" s="17"/>
      <c r="V18" s="18">
        <v>14</v>
      </c>
      <c r="W18" s="19"/>
      <c r="X18" s="17"/>
      <c r="Y18" s="20"/>
      <c r="Z18" s="20"/>
      <c r="AA18" s="21"/>
      <c r="AB18" s="8">
        <f t="shared" si="4"/>
        <v>0.98548387096774193</v>
      </c>
      <c r="AC18" s="9">
        <f t="shared" si="5"/>
        <v>0.16666666666666666</v>
      </c>
      <c r="AD18" s="10">
        <f t="shared" si="6"/>
        <v>0.16424731182795699</v>
      </c>
      <c r="AE18" s="39">
        <f t="shared" si="7"/>
        <v>6.0835789205791801E-2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58</v>
      </c>
      <c r="E19" s="57" t="s">
        <v>301</v>
      </c>
      <c r="F19" s="33" t="s">
        <v>126</v>
      </c>
      <c r="G19" s="36">
        <v>2</v>
      </c>
      <c r="H19" s="38">
        <v>25</v>
      </c>
      <c r="I19" s="34">
        <v>12000</v>
      </c>
      <c r="J19" s="5">
        <v>4350</v>
      </c>
      <c r="K19" s="15">
        <f>L19+8110+4344</f>
        <v>12454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>
        <v>24</v>
      </c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6.0835789205791801E-2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698</v>
      </c>
      <c r="F20" s="12" t="s">
        <v>120</v>
      </c>
      <c r="G20" s="12">
        <v>4</v>
      </c>
      <c r="H20" s="38">
        <v>20</v>
      </c>
      <c r="I20" s="7">
        <v>500000</v>
      </c>
      <c r="J20" s="14">
        <v>28660</v>
      </c>
      <c r="K20" s="15">
        <f>35092+L20+26284+48172+54432+54784+54860</f>
        <v>302280</v>
      </c>
      <c r="L20" s="15">
        <f>7164*4</f>
        <v>28656</v>
      </c>
      <c r="M20" s="16">
        <f t="shared" si="0"/>
        <v>28656</v>
      </c>
      <c r="N20" s="16">
        <v>0</v>
      </c>
      <c r="O20" s="62">
        <f t="shared" si="1"/>
        <v>0</v>
      </c>
      <c r="P20" s="42">
        <f t="shared" si="2"/>
        <v>11</v>
      </c>
      <c r="Q20" s="43">
        <f t="shared" si="3"/>
        <v>13</v>
      </c>
      <c r="R20" s="7"/>
      <c r="S20" s="6"/>
      <c r="T20" s="17"/>
      <c r="U20" s="17"/>
      <c r="V20" s="18"/>
      <c r="W20" s="19">
        <v>13</v>
      </c>
      <c r="X20" s="17"/>
      <c r="Y20" s="20"/>
      <c r="Z20" s="20"/>
      <c r="AA20" s="21"/>
      <c r="AB20" s="8">
        <f t="shared" si="4"/>
        <v>0.9998604326587579</v>
      </c>
      <c r="AC20" s="9">
        <f t="shared" si="5"/>
        <v>0.45833333333333331</v>
      </c>
      <c r="AD20" s="10">
        <f t="shared" si="6"/>
        <v>0.45826936496859738</v>
      </c>
      <c r="AE20" s="39">
        <f t="shared" si="7"/>
        <v>6.0835789205791801E-2</v>
      </c>
      <c r="AF20" s="94">
        <f t="shared" si="8"/>
        <v>15</v>
      </c>
    </row>
    <row r="21" spans="1:32" ht="31.5" customHeight="1" thickBot="1">
      <c r="A21" s="430" t="s">
        <v>34</v>
      </c>
      <c r="B21" s="431"/>
      <c r="C21" s="431"/>
      <c r="D21" s="431"/>
      <c r="E21" s="431"/>
      <c r="F21" s="431"/>
      <c r="G21" s="431"/>
      <c r="H21" s="432"/>
      <c r="I21" s="25">
        <f t="shared" ref="I21:N21" si="10">SUM(I6:I20)</f>
        <v>631720</v>
      </c>
      <c r="J21" s="22">
        <f t="shared" si="10"/>
        <v>230308</v>
      </c>
      <c r="K21" s="23">
        <f t="shared" si="10"/>
        <v>719388</v>
      </c>
      <c r="L21" s="24">
        <f t="shared" si="10"/>
        <v>30500</v>
      </c>
      <c r="M21" s="23">
        <f t="shared" si="10"/>
        <v>30500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22</v>
      </c>
      <c r="Q21" s="46">
        <f t="shared" si="11"/>
        <v>338</v>
      </c>
      <c r="R21" s="26">
        <f t="shared" si="11"/>
        <v>24</v>
      </c>
      <c r="S21" s="27">
        <f t="shared" si="11"/>
        <v>41</v>
      </c>
      <c r="T21" s="27">
        <f t="shared" si="11"/>
        <v>6</v>
      </c>
      <c r="U21" s="27">
        <f t="shared" si="11"/>
        <v>0</v>
      </c>
      <c r="V21" s="28">
        <f t="shared" si="11"/>
        <v>14</v>
      </c>
      <c r="W21" s="29">
        <f t="shared" si="11"/>
        <v>229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24</v>
      </c>
      <c r="AB21" s="31">
        <f>SUM(AB6:AB20)/15</f>
        <v>0.1986466094890785</v>
      </c>
      <c r="AC21" s="4">
        <f>SUM(AC6:AC20)/15</f>
        <v>6.1111111111111116E-2</v>
      </c>
      <c r="AD21" s="4">
        <f>SUM(AD6:AD20)/15</f>
        <v>6.0835789205791801E-2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33" t="s">
        <v>46</v>
      </c>
      <c r="B48" s="433"/>
      <c r="C48" s="433"/>
      <c r="D48" s="433"/>
      <c r="E48" s="43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4" t="s">
        <v>834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6"/>
      <c r="N49" s="437" t="s">
        <v>840</v>
      </c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9"/>
    </row>
    <row r="50" spans="1:32" ht="27" customHeight="1">
      <c r="A50" s="440" t="s">
        <v>2</v>
      </c>
      <c r="B50" s="441"/>
      <c r="C50" s="368" t="s">
        <v>47</v>
      </c>
      <c r="D50" s="368" t="s">
        <v>48</v>
      </c>
      <c r="E50" s="368" t="s">
        <v>113</v>
      </c>
      <c r="F50" s="441" t="s">
        <v>112</v>
      </c>
      <c r="G50" s="441"/>
      <c r="H50" s="441"/>
      <c r="I50" s="441"/>
      <c r="J50" s="441"/>
      <c r="K50" s="441"/>
      <c r="L50" s="441"/>
      <c r="M50" s="442"/>
      <c r="N50" s="73" t="s">
        <v>117</v>
      </c>
      <c r="O50" s="368" t="s">
        <v>47</v>
      </c>
      <c r="P50" s="443" t="s">
        <v>48</v>
      </c>
      <c r="Q50" s="444"/>
      <c r="R50" s="443" t="s">
        <v>39</v>
      </c>
      <c r="S50" s="445"/>
      <c r="T50" s="445"/>
      <c r="U50" s="444"/>
      <c r="V50" s="443" t="s">
        <v>49</v>
      </c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64" t="s">
        <v>793</v>
      </c>
      <c r="B51" s="463"/>
      <c r="C51" s="370" t="s">
        <v>207</v>
      </c>
      <c r="D51" s="370" t="s">
        <v>794</v>
      </c>
      <c r="E51" s="369" t="s">
        <v>850</v>
      </c>
      <c r="F51" s="459" t="s">
        <v>835</v>
      </c>
      <c r="G51" s="459"/>
      <c r="H51" s="459"/>
      <c r="I51" s="459"/>
      <c r="J51" s="459"/>
      <c r="K51" s="459"/>
      <c r="L51" s="459"/>
      <c r="M51" s="460"/>
      <c r="N51" s="371" t="s">
        <v>815</v>
      </c>
      <c r="O51" s="74" t="s">
        <v>134</v>
      </c>
      <c r="P51" s="461" t="s">
        <v>816</v>
      </c>
      <c r="Q51" s="462"/>
      <c r="R51" s="463" t="s">
        <v>814</v>
      </c>
      <c r="S51" s="463"/>
      <c r="T51" s="463"/>
      <c r="U51" s="463"/>
      <c r="V51" s="459" t="s">
        <v>841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57" t="s">
        <v>201</v>
      </c>
      <c r="B52" s="458"/>
      <c r="C52" s="369" t="s">
        <v>346</v>
      </c>
      <c r="D52" s="370" t="s">
        <v>790</v>
      </c>
      <c r="E52" s="369" t="s">
        <v>831</v>
      </c>
      <c r="F52" s="459" t="s">
        <v>836</v>
      </c>
      <c r="G52" s="459"/>
      <c r="H52" s="459"/>
      <c r="I52" s="459"/>
      <c r="J52" s="459"/>
      <c r="K52" s="459"/>
      <c r="L52" s="459"/>
      <c r="M52" s="460"/>
      <c r="N52" s="371" t="s">
        <v>842</v>
      </c>
      <c r="O52" s="74" t="s">
        <v>337</v>
      </c>
      <c r="P52" s="461" t="s">
        <v>843</v>
      </c>
      <c r="Q52" s="462"/>
      <c r="R52" s="463" t="s">
        <v>844</v>
      </c>
      <c r="S52" s="463"/>
      <c r="T52" s="463"/>
      <c r="U52" s="463"/>
      <c r="V52" s="459" t="s">
        <v>818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57" t="s">
        <v>341</v>
      </c>
      <c r="B53" s="458"/>
      <c r="C53" s="369" t="s">
        <v>837</v>
      </c>
      <c r="D53" s="370" t="s">
        <v>838</v>
      </c>
      <c r="E53" s="369" t="s">
        <v>833</v>
      </c>
      <c r="F53" s="459" t="s">
        <v>839</v>
      </c>
      <c r="G53" s="459"/>
      <c r="H53" s="459"/>
      <c r="I53" s="459"/>
      <c r="J53" s="459"/>
      <c r="K53" s="459"/>
      <c r="L53" s="459"/>
      <c r="M53" s="460"/>
      <c r="N53" s="371" t="s">
        <v>846</v>
      </c>
      <c r="O53" s="74" t="s">
        <v>847</v>
      </c>
      <c r="P53" s="461" t="s">
        <v>848</v>
      </c>
      <c r="Q53" s="462"/>
      <c r="R53" s="463" t="s">
        <v>845</v>
      </c>
      <c r="S53" s="463"/>
      <c r="T53" s="463"/>
      <c r="U53" s="463"/>
      <c r="V53" s="459" t="s">
        <v>818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64"/>
      <c r="B54" s="463"/>
      <c r="C54" s="370"/>
      <c r="D54" s="370"/>
      <c r="E54" s="369"/>
      <c r="F54" s="459"/>
      <c r="G54" s="459"/>
      <c r="H54" s="459"/>
      <c r="I54" s="459"/>
      <c r="J54" s="459"/>
      <c r="K54" s="459"/>
      <c r="L54" s="459"/>
      <c r="M54" s="460"/>
      <c r="N54" s="371" t="s">
        <v>375</v>
      </c>
      <c r="O54" s="74" t="s">
        <v>376</v>
      </c>
      <c r="P54" s="461" t="s">
        <v>849</v>
      </c>
      <c r="Q54" s="462"/>
      <c r="R54" s="463" t="s">
        <v>851</v>
      </c>
      <c r="S54" s="463"/>
      <c r="T54" s="463"/>
      <c r="U54" s="463"/>
      <c r="V54" s="459" t="s">
        <v>841</v>
      </c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64"/>
      <c r="B55" s="463"/>
      <c r="C55" s="370"/>
      <c r="D55" s="370"/>
      <c r="E55" s="369"/>
      <c r="F55" s="459"/>
      <c r="G55" s="459"/>
      <c r="H55" s="459"/>
      <c r="I55" s="459"/>
      <c r="J55" s="459"/>
      <c r="K55" s="459"/>
      <c r="L55" s="459"/>
      <c r="M55" s="460"/>
      <c r="N55" s="371" t="s">
        <v>320</v>
      </c>
      <c r="O55" s="74" t="s">
        <v>852</v>
      </c>
      <c r="P55" s="461" t="s">
        <v>853</v>
      </c>
      <c r="Q55" s="462"/>
      <c r="R55" s="463" t="s">
        <v>854</v>
      </c>
      <c r="S55" s="463"/>
      <c r="T55" s="463"/>
      <c r="U55" s="463"/>
      <c r="V55" s="459" t="s">
        <v>818</v>
      </c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/>
      <c r="B56" s="463"/>
      <c r="C56" s="370"/>
      <c r="D56" s="370"/>
      <c r="E56" s="369"/>
      <c r="F56" s="459"/>
      <c r="G56" s="459"/>
      <c r="H56" s="459"/>
      <c r="I56" s="459"/>
      <c r="J56" s="459"/>
      <c r="K56" s="459"/>
      <c r="L56" s="459"/>
      <c r="M56" s="460"/>
      <c r="N56" s="371" t="s">
        <v>856</v>
      </c>
      <c r="O56" s="74" t="s">
        <v>857</v>
      </c>
      <c r="P56" s="463"/>
      <c r="Q56" s="463"/>
      <c r="R56" s="463" t="s">
        <v>855</v>
      </c>
      <c r="S56" s="463"/>
      <c r="T56" s="463"/>
      <c r="U56" s="463"/>
      <c r="V56" s="459" t="s">
        <v>818</v>
      </c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370"/>
      <c r="D57" s="370"/>
      <c r="E57" s="369"/>
      <c r="F57" s="459"/>
      <c r="G57" s="459"/>
      <c r="H57" s="459"/>
      <c r="I57" s="459"/>
      <c r="J57" s="459"/>
      <c r="K57" s="459"/>
      <c r="L57" s="459"/>
      <c r="M57" s="460"/>
      <c r="N57" s="371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57"/>
      <c r="B58" s="458"/>
      <c r="C58" s="369"/>
      <c r="D58" s="370"/>
      <c r="E58" s="369"/>
      <c r="F58" s="459"/>
      <c r="G58" s="459"/>
      <c r="H58" s="459"/>
      <c r="I58" s="459"/>
      <c r="J58" s="459"/>
      <c r="K58" s="459"/>
      <c r="L58" s="459"/>
      <c r="M58" s="460"/>
      <c r="N58" s="371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370"/>
      <c r="D59" s="370"/>
      <c r="E59" s="370"/>
      <c r="F59" s="459"/>
      <c r="G59" s="459"/>
      <c r="H59" s="459"/>
      <c r="I59" s="459"/>
      <c r="J59" s="459"/>
      <c r="K59" s="459"/>
      <c r="L59" s="459"/>
      <c r="M59" s="460"/>
      <c r="N59" s="371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  <c r="AF59" s="94">
        <f>8*3000</f>
        <v>24000</v>
      </c>
    </row>
    <row r="60" spans="1:32" ht="27" customHeight="1" thickBot="1">
      <c r="A60" s="465"/>
      <c r="B60" s="466"/>
      <c r="C60" s="373"/>
      <c r="D60" s="373"/>
      <c r="E60" s="373"/>
      <c r="F60" s="467"/>
      <c r="G60" s="467"/>
      <c r="H60" s="467"/>
      <c r="I60" s="467"/>
      <c r="J60" s="467"/>
      <c r="K60" s="467"/>
      <c r="L60" s="467"/>
      <c r="M60" s="468"/>
      <c r="N60" s="372"/>
      <c r="O60" s="121"/>
      <c r="P60" s="466"/>
      <c r="Q60" s="466"/>
      <c r="R60" s="466"/>
      <c r="S60" s="466"/>
      <c r="T60" s="466"/>
      <c r="U60" s="466"/>
      <c r="V60" s="467"/>
      <c r="W60" s="467"/>
      <c r="X60" s="467"/>
      <c r="Y60" s="467"/>
      <c r="Z60" s="467"/>
      <c r="AA60" s="467"/>
      <c r="AB60" s="467"/>
      <c r="AC60" s="467"/>
      <c r="AD60" s="468"/>
      <c r="AF60" s="94">
        <f>16*3000</f>
        <v>48000</v>
      </c>
    </row>
    <row r="61" spans="1:32" ht="27.75" thickBot="1">
      <c r="A61" s="469" t="s">
        <v>858</v>
      </c>
      <c r="B61" s="469"/>
      <c r="C61" s="469"/>
      <c r="D61" s="469"/>
      <c r="E61" s="469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70" t="s">
        <v>118</v>
      </c>
      <c r="B62" s="471"/>
      <c r="C62" s="374" t="s">
        <v>2</v>
      </c>
      <c r="D62" s="374" t="s">
        <v>38</v>
      </c>
      <c r="E62" s="374" t="s">
        <v>3</v>
      </c>
      <c r="F62" s="471" t="s">
        <v>115</v>
      </c>
      <c r="G62" s="471"/>
      <c r="H62" s="471"/>
      <c r="I62" s="471"/>
      <c r="J62" s="471"/>
      <c r="K62" s="471" t="s">
        <v>40</v>
      </c>
      <c r="L62" s="471"/>
      <c r="M62" s="374" t="s">
        <v>41</v>
      </c>
      <c r="N62" s="471" t="s">
        <v>42</v>
      </c>
      <c r="O62" s="471"/>
      <c r="P62" s="472" t="s">
        <v>43</v>
      </c>
      <c r="Q62" s="473"/>
      <c r="R62" s="472" t="s">
        <v>44</v>
      </c>
      <c r="S62" s="474"/>
      <c r="T62" s="474"/>
      <c r="U62" s="474"/>
      <c r="V62" s="474"/>
      <c r="W62" s="474"/>
      <c r="X62" s="474"/>
      <c r="Y62" s="474"/>
      <c r="Z62" s="474"/>
      <c r="AA62" s="473"/>
      <c r="AB62" s="471" t="s">
        <v>45</v>
      </c>
      <c r="AC62" s="471"/>
      <c r="AD62" s="475"/>
      <c r="AF62" s="94">
        <f>SUM(AF59:AF61)</f>
        <v>96000</v>
      </c>
    </row>
    <row r="63" spans="1:32" ht="25.5" customHeight="1">
      <c r="A63" s="476">
        <v>1</v>
      </c>
      <c r="B63" s="477"/>
      <c r="C63" s="133" t="s">
        <v>859</v>
      </c>
      <c r="D63" s="377"/>
      <c r="E63" s="375" t="s">
        <v>830</v>
      </c>
      <c r="F63" s="478" t="s">
        <v>860</v>
      </c>
      <c r="G63" s="479"/>
      <c r="H63" s="479"/>
      <c r="I63" s="479"/>
      <c r="J63" s="479"/>
      <c r="K63" s="479" t="s">
        <v>861</v>
      </c>
      <c r="L63" s="479"/>
      <c r="M63" s="54" t="s">
        <v>862</v>
      </c>
      <c r="N63" s="479">
        <v>5</v>
      </c>
      <c r="O63" s="479"/>
      <c r="P63" s="480">
        <v>30</v>
      </c>
      <c r="Q63" s="480"/>
      <c r="R63" s="459"/>
      <c r="S63" s="459"/>
      <c r="T63" s="459"/>
      <c r="U63" s="459"/>
      <c r="V63" s="459"/>
      <c r="W63" s="459"/>
      <c r="X63" s="459"/>
      <c r="Y63" s="459"/>
      <c r="Z63" s="459"/>
      <c r="AA63" s="459"/>
      <c r="AB63" s="479"/>
      <c r="AC63" s="479"/>
      <c r="AD63" s="481"/>
      <c r="AF63" s="53"/>
    </row>
    <row r="64" spans="1:32" ht="25.5" customHeight="1">
      <c r="A64" s="476">
        <v>2</v>
      </c>
      <c r="B64" s="477"/>
      <c r="C64" s="133" t="s">
        <v>859</v>
      </c>
      <c r="D64" s="377"/>
      <c r="E64" s="375" t="s">
        <v>830</v>
      </c>
      <c r="F64" s="478" t="s">
        <v>860</v>
      </c>
      <c r="G64" s="479"/>
      <c r="H64" s="479"/>
      <c r="I64" s="479"/>
      <c r="J64" s="479"/>
      <c r="K64" s="479" t="s">
        <v>861</v>
      </c>
      <c r="L64" s="479"/>
      <c r="M64" s="54" t="s">
        <v>862</v>
      </c>
      <c r="N64" s="479">
        <v>13</v>
      </c>
      <c r="O64" s="479"/>
      <c r="P64" s="480">
        <v>30</v>
      </c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  <c r="AF64" s="53"/>
    </row>
    <row r="65" spans="1:32" ht="25.5" customHeight="1">
      <c r="A65" s="476">
        <v>3</v>
      </c>
      <c r="B65" s="477"/>
      <c r="C65" s="133" t="s">
        <v>341</v>
      </c>
      <c r="D65" s="377"/>
      <c r="E65" s="375" t="s">
        <v>863</v>
      </c>
      <c r="F65" s="478" t="s">
        <v>864</v>
      </c>
      <c r="G65" s="479"/>
      <c r="H65" s="479"/>
      <c r="I65" s="479"/>
      <c r="J65" s="479"/>
      <c r="K65" s="479" t="s">
        <v>865</v>
      </c>
      <c r="L65" s="479"/>
      <c r="M65" s="54" t="s">
        <v>866</v>
      </c>
      <c r="N65" s="479">
        <v>4</v>
      </c>
      <c r="O65" s="479"/>
      <c r="P65" s="480">
        <v>30</v>
      </c>
      <c r="Q65" s="480"/>
      <c r="R65" s="459" t="s">
        <v>867</v>
      </c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4</v>
      </c>
      <c r="B66" s="477"/>
      <c r="C66" s="133" t="s">
        <v>341</v>
      </c>
      <c r="D66" s="377"/>
      <c r="E66" s="375" t="s">
        <v>868</v>
      </c>
      <c r="F66" s="479" t="s">
        <v>869</v>
      </c>
      <c r="G66" s="479"/>
      <c r="H66" s="479"/>
      <c r="I66" s="479"/>
      <c r="J66" s="479"/>
      <c r="K66" s="479">
        <v>8301</v>
      </c>
      <c r="L66" s="479"/>
      <c r="M66" s="54" t="s">
        <v>866</v>
      </c>
      <c r="N66" s="479">
        <v>6</v>
      </c>
      <c r="O66" s="479"/>
      <c r="P66" s="480">
        <v>30</v>
      </c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5</v>
      </c>
      <c r="B67" s="477"/>
      <c r="C67" s="133" t="s">
        <v>341</v>
      </c>
      <c r="D67" s="377"/>
      <c r="E67" s="375" t="s">
        <v>870</v>
      </c>
      <c r="F67" s="479" t="s">
        <v>871</v>
      </c>
      <c r="G67" s="479"/>
      <c r="H67" s="479"/>
      <c r="I67" s="479"/>
      <c r="J67" s="479"/>
      <c r="K67" s="479" t="s">
        <v>865</v>
      </c>
      <c r="L67" s="479"/>
      <c r="M67" s="54" t="s">
        <v>866</v>
      </c>
      <c r="N67" s="479" t="s">
        <v>872</v>
      </c>
      <c r="O67" s="479"/>
      <c r="P67" s="480">
        <v>30</v>
      </c>
      <c r="Q67" s="480"/>
      <c r="R67" s="459" t="s">
        <v>873</v>
      </c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6</v>
      </c>
      <c r="B68" s="477"/>
      <c r="C68" s="133" t="s">
        <v>874</v>
      </c>
      <c r="D68" s="377"/>
      <c r="E68" s="375" t="s">
        <v>875</v>
      </c>
      <c r="F68" s="478" t="s">
        <v>876</v>
      </c>
      <c r="G68" s="479"/>
      <c r="H68" s="479"/>
      <c r="I68" s="479"/>
      <c r="J68" s="479"/>
      <c r="K68" s="479" t="s">
        <v>877</v>
      </c>
      <c r="L68" s="479"/>
      <c r="M68" s="54" t="s">
        <v>878</v>
      </c>
      <c r="N68" s="479">
        <v>12</v>
      </c>
      <c r="O68" s="479"/>
      <c r="P68" s="480">
        <v>40</v>
      </c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7</v>
      </c>
      <c r="B69" s="477"/>
      <c r="C69" s="133"/>
      <c r="D69" s="377"/>
      <c r="E69" s="375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8</v>
      </c>
      <c r="B70" s="477"/>
      <c r="C70" s="133"/>
      <c r="D70" s="377"/>
      <c r="E70" s="375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6.25" customHeight="1" thickBot="1">
      <c r="A71" s="482" t="s">
        <v>879</v>
      </c>
      <c r="B71" s="482"/>
      <c r="C71" s="482"/>
      <c r="D71" s="482"/>
      <c r="E71" s="48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83" t="s">
        <v>118</v>
      </c>
      <c r="B72" s="484"/>
      <c r="C72" s="376" t="s">
        <v>2</v>
      </c>
      <c r="D72" s="376" t="s">
        <v>38</v>
      </c>
      <c r="E72" s="376" t="s">
        <v>3</v>
      </c>
      <c r="F72" s="484" t="s">
        <v>39</v>
      </c>
      <c r="G72" s="484"/>
      <c r="H72" s="484"/>
      <c r="I72" s="484"/>
      <c r="J72" s="484"/>
      <c r="K72" s="485" t="s">
        <v>60</v>
      </c>
      <c r="L72" s="486"/>
      <c r="M72" s="486"/>
      <c r="N72" s="486"/>
      <c r="O72" s="486"/>
      <c r="P72" s="486"/>
      <c r="Q72" s="486"/>
      <c r="R72" s="486"/>
      <c r="S72" s="487"/>
      <c r="T72" s="484" t="s">
        <v>50</v>
      </c>
      <c r="U72" s="484"/>
      <c r="V72" s="485" t="s">
        <v>51</v>
      </c>
      <c r="W72" s="487"/>
      <c r="X72" s="486" t="s">
        <v>52</v>
      </c>
      <c r="Y72" s="486"/>
      <c r="Z72" s="486"/>
      <c r="AA72" s="486"/>
      <c r="AB72" s="486"/>
      <c r="AC72" s="486"/>
      <c r="AD72" s="488"/>
      <c r="AF72" s="53"/>
    </row>
    <row r="73" spans="1:32" ht="33.75" customHeight="1">
      <c r="A73" s="497">
        <v>1</v>
      </c>
      <c r="B73" s="498"/>
      <c r="C73" s="378" t="s">
        <v>122</v>
      </c>
      <c r="D73" s="378"/>
      <c r="E73" s="71" t="s">
        <v>556</v>
      </c>
      <c r="F73" s="499" t="s">
        <v>557</v>
      </c>
      <c r="G73" s="500"/>
      <c r="H73" s="500"/>
      <c r="I73" s="500"/>
      <c r="J73" s="501"/>
      <c r="K73" s="502" t="s">
        <v>141</v>
      </c>
      <c r="L73" s="503"/>
      <c r="M73" s="503"/>
      <c r="N73" s="503"/>
      <c r="O73" s="503"/>
      <c r="P73" s="503"/>
      <c r="Q73" s="503"/>
      <c r="R73" s="503"/>
      <c r="S73" s="504"/>
      <c r="T73" s="505">
        <v>42873</v>
      </c>
      <c r="U73" s="506"/>
      <c r="V73" s="507"/>
      <c r="W73" s="507"/>
      <c r="X73" s="508"/>
      <c r="Y73" s="508"/>
      <c r="Z73" s="508"/>
      <c r="AA73" s="508"/>
      <c r="AB73" s="508"/>
      <c r="AC73" s="508"/>
      <c r="AD73" s="509"/>
      <c r="AF73" s="53"/>
    </row>
    <row r="74" spans="1:32" ht="30" customHeight="1">
      <c r="A74" s="489">
        <f>A73+1</f>
        <v>2</v>
      </c>
      <c r="B74" s="490"/>
      <c r="C74" s="377" t="s">
        <v>122</v>
      </c>
      <c r="D74" s="377"/>
      <c r="E74" s="35" t="s">
        <v>388</v>
      </c>
      <c r="F74" s="490" t="s">
        <v>394</v>
      </c>
      <c r="G74" s="490"/>
      <c r="H74" s="490"/>
      <c r="I74" s="490"/>
      <c r="J74" s="490"/>
      <c r="K74" s="491" t="s">
        <v>522</v>
      </c>
      <c r="L74" s="492"/>
      <c r="M74" s="492"/>
      <c r="N74" s="492"/>
      <c r="O74" s="492"/>
      <c r="P74" s="492"/>
      <c r="Q74" s="492"/>
      <c r="R74" s="492"/>
      <c r="S74" s="493"/>
      <c r="T74" s="494">
        <v>42867</v>
      </c>
      <c r="U74" s="494"/>
      <c r="V74" s="494"/>
      <c r="W74" s="494"/>
      <c r="X74" s="495"/>
      <c r="Y74" s="495"/>
      <c r="Z74" s="495"/>
      <c r="AA74" s="495"/>
      <c r="AB74" s="495"/>
      <c r="AC74" s="495"/>
      <c r="AD74" s="496"/>
      <c r="AF74" s="53"/>
    </row>
    <row r="75" spans="1:32" ht="30" customHeight="1">
      <c r="A75" s="489">
        <f t="shared" ref="A75:A81" si="12">A74+1</f>
        <v>3</v>
      </c>
      <c r="B75" s="490"/>
      <c r="C75" s="377" t="s">
        <v>127</v>
      </c>
      <c r="D75" s="377"/>
      <c r="E75" s="35" t="s">
        <v>121</v>
      </c>
      <c r="F75" s="490" t="s">
        <v>585</v>
      </c>
      <c r="G75" s="490"/>
      <c r="H75" s="490"/>
      <c r="I75" s="490"/>
      <c r="J75" s="490"/>
      <c r="K75" s="491" t="s">
        <v>61</v>
      </c>
      <c r="L75" s="492"/>
      <c r="M75" s="492"/>
      <c r="N75" s="492"/>
      <c r="O75" s="492"/>
      <c r="P75" s="492"/>
      <c r="Q75" s="492"/>
      <c r="R75" s="492"/>
      <c r="S75" s="493"/>
      <c r="T75" s="494">
        <v>42874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si="12"/>
        <v>4</v>
      </c>
      <c r="B76" s="490"/>
      <c r="C76" s="377" t="s">
        <v>122</v>
      </c>
      <c r="D76" s="377"/>
      <c r="E76" s="35" t="s">
        <v>623</v>
      </c>
      <c r="F76" s="490" t="s">
        <v>151</v>
      </c>
      <c r="G76" s="490"/>
      <c r="H76" s="490"/>
      <c r="I76" s="490"/>
      <c r="J76" s="490"/>
      <c r="K76" s="491" t="s">
        <v>689</v>
      </c>
      <c r="L76" s="492"/>
      <c r="M76" s="492"/>
      <c r="N76" s="492"/>
      <c r="O76" s="492"/>
      <c r="P76" s="492"/>
      <c r="Q76" s="492"/>
      <c r="R76" s="492"/>
      <c r="S76" s="493"/>
      <c r="T76" s="494">
        <v>42874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12"/>
        <v>5</v>
      </c>
      <c r="B77" s="490"/>
      <c r="C77" s="377"/>
      <c r="D77" s="377"/>
      <c r="E77" s="35"/>
      <c r="F77" s="490"/>
      <c r="G77" s="490"/>
      <c r="H77" s="490"/>
      <c r="I77" s="490"/>
      <c r="J77" s="490"/>
      <c r="K77" s="491"/>
      <c r="L77" s="492"/>
      <c r="M77" s="492"/>
      <c r="N77" s="492"/>
      <c r="O77" s="492"/>
      <c r="P77" s="492"/>
      <c r="Q77" s="492"/>
      <c r="R77" s="492"/>
      <c r="S77" s="493"/>
      <c r="T77" s="494"/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12"/>
        <v>6</v>
      </c>
      <c r="B78" s="490"/>
      <c r="C78" s="377"/>
      <c r="D78" s="377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12"/>
        <v>7</v>
      </c>
      <c r="B79" s="490"/>
      <c r="C79" s="377"/>
      <c r="D79" s="377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12"/>
        <v>8</v>
      </c>
      <c r="B80" s="490"/>
      <c r="C80" s="377"/>
      <c r="D80" s="377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12"/>
        <v>9</v>
      </c>
      <c r="B81" s="490"/>
      <c r="C81" s="377"/>
      <c r="D81" s="377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6" thickBot="1">
      <c r="A82" s="482" t="s">
        <v>880</v>
      </c>
      <c r="B82" s="482"/>
      <c r="C82" s="482"/>
      <c r="D82" s="482"/>
      <c r="E82" s="48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510" t="s">
        <v>37</v>
      </c>
      <c r="B83" s="511"/>
      <c r="C83" s="511" t="s">
        <v>53</v>
      </c>
      <c r="D83" s="511"/>
      <c r="E83" s="511" t="s">
        <v>54</v>
      </c>
      <c r="F83" s="511"/>
      <c r="G83" s="511"/>
      <c r="H83" s="511"/>
      <c r="I83" s="511"/>
      <c r="J83" s="511"/>
      <c r="K83" s="511" t="s">
        <v>55</v>
      </c>
      <c r="L83" s="511"/>
      <c r="M83" s="511"/>
      <c r="N83" s="511"/>
      <c r="O83" s="511"/>
      <c r="P83" s="511"/>
      <c r="Q83" s="511"/>
      <c r="R83" s="511"/>
      <c r="S83" s="511"/>
      <c r="T83" s="511" t="s">
        <v>56</v>
      </c>
      <c r="U83" s="511"/>
      <c r="V83" s="511" t="s">
        <v>57</v>
      </c>
      <c r="W83" s="511"/>
      <c r="X83" s="511"/>
      <c r="Y83" s="511" t="s">
        <v>52</v>
      </c>
      <c r="Z83" s="511"/>
      <c r="AA83" s="511"/>
      <c r="AB83" s="511"/>
      <c r="AC83" s="511"/>
      <c r="AD83" s="512"/>
      <c r="AF83" s="53"/>
    </row>
    <row r="84" spans="1:32" ht="30.75" customHeight="1">
      <c r="A84" s="513">
        <v>1</v>
      </c>
      <c r="B84" s="514"/>
      <c r="C84" s="515">
        <v>14</v>
      </c>
      <c r="D84" s="515"/>
      <c r="E84" s="515" t="s">
        <v>719</v>
      </c>
      <c r="F84" s="515"/>
      <c r="G84" s="515"/>
      <c r="H84" s="515"/>
      <c r="I84" s="515"/>
      <c r="J84" s="515"/>
      <c r="K84" s="515"/>
      <c r="L84" s="515"/>
      <c r="M84" s="515"/>
      <c r="N84" s="515"/>
      <c r="O84" s="515"/>
      <c r="P84" s="515"/>
      <c r="Q84" s="515"/>
      <c r="R84" s="515"/>
      <c r="S84" s="515"/>
      <c r="T84" s="515" t="s">
        <v>552</v>
      </c>
      <c r="U84" s="515"/>
      <c r="V84" s="516"/>
      <c r="W84" s="516"/>
      <c r="X84" s="516"/>
      <c r="Y84" s="517"/>
      <c r="Z84" s="517"/>
      <c r="AA84" s="517"/>
      <c r="AB84" s="517"/>
      <c r="AC84" s="517"/>
      <c r="AD84" s="518"/>
      <c r="AF84" s="53"/>
    </row>
    <row r="85" spans="1:32" ht="30.75" customHeight="1">
      <c r="A85" s="489">
        <v>2</v>
      </c>
      <c r="B85" s="490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 thickBot="1">
      <c r="A86" s="519">
        <v>3</v>
      </c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1"/>
      <c r="Z86" s="521"/>
      <c r="AA86" s="521"/>
      <c r="AB86" s="521"/>
      <c r="AC86" s="521"/>
      <c r="AD86" s="522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U13" sqref="U1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882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390" t="s">
        <v>17</v>
      </c>
      <c r="L5" s="390" t="s">
        <v>18</v>
      </c>
      <c r="M5" s="390" t="s">
        <v>19</v>
      </c>
      <c r="N5" s="39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0.40778885837766876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145</v>
      </c>
      <c r="E7" s="56" t="s">
        <v>638</v>
      </c>
      <c r="F7" s="12" t="s">
        <v>180</v>
      </c>
      <c r="G7" s="36">
        <v>2</v>
      </c>
      <c r="H7" s="38">
        <v>25</v>
      </c>
      <c r="I7" s="7">
        <v>5000</v>
      </c>
      <c r="J7" s="14">
        <v>4370</v>
      </c>
      <c r="K7" s="15">
        <f>L7+7082+4364</f>
        <v>11446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0.40778885837766876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127</v>
      </c>
      <c r="D8" s="55" t="s">
        <v>883</v>
      </c>
      <c r="E8" s="57" t="s">
        <v>884</v>
      </c>
      <c r="F8" s="12" t="s">
        <v>885</v>
      </c>
      <c r="G8" s="36">
        <v>1</v>
      </c>
      <c r="H8" s="38">
        <v>25</v>
      </c>
      <c r="I8" s="7">
        <v>1000</v>
      </c>
      <c r="J8" s="14">
        <v>3120</v>
      </c>
      <c r="K8" s="15">
        <f>L8</f>
        <v>3112</v>
      </c>
      <c r="L8" s="15">
        <f>560+2552</f>
        <v>3112</v>
      </c>
      <c r="M8" s="16">
        <f t="shared" si="0"/>
        <v>3112</v>
      </c>
      <c r="N8" s="16">
        <v>0</v>
      </c>
      <c r="O8" s="62">
        <f t="shared" si="1"/>
        <v>0</v>
      </c>
      <c r="P8" s="42">
        <f t="shared" si="2"/>
        <v>16</v>
      </c>
      <c r="Q8" s="43">
        <f t="shared" si="3"/>
        <v>8</v>
      </c>
      <c r="R8" s="7"/>
      <c r="S8" s="6">
        <v>8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0.99743589743589745</v>
      </c>
      <c r="AC8" s="9">
        <f t="shared" si="5"/>
        <v>0.66666666666666663</v>
      </c>
      <c r="AD8" s="10">
        <f t="shared" si="6"/>
        <v>0.66495726495726493</v>
      </c>
      <c r="AE8" s="39">
        <f t="shared" si="7"/>
        <v>0.40778885837766876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127</v>
      </c>
      <c r="D9" s="55" t="s">
        <v>886</v>
      </c>
      <c r="E9" s="57" t="s">
        <v>887</v>
      </c>
      <c r="F9" s="12" t="s">
        <v>888</v>
      </c>
      <c r="G9" s="12">
        <v>1</v>
      </c>
      <c r="H9" s="13">
        <v>20</v>
      </c>
      <c r="I9" s="34">
        <v>650</v>
      </c>
      <c r="J9" s="5">
        <v>1360</v>
      </c>
      <c r="K9" s="15">
        <f>L9</f>
        <v>1355</v>
      </c>
      <c r="L9" s="15">
        <f>755+600</f>
        <v>1355</v>
      </c>
      <c r="M9" s="16">
        <f t="shared" si="0"/>
        <v>1355</v>
      </c>
      <c r="N9" s="16">
        <v>0</v>
      </c>
      <c r="O9" s="62">
        <f t="shared" si="1"/>
        <v>0</v>
      </c>
      <c r="P9" s="42">
        <f t="shared" si="2"/>
        <v>8</v>
      </c>
      <c r="Q9" s="43">
        <f t="shared" si="3"/>
        <v>16</v>
      </c>
      <c r="R9" s="7"/>
      <c r="S9" s="6"/>
      <c r="T9" s="17"/>
      <c r="U9" s="17"/>
      <c r="V9" s="18"/>
      <c r="W9" s="19">
        <v>16</v>
      </c>
      <c r="X9" s="17"/>
      <c r="Y9" s="20"/>
      <c r="Z9" s="20"/>
      <c r="AA9" s="21"/>
      <c r="AB9" s="8">
        <f t="shared" si="4"/>
        <v>0.99632352941176472</v>
      </c>
      <c r="AC9" s="9">
        <f t="shared" si="5"/>
        <v>0.33333333333333331</v>
      </c>
      <c r="AD9" s="10">
        <f t="shared" si="6"/>
        <v>0.33210784313725489</v>
      </c>
      <c r="AE9" s="39">
        <f t="shared" si="7"/>
        <v>0.40778885837766876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206</v>
      </c>
      <c r="D10" s="55" t="s">
        <v>889</v>
      </c>
      <c r="E10" s="57" t="s">
        <v>890</v>
      </c>
      <c r="F10" s="12" t="s">
        <v>888</v>
      </c>
      <c r="G10" s="12">
        <v>1</v>
      </c>
      <c r="H10" s="13">
        <v>25</v>
      </c>
      <c r="I10" s="34">
        <v>2000</v>
      </c>
      <c r="J10" s="14">
        <v>2600</v>
      </c>
      <c r="K10" s="15">
        <f>L10</f>
        <v>2594</v>
      </c>
      <c r="L10" s="15">
        <f>1083+1511</f>
        <v>2594</v>
      </c>
      <c r="M10" s="16">
        <f t="shared" si="0"/>
        <v>2594</v>
      </c>
      <c r="N10" s="16">
        <v>0</v>
      </c>
      <c r="O10" s="62">
        <f t="shared" si="1"/>
        <v>0</v>
      </c>
      <c r="P10" s="42">
        <f t="shared" si="2"/>
        <v>18</v>
      </c>
      <c r="Q10" s="43">
        <f t="shared" si="3"/>
        <v>6</v>
      </c>
      <c r="R10" s="7"/>
      <c r="S10" s="6"/>
      <c r="T10" s="17"/>
      <c r="U10" s="17"/>
      <c r="V10" s="18"/>
      <c r="W10" s="19">
        <v>6</v>
      </c>
      <c r="X10" s="17"/>
      <c r="Y10" s="20"/>
      <c r="Z10" s="20"/>
      <c r="AA10" s="21"/>
      <c r="AB10" s="8">
        <f t="shared" si="4"/>
        <v>0.99769230769230766</v>
      </c>
      <c r="AC10" s="9">
        <f t="shared" si="5"/>
        <v>0.75</v>
      </c>
      <c r="AD10" s="10">
        <f t="shared" si="6"/>
        <v>0.74826923076923069</v>
      </c>
      <c r="AE10" s="39">
        <f t="shared" si="7"/>
        <v>0.40778885837766876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7" t="s">
        <v>782</v>
      </c>
      <c r="F11" s="12" t="s">
        <v>136</v>
      </c>
      <c r="G11" s="12">
        <v>1</v>
      </c>
      <c r="H11" s="13">
        <v>25</v>
      </c>
      <c r="I11" s="34">
        <v>6000</v>
      </c>
      <c r="J11" s="14">
        <v>1240</v>
      </c>
      <c r="K11" s="15">
        <f>L11+1628+2927+1233</f>
        <v>5788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0.40778885837766876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11" t="s">
        <v>122</v>
      </c>
      <c r="D12" s="55" t="s">
        <v>381</v>
      </c>
      <c r="E12" s="57" t="s">
        <v>833</v>
      </c>
      <c r="F12" s="12" t="s">
        <v>785</v>
      </c>
      <c r="G12" s="12">
        <v>1</v>
      </c>
      <c r="H12" s="13">
        <v>25</v>
      </c>
      <c r="I12" s="7">
        <v>11000</v>
      </c>
      <c r="J12" s="14">
        <v>3800</v>
      </c>
      <c r="K12" s="15">
        <f>L12</f>
        <v>3793</v>
      </c>
      <c r="L12" s="15">
        <f>1335+2458</f>
        <v>3793</v>
      </c>
      <c r="M12" s="16">
        <f t="shared" ref="M12" si="10">L12-N12</f>
        <v>3793</v>
      </c>
      <c r="N12" s="16">
        <v>0</v>
      </c>
      <c r="O12" s="62">
        <f t="shared" ref="O12" si="11">IF(L12=0,"0",N12/L12)</f>
        <v>0</v>
      </c>
      <c r="P12" s="42">
        <f t="shared" ref="P12" si="12">IF(L12=0,"0",(24-Q12))</f>
        <v>21</v>
      </c>
      <c r="Q12" s="43">
        <f t="shared" ref="Q12" si="13">SUM(R12:AA12)</f>
        <v>3</v>
      </c>
      <c r="R12" s="7"/>
      <c r="S12" s="6">
        <v>3</v>
      </c>
      <c r="T12" s="17"/>
      <c r="U12" s="17"/>
      <c r="V12" s="18"/>
      <c r="W12" s="19"/>
      <c r="X12" s="17"/>
      <c r="Y12" s="20"/>
      <c r="Z12" s="20"/>
      <c r="AA12" s="21"/>
      <c r="AB12" s="8">
        <f t="shared" ref="AB12" si="14">IF(J12=0,"0",(L12/J12))</f>
        <v>0.99815789473684213</v>
      </c>
      <c r="AC12" s="9">
        <f t="shared" ref="AC12" si="15">IF(P12=0,"0",(P12/24))</f>
        <v>0.875</v>
      </c>
      <c r="AD12" s="10">
        <f t="shared" ref="AD12" si="16">AC12*AB12*(1-O12)</f>
        <v>0.87338815789473689</v>
      </c>
      <c r="AE12" s="39">
        <f t="shared" si="7"/>
        <v>0.40778885837766876</v>
      </c>
      <c r="AF12" s="94">
        <f t="shared" ref="AF12" si="17">A12</f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381</v>
      </c>
      <c r="E13" s="57" t="s">
        <v>891</v>
      </c>
      <c r="F13" s="12" t="s">
        <v>785</v>
      </c>
      <c r="G13" s="12">
        <v>1</v>
      </c>
      <c r="H13" s="13">
        <v>25</v>
      </c>
      <c r="I13" s="7">
        <v>8000</v>
      </c>
      <c r="J13" s="14">
        <v>2580</v>
      </c>
      <c r="K13" s="15">
        <f>L13</f>
        <v>2576</v>
      </c>
      <c r="L13" s="15">
        <f>2576</f>
        <v>2576</v>
      </c>
      <c r="M13" s="16">
        <f t="shared" si="0"/>
        <v>2576</v>
      </c>
      <c r="N13" s="16">
        <v>0</v>
      </c>
      <c r="O13" s="62">
        <f t="shared" si="1"/>
        <v>0</v>
      </c>
      <c r="P13" s="42">
        <f t="shared" si="2"/>
        <v>14</v>
      </c>
      <c r="Q13" s="43">
        <f t="shared" si="3"/>
        <v>10</v>
      </c>
      <c r="R13" s="7"/>
      <c r="S13" s="6">
        <v>10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0.99844961240310082</v>
      </c>
      <c r="AC13" s="9">
        <f t="shared" si="5"/>
        <v>0.58333333333333337</v>
      </c>
      <c r="AD13" s="10">
        <f t="shared" si="6"/>
        <v>0.58242894056847549</v>
      </c>
      <c r="AE13" s="39">
        <f t="shared" si="7"/>
        <v>0.40778885837766876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560</v>
      </c>
      <c r="F14" s="33" t="s">
        <v>561</v>
      </c>
      <c r="G14" s="36">
        <v>1</v>
      </c>
      <c r="H14" s="38">
        <v>50</v>
      </c>
      <c r="I14" s="7">
        <v>100</v>
      </c>
      <c r="J14" s="5">
        <v>470</v>
      </c>
      <c r="K14" s="15">
        <f>L14+462</f>
        <v>462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0.40778885837766876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154</v>
      </c>
      <c r="D15" s="55" t="s">
        <v>284</v>
      </c>
      <c r="E15" s="57" t="s">
        <v>286</v>
      </c>
      <c r="F15" s="12" t="s">
        <v>424</v>
      </c>
      <c r="G15" s="12">
        <v>1</v>
      </c>
      <c r="H15" s="13">
        <v>25</v>
      </c>
      <c r="I15" s="34">
        <v>200</v>
      </c>
      <c r="J15" s="5">
        <v>300</v>
      </c>
      <c r="K15" s="15">
        <f>L15+2138+3980+300</f>
        <v>6418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/>
      <c r="X15" s="17"/>
      <c r="Y15" s="20"/>
      <c r="Z15" s="20"/>
      <c r="AA15" s="21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0.40778885837766876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127</v>
      </c>
      <c r="D16" s="55" t="s">
        <v>892</v>
      </c>
      <c r="E16" s="57" t="s">
        <v>893</v>
      </c>
      <c r="F16" s="12">
        <v>7301</v>
      </c>
      <c r="G16" s="36">
        <v>1</v>
      </c>
      <c r="H16" s="38">
        <v>25</v>
      </c>
      <c r="I16" s="7">
        <v>25000</v>
      </c>
      <c r="J16" s="14">
        <v>4200</v>
      </c>
      <c r="K16" s="15">
        <f>L16</f>
        <v>4196</v>
      </c>
      <c r="L16" s="15">
        <f>3175+1021</f>
        <v>4196</v>
      </c>
      <c r="M16" s="16">
        <f t="shared" si="0"/>
        <v>4196</v>
      </c>
      <c r="N16" s="16">
        <v>0</v>
      </c>
      <c r="O16" s="62">
        <f t="shared" si="1"/>
        <v>0</v>
      </c>
      <c r="P16" s="42">
        <f t="shared" si="2"/>
        <v>22</v>
      </c>
      <c r="Q16" s="43">
        <f t="shared" si="3"/>
        <v>2</v>
      </c>
      <c r="R16" s="7"/>
      <c r="S16" s="6">
        <v>2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0.99904761904761907</v>
      </c>
      <c r="AC16" s="9">
        <f t="shared" si="5"/>
        <v>0.91666666666666663</v>
      </c>
      <c r="AD16" s="10">
        <f t="shared" si="6"/>
        <v>0.91579365079365083</v>
      </c>
      <c r="AE16" s="39">
        <f t="shared" si="7"/>
        <v>0.40778885837766876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726</v>
      </c>
      <c r="E17" s="56" t="s">
        <v>727</v>
      </c>
      <c r="F17" s="12">
        <v>8301</v>
      </c>
      <c r="G17" s="12">
        <v>1</v>
      </c>
      <c r="H17" s="13">
        <v>25</v>
      </c>
      <c r="I17" s="34">
        <v>100</v>
      </c>
      <c r="J17" s="5">
        <v>236</v>
      </c>
      <c r="K17" s="15">
        <f>L17+236</f>
        <v>236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0.40778885837766876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341</v>
      </c>
      <c r="D18" s="55" t="s">
        <v>231</v>
      </c>
      <c r="E18" s="57" t="s">
        <v>831</v>
      </c>
      <c r="F18" s="12" t="s">
        <v>258</v>
      </c>
      <c r="G18" s="12">
        <v>1</v>
      </c>
      <c r="H18" s="13">
        <v>25</v>
      </c>
      <c r="I18" s="34">
        <v>11000</v>
      </c>
      <c r="J18" s="5">
        <v>4930</v>
      </c>
      <c r="K18" s="15">
        <f>L18+611</f>
        <v>5541</v>
      </c>
      <c r="L18" s="15">
        <f>2122+2808</f>
        <v>4930</v>
      </c>
      <c r="M18" s="16">
        <f t="shared" si="0"/>
        <v>4930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0.40778885837766876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62</v>
      </c>
      <c r="D19" s="55" t="s">
        <v>58</v>
      </c>
      <c r="E19" s="57" t="s">
        <v>301</v>
      </c>
      <c r="F19" s="33" t="s">
        <v>126</v>
      </c>
      <c r="G19" s="36">
        <v>2</v>
      </c>
      <c r="H19" s="38">
        <v>25</v>
      </c>
      <c r="I19" s="34">
        <v>12000</v>
      </c>
      <c r="J19" s="5">
        <v>4350</v>
      </c>
      <c r="K19" s="15">
        <f>L19+8110+4344</f>
        <v>12454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>
        <v>24</v>
      </c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0.40778885837766876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894</v>
      </c>
      <c r="F20" s="12" t="s">
        <v>120</v>
      </c>
      <c r="G20" s="12">
        <v>4</v>
      </c>
      <c r="H20" s="38">
        <v>20</v>
      </c>
      <c r="I20" s="7">
        <v>50000</v>
      </c>
      <c r="J20" s="14">
        <v>53470</v>
      </c>
      <c r="K20" s="15">
        <f>L20</f>
        <v>53464</v>
      </c>
      <c r="L20" s="15">
        <f>7814*4+5552*4</f>
        <v>53464</v>
      </c>
      <c r="M20" s="16">
        <f t="shared" si="0"/>
        <v>53464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0.99988778754441743</v>
      </c>
      <c r="AC20" s="9">
        <f t="shared" si="5"/>
        <v>1</v>
      </c>
      <c r="AD20" s="10">
        <f t="shared" si="6"/>
        <v>0.99988778754441743</v>
      </c>
      <c r="AE20" s="39">
        <f t="shared" si="7"/>
        <v>0.40778885837766876</v>
      </c>
      <c r="AF20" s="94">
        <f t="shared" si="8"/>
        <v>15</v>
      </c>
    </row>
    <row r="21" spans="1:32" ht="31.5" customHeight="1" thickBot="1">
      <c r="A21" s="430" t="s">
        <v>34</v>
      </c>
      <c r="B21" s="431"/>
      <c r="C21" s="431"/>
      <c r="D21" s="431"/>
      <c r="E21" s="431"/>
      <c r="F21" s="431"/>
      <c r="G21" s="431"/>
      <c r="H21" s="432"/>
      <c r="I21" s="25">
        <f t="shared" ref="I21:N21" si="18">SUM(I6:I20)</f>
        <v>136050</v>
      </c>
      <c r="J21" s="22">
        <f t="shared" si="18"/>
        <v>93166</v>
      </c>
      <c r="K21" s="23">
        <f t="shared" si="18"/>
        <v>119569</v>
      </c>
      <c r="L21" s="24">
        <f t="shared" si="18"/>
        <v>76020</v>
      </c>
      <c r="M21" s="23">
        <f t="shared" si="18"/>
        <v>76020</v>
      </c>
      <c r="N21" s="24">
        <f t="shared" si="18"/>
        <v>0</v>
      </c>
      <c r="O21" s="44">
        <f t="shared" si="1"/>
        <v>0</v>
      </c>
      <c r="P21" s="45">
        <f t="shared" ref="P21:AA21" si="19">SUM(P6:P20)</f>
        <v>147</v>
      </c>
      <c r="Q21" s="46">
        <f t="shared" si="19"/>
        <v>213</v>
      </c>
      <c r="R21" s="26">
        <f t="shared" si="19"/>
        <v>24</v>
      </c>
      <c r="S21" s="27">
        <f t="shared" si="19"/>
        <v>47</v>
      </c>
      <c r="T21" s="27">
        <f t="shared" si="19"/>
        <v>0</v>
      </c>
      <c r="U21" s="27">
        <f t="shared" si="19"/>
        <v>0</v>
      </c>
      <c r="V21" s="28">
        <f t="shared" si="19"/>
        <v>0</v>
      </c>
      <c r="W21" s="29">
        <f t="shared" si="19"/>
        <v>118</v>
      </c>
      <c r="X21" s="30">
        <f t="shared" si="19"/>
        <v>0</v>
      </c>
      <c r="Y21" s="30">
        <f t="shared" si="19"/>
        <v>0</v>
      </c>
      <c r="Z21" s="30">
        <f t="shared" si="19"/>
        <v>0</v>
      </c>
      <c r="AA21" s="30">
        <f t="shared" si="19"/>
        <v>24</v>
      </c>
      <c r="AB21" s="31">
        <f>SUM(AB6:AB20)/15</f>
        <v>0.5324663098847966</v>
      </c>
      <c r="AC21" s="4">
        <f>SUM(AC6:AC20)/15</f>
        <v>0.40833333333333333</v>
      </c>
      <c r="AD21" s="4">
        <f>SUM(AD6:AD20)/15</f>
        <v>0.40778885837766876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33" t="s">
        <v>46</v>
      </c>
      <c r="B48" s="433"/>
      <c r="C48" s="433"/>
      <c r="D48" s="433"/>
      <c r="E48" s="43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4" t="s">
        <v>895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6"/>
      <c r="N49" s="437" t="s">
        <v>910</v>
      </c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9"/>
    </row>
    <row r="50" spans="1:32" ht="27" customHeight="1">
      <c r="A50" s="440" t="s">
        <v>2</v>
      </c>
      <c r="B50" s="441"/>
      <c r="C50" s="389" t="s">
        <v>47</v>
      </c>
      <c r="D50" s="389" t="s">
        <v>48</v>
      </c>
      <c r="E50" s="389" t="s">
        <v>113</v>
      </c>
      <c r="F50" s="441" t="s">
        <v>112</v>
      </c>
      <c r="G50" s="441"/>
      <c r="H50" s="441"/>
      <c r="I50" s="441"/>
      <c r="J50" s="441"/>
      <c r="K50" s="441"/>
      <c r="L50" s="441"/>
      <c r="M50" s="442"/>
      <c r="N50" s="73" t="s">
        <v>117</v>
      </c>
      <c r="O50" s="389" t="s">
        <v>47</v>
      </c>
      <c r="P50" s="443" t="s">
        <v>48</v>
      </c>
      <c r="Q50" s="444"/>
      <c r="R50" s="443" t="s">
        <v>39</v>
      </c>
      <c r="S50" s="445"/>
      <c r="T50" s="445"/>
      <c r="U50" s="444"/>
      <c r="V50" s="443" t="s">
        <v>49</v>
      </c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64" t="s">
        <v>793</v>
      </c>
      <c r="B51" s="463"/>
      <c r="C51" s="385" t="s">
        <v>131</v>
      </c>
      <c r="D51" s="385" t="s">
        <v>794</v>
      </c>
      <c r="E51" s="388" t="s">
        <v>896</v>
      </c>
      <c r="F51" s="459" t="s">
        <v>897</v>
      </c>
      <c r="G51" s="459"/>
      <c r="H51" s="459"/>
      <c r="I51" s="459"/>
      <c r="J51" s="459"/>
      <c r="K51" s="459"/>
      <c r="L51" s="459"/>
      <c r="M51" s="460"/>
      <c r="N51" s="384" t="s">
        <v>127</v>
      </c>
      <c r="O51" s="74" t="s">
        <v>132</v>
      </c>
      <c r="P51" s="461" t="s">
        <v>883</v>
      </c>
      <c r="Q51" s="462"/>
      <c r="R51" s="463" t="s">
        <v>911</v>
      </c>
      <c r="S51" s="463"/>
      <c r="T51" s="463"/>
      <c r="U51" s="463"/>
      <c r="V51" s="459" t="s">
        <v>912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57" t="s">
        <v>898</v>
      </c>
      <c r="B52" s="458"/>
      <c r="C52" s="388" t="s">
        <v>899</v>
      </c>
      <c r="D52" s="385" t="s">
        <v>900</v>
      </c>
      <c r="E52" s="388" t="s">
        <v>901</v>
      </c>
      <c r="F52" s="459" t="s">
        <v>243</v>
      </c>
      <c r="G52" s="459"/>
      <c r="H52" s="459"/>
      <c r="I52" s="459"/>
      <c r="J52" s="459"/>
      <c r="K52" s="459"/>
      <c r="L52" s="459"/>
      <c r="M52" s="460"/>
      <c r="N52" s="384" t="s">
        <v>127</v>
      </c>
      <c r="O52" s="74" t="s">
        <v>244</v>
      </c>
      <c r="P52" s="461" t="s">
        <v>913</v>
      </c>
      <c r="Q52" s="462"/>
      <c r="R52" s="463" t="s">
        <v>914</v>
      </c>
      <c r="S52" s="463"/>
      <c r="T52" s="463"/>
      <c r="U52" s="463"/>
      <c r="V52" s="459" t="s">
        <v>243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57" t="s">
        <v>341</v>
      </c>
      <c r="B53" s="458"/>
      <c r="C53" s="388" t="s">
        <v>439</v>
      </c>
      <c r="D53" s="385" t="s">
        <v>838</v>
      </c>
      <c r="E53" s="388" t="s">
        <v>833</v>
      </c>
      <c r="F53" s="459" t="s">
        <v>902</v>
      </c>
      <c r="G53" s="459"/>
      <c r="H53" s="459"/>
      <c r="I53" s="459"/>
      <c r="J53" s="459"/>
      <c r="K53" s="459"/>
      <c r="L53" s="459"/>
      <c r="M53" s="460"/>
      <c r="N53" s="384" t="s">
        <v>375</v>
      </c>
      <c r="O53" s="74" t="s">
        <v>207</v>
      </c>
      <c r="P53" s="461" t="s">
        <v>121</v>
      </c>
      <c r="Q53" s="462"/>
      <c r="R53" s="463" t="s">
        <v>140</v>
      </c>
      <c r="S53" s="463"/>
      <c r="T53" s="463"/>
      <c r="U53" s="463"/>
      <c r="V53" s="459" t="s">
        <v>237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64" t="s">
        <v>127</v>
      </c>
      <c r="B54" s="463"/>
      <c r="C54" s="385" t="s">
        <v>903</v>
      </c>
      <c r="D54" s="385" t="s">
        <v>904</v>
      </c>
      <c r="E54" s="388" t="s">
        <v>893</v>
      </c>
      <c r="F54" s="459" t="s">
        <v>905</v>
      </c>
      <c r="G54" s="459"/>
      <c r="H54" s="459"/>
      <c r="I54" s="459"/>
      <c r="J54" s="459"/>
      <c r="K54" s="459"/>
      <c r="L54" s="459"/>
      <c r="M54" s="460"/>
      <c r="N54" s="384" t="s">
        <v>856</v>
      </c>
      <c r="O54" s="74" t="s">
        <v>677</v>
      </c>
      <c r="P54" s="463"/>
      <c r="Q54" s="463"/>
      <c r="R54" s="463" t="s">
        <v>915</v>
      </c>
      <c r="S54" s="463"/>
      <c r="T54" s="463"/>
      <c r="U54" s="463"/>
      <c r="V54" s="459" t="s">
        <v>243</v>
      </c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64" t="s">
        <v>122</v>
      </c>
      <c r="B55" s="463"/>
      <c r="C55" s="385" t="s">
        <v>280</v>
      </c>
      <c r="D55" s="385" t="s">
        <v>381</v>
      </c>
      <c r="E55" s="388" t="s">
        <v>891</v>
      </c>
      <c r="F55" s="459" t="s">
        <v>906</v>
      </c>
      <c r="G55" s="459"/>
      <c r="H55" s="459"/>
      <c r="I55" s="459"/>
      <c r="J55" s="459"/>
      <c r="K55" s="459"/>
      <c r="L55" s="459"/>
      <c r="M55" s="460"/>
      <c r="N55" s="384" t="s">
        <v>206</v>
      </c>
      <c r="O55" s="74" t="s">
        <v>132</v>
      </c>
      <c r="P55" s="461" t="s">
        <v>917</v>
      </c>
      <c r="Q55" s="462"/>
      <c r="R55" s="463" t="s">
        <v>916</v>
      </c>
      <c r="S55" s="463"/>
      <c r="T55" s="463"/>
      <c r="U55" s="463"/>
      <c r="V55" s="459" t="s">
        <v>918</v>
      </c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 t="s">
        <v>127</v>
      </c>
      <c r="B56" s="463"/>
      <c r="C56" s="385" t="s">
        <v>132</v>
      </c>
      <c r="D56" s="385" t="s">
        <v>321</v>
      </c>
      <c r="E56" s="388" t="s">
        <v>887</v>
      </c>
      <c r="F56" s="459" t="s">
        <v>906</v>
      </c>
      <c r="G56" s="459"/>
      <c r="H56" s="459"/>
      <c r="I56" s="459"/>
      <c r="J56" s="459"/>
      <c r="K56" s="459"/>
      <c r="L56" s="459"/>
      <c r="M56" s="460"/>
      <c r="N56" s="384" t="s">
        <v>206</v>
      </c>
      <c r="O56" s="74" t="s">
        <v>920</v>
      </c>
      <c r="P56" s="463" t="s">
        <v>921</v>
      </c>
      <c r="Q56" s="463"/>
      <c r="R56" s="463" t="s">
        <v>919</v>
      </c>
      <c r="S56" s="463"/>
      <c r="T56" s="463"/>
      <c r="U56" s="463"/>
      <c r="V56" s="459" t="s">
        <v>243</v>
      </c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 t="s">
        <v>907</v>
      </c>
      <c r="B57" s="463"/>
      <c r="C57" s="385" t="s">
        <v>908</v>
      </c>
      <c r="D57" s="385" t="s">
        <v>909</v>
      </c>
      <c r="E57" s="388"/>
      <c r="F57" s="459" t="s">
        <v>906</v>
      </c>
      <c r="G57" s="459"/>
      <c r="H57" s="459"/>
      <c r="I57" s="459"/>
      <c r="J57" s="459"/>
      <c r="K57" s="459"/>
      <c r="L57" s="459"/>
      <c r="M57" s="460"/>
      <c r="N57" s="384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57"/>
      <c r="B58" s="458"/>
      <c r="C58" s="388"/>
      <c r="D58" s="385"/>
      <c r="E58" s="388"/>
      <c r="F58" s="459"/>
      <c r="G58" s="459"/>
      <c r="H58" s="459"/>
      <c r="I58" s="459"/>
      <c r="J58" s="459"/>
      <c r="K58" s="459"/>
      <c r="L58" s="459"/>
      <c r="M58" s="460"/>
      <c r="N58" s="384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385"/>
      <c r="D59" s="385"/>
      <c r="E59" s="385"/>
      <c r="F59" s="459"/>
      <c r="G59" s="459"/>
      <c r="H59" s="459"/>
      <c r="I59" s="459"/>
      <c r="J59" s="459"/>
      <c r="K59" s="459"/>
      <c r="L59" s="459"/>
      <c r="M59" s="460"/>
      <c r="N59" s="384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  <c r="AF59" s="94">
        <f>8*3000</f>
        <v>24000</v>
      </c>
    </row>
    <row r="60" spans="1:32" ht="27" customHeight="1" thickBot="1">
      <c r="A60" s="465"/>
      <c r="B60" s="466"/>
      <c r="C60" s="387"/>
      <c r="D60" s="387"/>
      <c r="E60" s="387"/>
      <c r="F60" s="467"/>
      <c r="G60" s="467"/>
      <c r="H60" s="467"/>
      <c r="I60" s="467"/>
      <c r="J60" s="467"/>
      <c r="K60" s="467"/>
      <c r="L60" s="467"/>
      <c r="M60" s="468"/>
      <c r="N60" s="386"/>
      <c r="O60" s="121"/>
      <c r="P60" s="466"/>
      <c r="Q60" s="466"/>
      <c r="R60" s="466"/>
      <c r="S60" s="466"/>
      <c r="T60" s="466"/>
      <c r="U60" s="466"/>
      <c r="V60" s="467"/>
      <c r="W60" s="467"/>
      <c r="X60" s="467"/>
      <c r="Y60" s="467"/>
      <c r="Z60" s="467"/>
      <c r="AA60" s="467"/>
      <c r="AB60" s="467"/>
      <c r="AC60" s="467"/>
      <c r="AD60" s="468"/>
      <c r="AF60" s="94">
        <f>16*3000</f>
        <v>48000</v>
      </c>
    </row>
    <row r="61" spans="1:32" ht="27.75" thickBot="1">
      <c r="A61" s="469" t="s">
        <v>922</v>
      </c>
      <c r="B61" s="469"/>
      <c r="C61" s="469"/>
      <c r="D61" s="469"/>
      <c r="E61" s="469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70" t="s">
        <v>118</v>
      </c>
      <c r="B62" s="471"/>
      <c r="C62" s="383" t="s">
        <v>2</v>
      </c>
      <c r="D62" s="383" t="s">
        <v>38</v>
      </c>
      <c r="E62" s="383" t="s">
        <v>3</v>
      </c>
      <c r="F62" s="471" t="s">
        <v>115</v>
      </c>
      <c r="G62" s="471"/>
      <c r="H62" s="471"/>
      <c r="I62" s="471"/>
      <c r="J62" s="471"/>
      <c r="K62" s="471" t="s">
        <v>40</v>
      </c>
      <c r="L62" s="471"/>
      <c r="M62" s="383" t="s">
        <v>41</v>
      </c>
      <c r="N62" s="471" t="s">
        <v>42</v>
      </c>
      <c r="O62" s="471"/>
      <c r="P62" s="472" t="s">
        <v>43</v>
      </c>
      <c r="Q62" s="473"/>
      <c r="R62" s="472" t="s">
        <v>44</v>
      </c>
      <c r="S62" s="474"/>
      <c r="T62" s="474"/>
      <c r="U62" s="474"/>
      <c r="V62" s="474"/>
      <c r="W62" s="474"/>
      <c r="X62" s="474"/>
      <c r="Y62" s="474"/>
      <c r="Z62" s="474"/>
      <c r="AA62" s="473"/>
      <c r="AB62" s="471" t="s">
        <v>45</v>
      </c>
      <c r="AC62" s="471"/>
      <c r="AD62" s="475"/>
      <c r="AF62" s="94">
        <f>SUM(AF59:AF61)</f>
        <v>96000</v>
      </c>
    </row>
    <row r="63" spans="1:32" ht="25.5" customHeight="1">
      <c r="A63" s="476">
        <v>1</v>
      </c>
      <c r="B63" s="477"/>
      <c r="C63" s="133" t="s">
        <v>923</v>
      </c>
      <c r="D63" s="379"/>
      <c r="E63" s="381" t="s">
        <v>924</v>
      </c>
      <c r="F63" s="478" t="s">
        <v>925</v>
      </c>
      <c r="G63" s="479"/>
      <c r="H63" s="479"/>
      <c r="I63" s="479"/>
      <c r="J63" s="479"/>
      <c r="K63" s="479" t="s">
        <v>926</v>
      </c>
      <c r="L63" s="479"/>
      <c r="M63" s="54" t="s">
        <v>927</v>
      </c>
      <c r="N63" s="479">
        <v>12</v>
      </c>
      <c r="O63" s="479"/>
      <c r="P63" s="480">
        <v>50</v>
      </c>
      <c r="Q63" s="480"/>
      <c r="R63" s="459"/>
      <c r="S63" s="459"/>
      <c r="T63" s="459"/>
      <c r="U63" s="459"/>
      <c r="V63" s="459"/>
      <c r="W63" s="459"/>
      <c r="X63" s="459"/>
      <c r="Y63" s="459"/>
      <c r="Z63" s="459"/>
      <c r="AA63" s="459"/>
      <c r="AB63" s="479"/>
      <c r="AC63" s="479"/>
      <c r="AD63" s="481"/>
      <c r="AF63" s="53"/>
    </row>
    <row r="64" spans="1:32" ht="25.5" customHeight="1">
      <c r="A64" s="476">
        <v>2</v>
      </c>
      <c r="B64" s="477"/>
      <c r="C64" s="133" t="s">
        <v>928</v>
      </c>
      <c r="D64" s="379"/>
      <c r="E64" s="381" t="s">
        <v>929</v>
      </c>
      <c r="F64" s="478" t="s">
        <v>930</v>
      </c>
      <c r="G64" s="479"/>
      <c r="H64" s="479"/>
      <c r="I64" s="479"/>
      <c r="J64" s="479"/>
      <c r="K64" s="479" t="s">
        <v>931</v>
      </c>
      <c r="L64" s="479"/>
      <c r="M64" s="54" t="s">
        <v>932</v>
      </c>
      <c r="N64" s="479">
        <v>2</v>
      </c>
      <c r="O64" s="479"/>
      <c r="P64" s="480">
        <v>100</v>
      </c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  <c r="AF64" s="53"/>
    </row>
    <row r="65" spans="1:32" ht="25.5" customHeight="1">
      <c r="A65" s="476">
        <v>3</v>
      </c>
      <c r="B65" s="477"/>
      <c r="C65" s="133" t="s">
        <v>928</v>
      </c>
      <c r="D65" s="379"/>
      <c r="E65" s="381" t="s">
        <v>929</v>
      </c>
      <c r="F65" s="478" t="s">
        <v>933</v>
      </c>
      <c r="G65" s="479"/>
      <c r="H65" s="479"/>
      <c r="I65" s="479"/>
      <c r="J65" s="479"/>
      <c r="K65" s="479" t="s">
        <v>931</v>
      </c>
      <c r="L65" s="479"/>
      <c r="M65" s="54" t="s">
        <v>932</v>
      </c>
      <c r="N65" s="479">
        <v>2</v>
      </c>
      <c r="O65" s="479"/>
      <c r="P65" s="480">
        <v>100</v>
      </c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4</v>
      </c>
      <c r="B66" s="477"/>
      <c r="C66" s="133"/>
      <c r="D66" s="379"/>
      <c r="E66" s="381"/>
      <c r="F66" s="479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5</v>
      </c>
      <c r="B67" s="477"/>
      <c r="C67" s="133"/>
      <c r="D67" s="379"/>
      <c r="E67" s="381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6</v>
      </c>
      <c r="B68" s="477"/>
      <c r="C68" s="133"/>
      <c r="D68" s="379"/>
      <c r="E68" s="381"/>
      <c r="F68" s="478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7</v>
      </c>
      <c r="B69" s="477"/>
      <c r="C69" s="133"/>
      <c r="D69" s="379"/>
      <c r="E69" s="381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8</v>
      </c>
      <c r="B70" s="477"/>
      <c r="C70" s="133"/>
      <c r="D70" s="379"/>
      <c r="E70" s="381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6.25" customHeight="1" thickBot="1">
      <c r="A71" s="482" t="s">
        <v>934</v>
      </c>
      <c r="B71" s="482"/>
      <c r="C71" s="482"/>
      <c r="D71" s="482"/>
      <c r="E71" s="48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83" t="s">
        <v>118</v>
      </c>
      <c r="B72" s="484"/>
      <c r="C72" s="382" t="s">
        <v>2</v>
      </c>
      <c r="D72" s="382" t="s">
        <v>38</v>
      </c>
      <c r="E72" s="382" t="s">
        <v>3</v>
      </c>
      <c r="F72" s="484" t="s">
        <v>39</v>
      </c>
      <c r="G72" s="484"/>
      <c r="H72" s="484"/>
      <c r="I72" s="484"/>
      <c r="J72" s="484"/>
      <c r="K72" s="485" t="s">
        <v>60</v>
      </c>
      <c r="L72" s="486"/>
      <c r="M72" s="486"/>
      <c r="N72" s="486"/>
      <c r="O72" s="486"/>
      <c r="P72" s="486"/>
      <c r="Q72" s="486"/>
      <c r="R72" s="486"/>
      <c r="S72" s="487"/>
      <c r="T72" s="484" t="s">
        <v>50</v>
      </c>
      <c r="U72" s="484"/>
      <c r="V72" s="485" t="s">
        <v>51</v>
      </c>
      <c r="W72" s="487"/>
      <c r="X72" s="486" t="s">
        <v>52</v>
      </c>
      <c r="Y72" s="486"/>
      <c r="Z72" s="486"/>
      <c r="AA72" s="486"/>
      <c r="AB72" s="486"/>
      <c r="AC72" s="486"/>
      <c r="AD72" s="488"/>
      <c r="AF72" s="53"/>
    </row>
    <row r="73" spans="1:32" ht="33.75" customHeight="1">
      <c r="A73" s="497">
        <v>1</v>
      </c>
      <c r="B73" s="498"/>
      <c r="C73" s="380" t="s">
        <v>122</v>
      </c>
      <c r="D73" s="380"/>
      <c r="E73" s="71" t="s">
        <v>556</v>
      </c>
      <c r="F73" s="499" t="s">
        <v>557</v>
      </c>
      <c r="G73" s="500"/>
      <c r="H73" s="500"/>
      <c r="I73" s="500"/>
      <c r="J73" s="501"/>
      <c r="K73" s="502" t="s">
        <v>141</v>
      </c>
      <c r="L73" s="503"/>
      <c r="M73" s="503"/>
      <c r="N73" s="503"/>
      <c r="O73" s="503"/>
      <c r="P73" s="503"/>
      <c r="Q73" s="503"/>
      <c r="R73" s="503"/>
      <c r="S73" s="504"/>
      <c r="T73" s="505">
        <v>42873</v>
      </c>
      <c r="U73" s="506"/>
      <c r="V73" s="507"/>
      <c r="W73" s="507"/>
      <c r="X73" s="508"/>
      <c r="Y73" s="508"/>
      <c r="Z73" s="508"/>
      <c r="AA73" s="508"/>
      <c r="AB73" s="508"/>
      <c r="AC73" s="508"/>
      <c r="AD73" s="509"/>
      <c r="AF73" s="53"/>
    </row>
    <row r="74" spans="1:32" ht="30" customHeight="1">
      <c r="A74" s="489">
        <f>A73+1</f>
        <v>2</v>
      </c>
      <c r="B74" s="490"/>
      <c r="C74" s="379" t="s">
        <v>122</v>
      </c>
      <c r="D74" s="379"/>
      <c r="E74" s="35" t="s">
        <v>388</v>
      </c>
      <c r="F74" s="490" t="s">
        <v>389</v>
      </c>
      <c r="G74" s="490"/>
      <c r="H74" s="490"/>
      <c r="I74" s="490"/>
      <c r="J74" s="490"/>
      <c r="K74" s="491" t="s">
        <v>522</v>
      </c>
      <c r="L74" s="492"/>
      <c r="M74" s="492"/>
      <c r="N74" s="492"/>
      <c r="O74" s="492"/>
      <c r="P74" s="492"/>
      <c r="Q74" s="492"/>
      <c r="R74" s="492"/>
      <c r="S74" s="493"/>
      <c r="T74" s="494">
        <v>42867</v>
      </c>
      <c r="U74" s="494"/>
      <c r="V74" s="494"/>
      <c r="W74" s="494"/>
      <c r="X74" s="495"/>
      <c r="Y74" s="495"/>
      <c r="Z74" s="495"/>
      <c r="AA74" s="495"/>
      <c r="AB74" s="495"/>
      <c r="AC74" s="495"/>
      <c r="AD74" s="496"/>
      <c r="AF74" s="53"/>
    </row>
    <row r="75" spans="1:32" ht="30" customHeight="1">
      <c r="A75" s="489">
        <f t="shared" ref="A75:A81" si="20">A74+1</f>
        <v>3</v>
      </c>
      <c r="B75" s="490"/>
      <c r="C75" s="379" t="s">
        <v>127</v>
      </c>
      <c r="D75" s="379"/>
      <c r="E75" s="35" t="s">
        <v>121</v>
      </c>
      <c r="F75" s="490" t="s">
        <v>585</v>
      </c>
      <c r="G75" s="490"/>
      <c r="H75" s="490"/>
      <c r="I75" s="490"/>
      <c r="J75" s="490"/>
      <c r="K75" s="491" t="s">
        <v>61</v>
      </c>
      <c r="L75" s="492"/>
      <c r="M75" s="492"/>
      <c r="N75" s="492"/>
      <c r="O75" s="492"/>
      <c r="P75" s="492"/>
      <c r="Q75" s="492"/>
      <c r="R75" s="492"/>
      <c r="S75" s="493"/>
      <c r="T75" s="494">
        <v>42874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si="20"/>
        <v>4</v>
      </c>
      <c r="B76" s="490"/>
      <c r="C76" s="379" t="s">
        <v>122</v>
      </c>
      <c r="D76" s="379"/>
      <c r="E76" s="35" t="s">
        <v>623</v>
      </c>
      <c r="F76" s="490" t="s">
        <v>151</v>
      </c>
      <c r="G76" s="490"/>
      <c r="H76" s="490"/>
      <c r="I76" s="490"/>
      <c r="J76" s="490"/>
      <c r="K76" s="491" t="s">
        <v>689</v>
      </c>
      <c r="L76" s="492"/>
      <c r="M76" s="492"/>
      <c r="N76" s="492"/>
      <c r="O76" s="492"/>
      <c r="P76" s="492"/>
      <c r="Q76" s="492"/>
      <c r="R76" s="492"/>
      <c r="S76" s="493"/>
      <c r="T76" s="494">
        <v>42874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20"/>
        <v>5</v>
      </c>
      <c r="B77" s="490"/>
      <c r="C77" s="379"/>
      <c r="D77" s="379"/>
      <c r="E77" s="35"/>
      <c r="F77" s="490"/>
      <c r="G77" s="490"/>
      <c r="H77" s="490"/>
      <c r="I77" s="490"/>
      <c r="J77" s="490"/>
      <c r="K77" s="491"/>
      <c r="L77" s="492"/>
      <c r="M77" s="492"/>
      <c r="N77" s="492"/>
      <c r="O77" s="492"/>
      <c r="P77" s="492"/>
      <c r="Q77" s="492"/>
      <c r="R77" s="492"/>
      <c r="S77" s="493"/>
      <c r="T77" s="494"/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20"/>
        <v>6</v>
      </c>
      <c r="B78" s="490"/>
      <c r="C78" s="379"/>
      <c r="D78" s="379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20"/>
        <v>7</v>
      </c>
      <c r="B79" s="490"/>
      <c r="C79" s="379"/>
      <c r="D79" s="379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20"/>
        <v>8</v>
      </c>
      <c r="B80" s="490"/>
      <c r="C80" s="379"/>
      <c r="D80" s="379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20"/>
        <v>9</v>
      </c>
      <c r="B81" s="490"/>
      <c r="C81" s="379"/>
      <c r="D81" s="379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6" thickBot="1">
      <c r="A82" s="482" t="s">
        <v>935</v>
      </c>
      <c r="B82" s="482"/>
      <c r="C82" s="482"/>
      <c r="D82" s="482"/>
      <c r="E82" s="48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510" t="s">
        <v>37</v>
      </c>
      <c r="B83" s="511"/>
      <c r="C83" s="511" t="s">
        <v>53</v>
      </c>
      <c r="D83" s="511"/>
      <c r="E83" s="511" t="s">
        <v>54</v>
      </c>
      <c r="F83" s="511"/>
      <c r="G83" s="511"/>
      <c r="H83" s="511"/>
      <c r="I83" s="511"/>
      <c r="J83" s="511"/>
      <c r="K83" s="511" t="s">
        <v>55</v>
      </c>
      <c r="L83" s="511"/>
      <c r="M83" s="511"/>
      <c r="N83" s="511"/>
      <c r="O83" s="511"/>
      <c r="P83" s="511"/>
      <c r="Q83" s="511"/>
      <c r="R83" s="511"/>
      <c r="S83" s="511"/>
      <c r="T83" s="511" t="s">
        <v>56</v>
      </c>
      <c r="U83" s="511"/>
      <c r="V83" s="511" t="s">
        <v>57</v>
      </c>
      <c r="W83" s="511"/>
      <c r="X83" s="511"/>
      <c r="Y83" s="511" t="s">
        <v>52</v>
      </c>
      <c r="Z83" s="511"/>
      <c r="AA83" s="511"/>
      <c r="AB83" s="511"/>
      <c r="AC83" s="511"/>
      <c r="AD83" s="512"/>
      <c r="AF83" s="53"/>
    </row>
    <row r="84" spans="1:32" ht="30.75" customHeight="1">
      <c r="A84" s="513">
        <v>1</v>
      </c>
      <c r="B84" s="514"/>
      <c r="C84" s="515">
        <v>14</v>
      </c>
      <c r="D84" s="515"/>
      <c r="E84" s="515" t="s">
        <v>936</v>
      </c>
      <c r="F84" s="515"/>
      <c r="G84" s="515"/>
      <c r="H84" s="515"/>
      <c r="I84" s="515"/>
      <c r="J84" s="515"/>
      <c r="K84" s="515"/>
      <c r="L84" s="515"/>
      <c r="M84" s="515"/>
      <c r="N84" s="515"/>
      <c r="O84" s="515"/>
      <c r="P84" s="515"/>
      <c r="Q84" s="515"/>
      <c r="R84" s="515"/>
      <c r="S84" s="515"/>
      <c r="T84" s="515" t="s">
        <v>552</v>
      </c>
      <c r="U84" s="515"/>
      <c r="V84" s="516">
        <v>2100000</v>
      </c>
      <c r="W84" s="516"/>
      <c r="X84" s="516"/>
      <c r="Y84" s="517"/>
      <c r="Z84" s="517"/>
      <c r="AA84" s="517"/>
      <c r="AB84" s="517"/>
      <c r="AC84" s="517"/>
      <c r="AD84" s="518"/>
      <c r="AF84" s="53"/>
    </row>
    <row r="85" spans="1:32" ht="30.75" customHeight="1">
      <c r="A85" s="489">
        <v>2</v>
      </c>
      <c r="B85" s="490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 thickBot="1">
      <c r="A86" s="519">
        <v>3</v>
      </c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1"/>
      <c r="Z86" s="521"/>
      <c r="AA86" s="521"/>
      <c r="AB86" s="521"/>
      <c r="AC86" s="521"/>
      <c r="AD86" s="52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937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391" t="s">
        <v>17</v>
      </c>
      <c r="L5" s="391" t="s">
        <v>18</v>
      </c>
      <c r="M5" s="391" t="s">
        <v>19</v>
      </c>
      <c r="N5" s="39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0.42713447992512904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145</v>
      </c>
      <c r="E7" s="56" t="s">
        <v>638</v>
      </c>
      <c r="F7" s="12" t="s">
        <v>180</v>
      </c>
      <c r="G7" s="36">
        <v>2</v>
      </c>
      <c r="H7" s="38">
        <v>25</v>
      </c>
      <c r="I7" s="7">
        <v>5000</v>
      </c>
      <c r="J7" s="14">
        <v>4370</v>
      </c>
      <c r="K7" s="15">
        <f>L7+7082+4364</f>
        <v>11446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0.42713447992512904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127</v>
      </c>
      <c r="D8" s="55" t="s">
        <v>883</v>
      </c>
      <c r="E8" s="57" t="s">
        <v>884</v>
      </c>
      <c r="F8" s="12" t="s">
        <v>885</v>
      </c>
      <c r="G8" s="36">
        <v>1</v>
      </c>
      <c r="H8" s="38">
        <v>25</v>
      </c>
      <c r="I8" s="7">
        <v>1000</v>
      </c>
      <c r="J8" s="14">
        <v>4910</v>
      </c>
      <c r="K8" s="15">
        <f>L8+3112</f>
        <v>8021</v>
      </c>
      <c r="L8" s="15">
        <f>2494+56+2359</f>
        <v>4909</v>
      </c>
      <c r="M8" s="16">
        <f t="shared" si="0"/>
        <v>4909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0.99979633401222001</v>
      </c>
      <c r="AC8" s="9">
        <f t="shared" si="5"/>
        <v>1</v>
      </c>
      <c r="AD8" s="10">
        <f t="shared" si="6"/>
        <v>0.99979633401222001</v>
      </c>
      <c r="AE8" s="39">
        <f t="shared" si="7"/>
        <v>0.42713447992512904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127</v>
      </c>
      <c r="D9" s="55" t="s">
        <v>938</v>
      </c>
      <c r="E9" s="57" t="s">
        <v>939</v>
      </c>
      <c r="F9" s="12" t="s">
        <v>940</v>
      </c>
      <c r="G9" s="12">
        <v>1</v>
      </c>
      <c r="H9" s="13">
        <v>20</v>
      </c>
      <c r="I9" s="34">
        <v>650</v>
      </c>
      <c r="J9" s="5">
        <v>750</v>
      </c>
      <c r="K9" s="15">
        <f>L9</f>
        <v>741</v>
      </c>
      <c r="L9" s="15">
        <v>741</v>
      </c>
      <c r="M9" s="16">
        <f t="shared" si="0"/>
        <v>741</v>
      </c>
      <c r="N9" s="16">
        <v>0</v>
      </c>
      <c r="O9" s="62">
        <f t="shared" si="1"/>
        <v>0</v>
      </c>
      <c r="P9" s="42">
        <f t="shared" si="2"/>
        <v>6</v>
      </c>
      <c r="Q9" s="43">
        <f t="shared" si="3"/>
        <v>18</v>
      </c>
      <c r="R9" s="7"/>
      <c r="S9" s="6"/>
      <c r="T9" s="17"/>
      <c r="U9" s="17"/>
      <c r="V9" s="18"/>
      <c r="W9" s="19">
        <v>18</v>
      </c>
      <c r="X9" s="17"/>
      <c r="Y9" s="20"/>
      <c r="Z9" s="20"/>
      <c r="AA9" s="21"/>
      <c r="AB9" s="8">
        <f t="shared" si="4"/>
        <v>0.98799999999999999</v>
      </c>
      <c r="AC9" s="9">
        <f t="shared" si="5"/>
        <v>0.25</v>
      </c>
      <c r="AD9" s="10">
        <f t="shared" si="6"/>
        <v>0.247</v>
      </c>
      <c r="AE9" s="39">
        <f t="shared" si="7"/>
        <v>0.42713447992512904</v>
      </c>
      <c r="AF9" s="94">
        <f t="shared" si="8"/>
        <v>4</v>
      </c>
    </row>
    <row r="10" spans="1:32" ht="27" customHeight="1">
      <c r="A10" s="110">
        <v>4</v>
      </c>
      <c r="B10" s="11" t="s">
        <v>59</v>
      </c>
      <c r="C10" s="37" t="s">
        <v>941</v>
      </c>
      <c r="D10" s="55" t="s">
        <v>942</v>
      </c>
      <c r="E10" s="57" t="s">
        <v>943</v>
      </c>
      <c r="F10" s="12" t="s">
        <v>944</v>
      </c>
      <c r="G10" s="12">
        <v>1</v>
      </c>
      <c r="H10" s="13">
        <v>20</v>
      </c>
      <c r="I10" s="34">
        <v>2000</v>
      </c>
      <c r="J10" s="5">
        <v>2300</v>
      </c>
      <c r="K10" s="15">
        <f>L10</f>
        <v>2292</v>
      </c>
      <c r="L10" s="15">
        <f>1727+565</f>
        <v>2292</v>
      </c>
      <c r="M10" s="16">
        <f t="shared" ref="M10" si="10">L10-N10</f>
        <v>2292</v>
      </c>
      <c r="N10" s="16">
        <v>0</v>
      </c>
      <c r="O10" s="62">
        <f t="shared" ref="O10" si="11">IF(L10=0,"0",N10/L10)</f>
        <v>0</v>
      </c>
      <c r="P10" s="42">
        <f t="shared" ref="P10" si="12">IF(L10=0,"0",(24-Q10))</f>
        <v>13</v>
      </c>
      <c r="Q10" s="43">
        <f t="shared" ref="Q10" si="13">SUM(R10:AA10)</f>
        <v>11</v>
      </c>
      <c r="R10" s="7"/>
      <c r="S10" s="6"/>
      <c r="T10" s="17"/>
      <c r="U10" s="17"/>
      <c r="V10" s="18"/>
      <c r="W10" s="19">
        <v>11</v>
      </c>
      <c r="X10" s="17"/>
      <c r="Y10" s="20"/>
      <c r="Z10" s="20"/>
      <c r="AA10" s="21"/>
      <c r="AB10" s="8">
        <f t="shared" ref="AB10" si="14">IF(J10=0,"0",(L10/J10))</f>
        <v>0.99652173913043474</v>
      </c>
      <c r="AC10" s="9">
        <f t="shared" ref="AC10" si="15">IF(P10=0,"0",(P10/24))</f>
        <v>0.54166666666666663</v>
      </c>
      <c r="AD10" s="10">
        <f t="shared" ref="AD10" si="16">AC10*AB10*(1-O10)</f>
        <v>0.53978260869565209</v>
      </c>
      <c r="AE10" s="39">
        <f t="shared" si="7"/>
        <v>0.42713447992512904</v>
      </c>
      <c r="AF10" s="94">
        <f t="shared" ref="AF10" si="17">A10</f>
        <v>4</v>
      </c>
    </row>
    <row r="11" spans="1:32" ht="27" customHeight="1">
      <c r="A11" s="110">
        <v>5</v>
      </c>
      <c r="B11" s="11" t="s">
        <v>59</v>
      </c>
      <c r="C11" s="11" t="s">
        <v>206</v>
      </c>
      <c r="D11" s="55" t="s">
        <v>889</v>
      </c>
      <c r="E11" s="57" t="s">
        <v>890</v>
      </c>
      <c r="F11" s="12" t="s">
        <v>888</v>
      </c>
      <c r="G11" s="12">
        <v>1</v>
      </c>
      <c r="H11" s="13">
        <v>25</v>
      </c>
      <c r="I11" s="34">
        <v>2000</v>
      </c>
      <c r="J11" s="14">
        <v>2600</v>
      </c>
      <c r="K11" s="15">
        <f>L11+2594</f>
        <v>2594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0.42713447992512904</v>
      </c>
      <c r="AF11" s="94">
        <f t="shared" si="8"/>
        <v>5</v>
      </c>
    </row>
    <row r="12" spans="1:32" ht="27" customHeight="1">
      <c r="A12" s="110">
        <v>6</v>
      </c>
      <c r="B12" s="11" t="s">
        <v>59</v>
      </c>
      <c r="C12" s="11" t="s">
        <v>945</v>
      </c>
      <c r="D12" s="55" t="s">
        <v>946</v>
      </c>
      <c r="E12" s="57" t="s">
        <v>947</v>
      </c>
      <c r="F12" s="12" t="s">
        <v>948</v>
      </c>
      <c r="G12" s="12">
        <v>1</v>
      </c>
      <c r="H12" s="13">
        <v>25</v>
      </c>
      <c r="I12" s="34">
        <v>1000</v>
      </c>
      <c r="J12" s="14">
        <v>1800</v>
      </c>
      <c r="K12" s="15">
        <f>L12</f>
        <v>1800</v>
      </c>
      <c r="L12" s="15">
        <v>1800</v>
      </c>
      <c r="M12" s="16">
        <f t="shared" si="0"/>
        <v>1800</v>
      </c>
      <c r="N12" s="16">
        <v>0</v>
      </c>
      <c r="O12" s="62">
        <f t="shared" si="1"/>
        <v>0</v>
      </c>
      <c r="P12" s="42">
        <f t="shared" si="2"/>
        <v>11</v>
      </c>
      <c r="Q12" s="43">
        <f t="shared" si="3"/>
        <v>13</v>
      </c>
      <c r="R12" s="7"/>
      <c r="S12" s="6">
        <v>13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0.45833333333333331</v>
      </c>
      <c r="AD12" s="10">
        <f t="shared" si="6"/>
        <v>0.45833333333333331</v>
      </c>
      <c r="AE12" s="39">
        <f t="shared" si="7"/>
        <v>0.42713447992512904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11" t="s">
        <v>122</v>
      </c>
      <c r="D13" s="55" t="s">
        <v>381</v>
      </c>
      <c r="E13" s="57" t="s">
        <v>833</v>
      </c>
      <c r="F13" s="12" t="s">
        <v>785</v>
      </c>
      <c r="G13" s="12">
        <v>1</v>
      </c>
      <c r="H13" s="13">
        <v>25</v>
      </c>
      <c r="I13" s="7">
        <v>11000</v>
      </c>
      <c r="J13" s="14">
        <v>4770</v>
      </c>
      <c r="K13" s="15">
        <f>L13+3793</f>
        <v>8555</v>
      </c>
      <c r="L13" s="15">
        <f>2477+2285</f>
        <v>4762</v>
      </c>
      <c r="M13" s="16">
        <f t="shared" si="0"/>
        <v>4762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0.99832285115303987</v>
      </c>
      <c r="AC13" s="9">
        <f t="shared" si="5"/>
        <v>1</v>
      </c>
      <c r="AD13" s="10">
        <f t="shared" si="6"/>
        <v>0.99832285115303987</v>
      </c>
      <c r="AE13" s="39">
        <f t="shared" si="7"/>
        <v>0.42713447992512904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122</v>
      </c>
      <c r="D14" s="55" t="s">
        <v>381</v>
      </c>
      <c r="E14" s="57" t="s">
        <v>891</v>
      </c>
      <c r="F14" s="12" t="s">
        <v>785</v>
      </c>
      <c r="G14" s="12">
        <v>1</v>
      </c>
      <c r="H14" s="13">
        <v>25</v>
      </c>
      <c r="I14" s="7">
        <v>8000</v>
      </c>
      <c r="J14" s="14">
        <v>4930</v>
      </c>
      <c r="K14" s="15">
        <f>L14+2576</f>
        <v>7502</v>
      </c>
      <c r="L14" s="15">
        <f>2717+2209</f>
        <v>4926</v>
      </c>
      <c r="M14" s="16">
        <f t="shared" si="0"/>
        <v>4926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0.9991886409736308</v>
      </c>
      <c r="AC14" s="9">
        <f t="shared" si="5"/>
        <v>1</v>
      </c>
      <c r="AD14" s="10">
        <f t="shared" si="6"/>
        <v>0.9991886409736308</v>
      </c>
      <c r="AE14" s="39">
        <f t="shared" si="7"/>
        <v>0.42713447992512904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122</v>
      </c>
      <c r="D15" s="55" t="s">
        <v>58</v>
      </c>
      <c r="E15" s="57" t="s">
        <v>560</v>
      </c>
      <c r="F15" s="33" t="s">
        <v>561</v>
      </c>
      <c r="G15" s="36">
        <v>1</v>
      </c>
      <c r="H15" s="38">
        <v>50</v>
      </c>
      <c r="I15" s="7">
        <v>100</v>
      </c>
      <c r="J15" s="5">
        <v>470</v>
      </c>
      <c r="K15" s="15">
        <f>L15+462</f>
        <v>462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0.42713447992512904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37" t="s">
        <v>154</v>
      </c>
      <c r="D16" s="55" t="s">
        <v>284</v>
      </c>
      <c r="E16" s="57" t="s">
        <v>286</v>
      </c>
      <c r="F16" s="12" t="s">
        <v>424</v>
      </c>
      <c r="G16" s="12">
        <v>1</v>
      </c>
      <c r="H16" s="13">
        <v>25</v>
      </c>
      <c r="I16" s="34">
        <v>200</v>
      </c>
      <c r="J16" s="5">
        <v>300</v>
      </c>
      <c r="K16" s="15">
        <f>L16+2138+3980+300</f>
        <v>6418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/>
      <c r="X16" s="17"/>
      <c r="Y16" s="20"/>
      <c r="Z16" s="20"/>
      <c r="AA16" s="21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0.42713447992512904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127</v>
      </c>
      <c r="D17" s="55" t="s">
        <v>892</v>
      </c>
      <c r="E17" s="57" t="s">
        <v>893</v>
      </c>
      <c r="F17" s="12">
        <v>7301</v>
      </c>
      <c r="G17" s="36">
        <v>1</v>
      </c>
      <c r="H17" s="38">
        <v>25</v>
      </c>
      <c r="I17" s="7">
        <v>25000</v>
      </c>
      <c r="J17" s="14">
        <v>5930</v>
      </c>
      <c r="K17" s="15">
        <f>L17+4196</f>
        <v>10122</v>
      </c>
      <c r="L17" s="15">
        <f>2957+2969</f>
        <v>5926</v>
      </c>
      <c r="M17" s="16">
        <f t="shared" si="0"/>
        <v>5926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0.99932546374367626</v>
      </c>
      <c r="AC17" s="9">
        <f t="shared" si="5"/>
        <v>1</v>
      </c>
      <c r="AD17" s="10">
        <f t="shared" si="6"/>
        <v>0.99932546374367626</v>
      </c>
      <c r="AE17" s="39">
        <f t="shared" si="7"/>
        <v>0.42713447992512904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122</v>
      </c>
      <c r="D18" s="55" t="s">
        <v>726</v>
      </c>
      <c r="E18" s="56" t="s">
        <v>727</v>
      </c>
      <c r="F18" s="12">
        <v>8301</v>
      </c>
      <c r="G18" s="12">
        <v>1</v>
      </c>
      <c r="H18" s="13">
        <v>25</v>
      </c>
      <c r="I18" s="34">
        <v>100</v>
      </c>
      <c r="J18" s="5">
        <v>236</v>
      </c>
      <c r="K18" s="15">
        <f>L18+236</f>
        <v>236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0.42713447992512904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341</v>
      </c>
      <c r="D19" s="55" t="s">
        <v>231</v>
      </c>
      <c r="E19" s="57" t="s">
        <v>831</v>
      </c>
      <c r="F19" s="12" t="s">
        <v>258</v>
      </c>
      <c r="G19" s="12">
        <v>1</v>
      </c>
      <c r="H19" s="13">
        <v>25</v>
      </c>
      <c r="I19" s="34">
        <v>12000</v>
      </c>
      <c r="J19" s="5">
        <v>5420</v>
      </c>
      <c r="K19" s="15">
        <f>L19+611+4930</f>
        <v>10956</v>
      </c>
      <c r="L19" s="15">
        <f>2811+2604</f>
        <v>5415</v>
      </c>
      <c r="M19" s="16">
        <f t="shared" si="0"/>
        <v>5415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0.99907749077490771</v>
      </c>
      <c r="AC19" s="9">
        <f t="shared" si="5"/>
        <v>1</v>
      </c>
      <c r="AD19" s="10">
        <f t="shared" si="6"/>
        <v>0.99907749077490771</v>
      </c>
      <c r="AE19" s="39">
        <f t="shared" si="7"/>
        <v>0.42713447992512904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923</v>
      </c>
      <c r="D20" s="55" t="s">
        <v>949</v>
      </c>
      <c r="E20" s="57" t="s">
        <v>950</v>
      </c>
      <c r="F20" s="33" t="s">
        <v>126</v>
      </c>
      <c r="G20" s="36">
        <v>1</v>
      </c>
      <c r="H20" s="38">
        <v>25</v>
      </c>
      <c r="I20" s="34">
        <v>650</v>
      </c>
      <c r="J20" s="5">
        <v>700</v>
      </c>
      <c r="K20" s="15">
        <f>L20</f>
        <v>698</v>
      </c>
      <c r="L20" s="15">
        <f>698</f>
        <v>698</v>
      </c>
      <c r="M20" s="16">
        <f t="shared" si="0"/>
        <v>698</v>
      </c>
      <c r="N20" s="16">
        <v>0</v>
      </c>
      <c r="O20" s="62">
        <f t="shared" si="1"/>
        <v>0</v>
      </c>
      <c r="P20" s="42">
        <f t="shared" si="2"/>
        <v>4</v>
      </c>
      <c r="Q20" s="43">
        <f t="shared" si="3"/>
        <v>20</v>
      </c>
      <c r="R20" s="7"/>
      <c r="S20" s="6"/>
      <c r="T20" s="17"/>
      <c r="U20" s="17"/>
      <c r="V20" s="18"/>
      <c r="W20" s="19">
        <v>20</v>
      </c>
      <c r="X20" s="17"/>
      <c r="Y20" s="20"/>
      <c r="Z20" s="20"/>
      <c r="AA20" s="21"/>
      <c r="AB20" s="8">
        <f t="shared" si="4"/>
        <v>0.99714285714285711</v>
      </c>
      <c r="AC20" s="9">
        <f t="shared" si="5"/>
        <v>0.16666666666666666</v>
      </c>
      <c r="AD20" s="10">
        <f t="shared" si="6"/>
        <v>0.16619047619047617</v>
      </c>
      <c r="AE20" s="39">
        <f t="shared" si="7"/>
        <v>0.42713447992512904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/>
      <c r="E21" s="56" t="s">
        <v>894</v>
      </c>
      <c r="F21" s="12" t="s">
        <v>120</v>
      </c>
      <c r="G21" s="12">
        <v>4</v>
      </c>
      <c r="H21" s="38">
        <v>20</v>
      </c>
      <c r="I21" s="7">
        <v>50000</v>
      </c>
      <c r="J21" s="14">
        <v>53470</v>
      </c>
      <c r="K21" s="15">
        <f>L21+53464</f>
        <v>53464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>
        <v>24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0.42713447992512904</v>
      </c>
      <c r="AF21" s="94">
        <f t="shared" si="8"/>
        <v>15</v>
      </c>
    </row>
    <row r="22" spans="1:32" ht="31.5" customHeight="1" thickBot="1">
      <c r="A22" s="430" t="s">
        <v>34</v>
      </c>
      <c r="B22" s="431"/>
      <c r="C22" s="431"/>
      <c r="D22" s="431"/>
      <c r="E22" s="431"/>
      <c r="F22" s="431"/>
      <c r="G22" s="431"/>
      <c r="H22" s="432"/>
      <c r="I22" s="25">
        <f t="shared" ref="I22:N22" si="18">SUM(I6:I21)</f>
        <v>122700</v>
      </c>
      <c r="J22" s="22">
        <f t="shared" si="18"/>
        <v>99096</v>
      </c>
      <c r="K22" s="23">
        <f t="shared" si="18"/>
        <v>131441</v>
      </c>
      <c r="L22" s="24">
        <f t="shared" si="18"/>
        <v>31469</v>
      </c>
      <c r="M22" s="23">
        <f t="shared" si="18"/>
        <v>31469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154</v>
      </c>
      <c r="Q22" s="46">
        <f t="shared" si="19"/>
        <v>230</v>
      </c>
      <c r="R22" s="26">
        <f t="shared" si="19"/>
        <v>0</v>
      </c>
      <c r="S22" s="27">
        <f t="shared" si="19"/>
        <v>37</v>
      </c>
      <c r="T22" s="27">
        <f t="shared" si="19"/>
        <v>0</v>
      </c>
      <c r="U22" s="27">
        <f t="shared" si="19"/>
        <v>0</v>
      </c>
      <c r="V22" s="28">
        <f t="shared" si="19"/>
        <v>0</v>
      </c>
      <c r="W22" s="29">
        <f t="shared" si="19"/>
        <v>169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24</v>
      </c>
      <c r="AB22" s="31">
        <f>SUM(AB6:AB21)/15</f>
        <v>0.59849169179538442</v>
      </c>
      <c r="AC22" s="4">
        <f>SUM(AC6:AC21)/15</f>
        <v>0.42777777777777781</v>
      </c>
      <c r="AD22" s="4">
        <f>SUM(AD6:AD21)/15</f>
        <v>0.42713447992512904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33" t="s">
        <v>46</v>
      </c>
      <c r="B49" s="433"/>
      <c r="C49" s="433"/>
      <c r="D49" s="433"/>
      <c r="E49" s="433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34" t="s">
        <v>951</v>
      </c>
      <c r="B50" s="435"/>
      <c r="C50" s="435"/>
      <c r="D50" s="435"/>
      <c r="E50" s="435"/>
      <c r="F50" s="435"/>
      <c r="G50" s="435"/>
      <c r="H50" s="435"/>
      <c r="I50" s="435"/>
      <c r="J50" s="435"/>
      <c r="K50" s="435"/>
      <c r="L50" s="435"/>
      <c r="M50" s="436"/>
      <c r="N50" s="437" t="s">
        <v>966</v>
      </c>
      <c r="O50" s="438"/>
      <c r="P50" s="438"/>
      <c r="Q50" s="438"/>
      <c r="R50" s="438"/>
      <c r="S50" s="438"/>
      <c r="T50" s="438"/>
      <c r="U50" s="438"/>
      <c r="V50" s="438"/>
      <c r="W50" s="438"/>
      <c r="X50" s="438"/>
      <c r="Y50" s="438"/>
      <c r="Z50" s="438"/>
      <c r="AA50" s="438"/>
      <c r="AB50" s="438"/>
      <c r="AC50" s="438"/>
      <c r="AD50" s="439"/>
    </row>
    <row r="51" spans="1:32" ht="27" customHeight="1">
      <c r="A51" s="440" t="s">
        <v>2</v>
      </c>
      <c r="B51" s="441"/>
      <c r="C51" s="392" t="s">
        <v>47</v>
      </c>
      <c r="D51" s="392" t="s">
        <v>48</v>
      </c>
      <c r="E51" s="392" t="s">
        <v>113</v>
      </c>
      <c r="F51" s="441" t="s">
        <v>112</v>
      </c>
      <c r="G51" s="441"/>
      <c r="H51" s="441"/>
      <c r="I51" s="441"/>
      <c r="J51" s="441"/>
      <c r="K51" s="441"/>
      <c r="L51" s="441"/>
      <c r="M51" s="442"/>
      <c r="N51" s="73" t="s">
        <v>117</v>
      </c>
      <c r="O51" s="392" t="s">
        <v>47</v>
      </c>
      <c r="P51" s="443" t="s">
        <v>48</v>
      </c>
      <c r="Q51" s="444"/>
      <c r="R51" s="443" t="s">
        <v>39</v>
      </c>
      <c r="S51" s="445"/>
      <c r="T51" s="445"/>
      <c r="U51" s="444"/>
      <c r="V51" s="443" t="s">
        <v>49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64" t="s">
        <v>127</v>
      </c>
      <c r="B52" s="463"/>
      <c r="C52" s="394" t="s">
        <v>954</v>
      </c>
      <c r="D52" s="394" t="s">
        <v>952</v>
      </c>
      <c r="E52" s="393" t="s">
        <v>953</v>
      </c>
      <c r="F52" s="459" t="s">
        <v>906</v>
      </c>
      <c r="G52" s="459"/>
      <c r="H52" s="459"/>
      <c r="I52" s="459"/>
      <c r="J52" s="459"/>
      <c r="K52" s="459"/>
      <c r="L52" s="459"/>
      <c r="M52" s="460"/>
      <c r="N52" s="395" t="s">
        <v>127</v>
      </c>
      <c r="O52" s="74" t="s">
        <v>967</v>
      </c>
      <c r="P52" s="461" t="s">
        <v>968</v>
      </c>
      <c r="Q52" s="462"/>
      <c r="R52" s="463" t="s">
        <v>969</v>
      </c>
      <c r="S52" s="463"/>
      <c r="T52" s="463"/>
      <c r="U52" s="463"/>
      <c r="V52" s="459" t="s">
        <v>970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64" t="s">
        <v>127</v>
      </c>
      <c r="B53" s="463"/>
      <c r="C53" s="394" t="s">
        <v>955</v>
      </c>
      <c r="D53" s="394" t="s">
        <v>949</v>
      </c>
      <c r="E53" s="393" t="s">
        <v>956</v>
      </c>
      <c r="F53" s="459" t="s">
        <v>906</v>
      </c>
      <c r="G53" s="459"/>
      <c r="H53" s="459"/>
      <c r="I53" s="459"/>
      <c r="J53" s="459"/>
      <c r="K53" s="459"/>
      <c r="L53" s="459"/>
      <c r="M53" s="460"/>
      <c r="N53" s="395" t="s">
        <v>127</v>
      </c>
      <c r="O53" s="74" t="s">
        <v>971</v>
      </c>
      <c r="P53" s="461" t="s">
        <v>972</v>
      </c>
      <c r="Q53" s="462"/>
      <c r="R53" s="463" t="s">
        <v>973</v>
      </c>
      <c r="S53" s="463"/>
      <c r="T53" s="463"/>
      <c r="U53" s="463"/>
      <c r="V53" s="459" t="s">
        <v>970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64" t="s">
        <v>957</v>
      </c>
      <c r="B54" s="463"/>
      <c r="C54" s="393" t="s">
        <v>954</v>
      </c>
      <c r="D54" s="394" t="s">
        <v>958</v>
      </c>
      <c r="E54" s="393" t="s">
        <v>959</v>
      </c>
      <c r="F54" s="459" t="s">
        <v>960</v>
      </c>
      <c r="G54" s="459"/>
      <c r="H54" s="459"/>
      <c r="I54" s="459"/>
      <c r="J54" s="459"/>
      <c r="K54" s="459"/>
      <c r="L54" s="459"/>
      <c r="M54" s="460"/>
      <c r="N54" s="395" t="s">
        <v>945</v>
      </c>
      <c r="O54" s="74" t="s">
        <v>899</v>
      </c>
      <c r="P54" s="461" t="s">
        <v>974</v>
      </c>
      <c r="Q54" s="462"/>
      <c r="R54" s="463" t="s">
        <v>975</v>
      </c>
      <c r="S54" s="463"/>
      <c r="T54" s="463"/>
      <c r="U54" s="463"/>
      <c r="V54" s="459" t="s">
        <v>976</v>
      </c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64" t="s">
        <v>961</v>
      </c>
      <c r="B55" s="463"/>
      <c r="C55" s="394" t="s">
        <v>962</v>
      </c>
      <c r="D55" s="394" t="s">
        <v>963</v>
      </c>
      <c r="E55" s="393" t="s">
        <v>964</v>
      </c>
      <c r="F55" s="459" t="s">
        <v>965</v>
      </c>
      <c r="G55" s="459"/>
      <c r="H55" s="459"/>
      <c r="I55" s="459"/>
      <c r="J55" s="459"/>
      <c r="K55" s="459"/>
      <c r="L55" s="459"/>
      <c r="M55" s="460"/>
      <c r="N55" s="395" t="s">
        <v>945</v>
      </c>
      <c r="O55" s="74" t="s">
        <v>977</v>
      </c>
      <c r="P55" s="463" t="s">
        <v>978</v>
      </c>
      <c r="Q55" s="463"/>
      <c r="R55" s="463" t="s">
        <v>979</v>
      </c>
      <c r="S55" s="463"/>
      <c r="T55" s="463"/>
      <c r="U55" s="463"/>
      <c r="V55" s="459" t="s">
        <v>243</v>
      </c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/>
      <c r="B56" s="463"/>
      <c r="C56" s="394"/>
      <c r="D56" s="394"/>
      <c r="E56" s="393"/>
      <c r="F56" s="459"/>
      <c r="G56" s="459"/>
      <c r="H56" s="459"/>
      <c r="I56" s="459"/>
      <c r="J56" s="459"/>
      <c r="K56" s="459"/>
      <c r="L56" s="459"/>
      <c r="M56" s="460"/>
      <c r="N56" s="395" t="s">
        <v>945</v>
      </c>
      <c r="O56" s="74" t="s">
        <v>955</v>
      </c>
      <c r="P56" s="461" t="s">
        <v>980</v>
      </c>
      <c r="Q56" s="462"/>
      <c r="R56" s="463" t="s">
        <v>982</v>
      </c>
      <c r="S56" s="463"/>
      <c r="T56" s="463"/>
      <c r="U56" s="463"/>
      <c r="V56" s="459" t="s">
        <v>243</v>
      </c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394"/>
      <c r="D57" s="394"/>
      <c r="E57" s="393"/>
      <c r="F57" s="459"/>
      <c r="G57" s="459"/>
      <c r="H57" s="459"/>
      <c r="I57" s="459"/>
      <c r="J57" s="459"/>
      <c r="K57" s="459"/>
      <c r="L57" s="459"/>
      <c r="M57" s="460"/>
      <c r="N57" s="395" t="s">
        <v>945</v>
      </c>
      <c r="O57" s="74" t="s">
        <v>954</v>
      </c>
      <c r="P57" s="463" t="s">
        <v>952</v>
      </c>
      <c r="Q57" s="463"/>
      <c r="R57" s="463" t="s">
        <v>981</v>
      </c>
      <c r="S57" s="463"/>
      <c r="T57" s="463"/>
      <c r="U57" s="463"/>
      <c r="V57" s="459" t="s">
        <v>243</v>
      </c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64"/>
      <c r="B58" s="463"/>
      <c r="C58" s="394"/>
      <c r="D58" s="394"/>
      <c r="E58" s="393"/>
      <c r="F58" s="459"/>
      <c r="G58" s="459"/>
      <c r="H58" s="459"/>
      <c r="I58" s="459"/>
      <c r="J58" s="459"/>
      <c r="K58" s="459"/>
      <c r="L58" s="459"/>
      <c r="M58" s="460"/>
      <c r="N58" s="395"/>
      <c r="O58" s="74"/>
      <c r="P58" s="461"/>
      <c r="Q58" s="462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57"/>
      <c r="B59" s="458"/>
      <c r="C59" s="393"/>
      <c r="D59" s="394"/>
      <c r="E59" s="393"/>
      <c r="F59" s="459"/>
      <c r="G59" s="459"/>
      <c r="H59" s="459"/>
      <c r="I59" s="459"/>
      <c r="J59" s="459"/>
      <c r="K59" s="459"/>
      <c r="L59" s="459"/>
      <c r="M59" s="460"/>
      <c r="N59" s="395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</row>
    <row r="60" spans="1:32" ht="27" customHeight="1">
      <c r="A60" s="464"/>
      <c r="B60" s="463"/>
      <c r="C60" s="394"/>
      <c r="D60" s="394"/>
      <c r="E60" s="394"/>
      <c r="F60" s="459"/>
      <c r="G60" s="459"/>
      <c r="H60" s="459"/>
      <c r="I60" s="459"/>
      <c r="J60" s="459"/>
      <c r="K60" s="459"/>
      <c r="L60" s="459"/>
      <c r="M60" s="460"/>
      <c r="N60" s="395"/>
      <c r="O60" s="74"/>
      <c r="P60" s="463"/>
      <c r="Q60" s="463"/>
      <c r="R60" s="463"/>
      <c r="S60" s="463"/>
      <c r="T60" s="463"/>
      <c r="U60" s="463"/>
      <c r="V60" s="459"/>
      <c r="W60" s="459"/>
      <c r="X60" s="459"/>
      <c r="Y60" s="459"/>
      <c r="Z60" s="459"/>
      <c r="AA60" s="459"/>
      <c r="AB60" s="459"/>
      <c r="AC60" s="459"/>
      <c r="AD60" s="460"/>
      <c r="AF60" s="94">
        <f>8*3000</f>
        <v>24000</v>
      </c>
    </row>
    <row r="61" spans="1:32" ht="27" customHeight="1" thickBot="1">
      <c r="A61" s="465"/>
      <c r="B61" s="466"/>
      <c r="C61" s="397"/>
      <c r="D61" s="397"/>
      <c r="E61" s="397"/>
      <c r="F61" s="467"/>
      <c r="G61" s="467"/>
      <c r="H61" s="467"/>
      <c r="I61" s="467"/>
      <c r="J61" s="467"/>
      <c r="K61" s="467"/>
      <c r="L61" s="467"/>
      <c r="M61" s="468"/>
      <c r="N61" s="396"/>
      <c r="O61" s="121"/>
      <c r="P61" s="466"/>
      <c r="Q61" s="466"/>
      <c r="R61" s="466"/>
      <c r="S61" s="466"/>
      <c r="T61" s="466"/>
      <c r="U61" s="466"/>
      <c r="V61" s="467"/>
      <c r="W61" s="467"/>
      <c r="X61" s="467"/>
      <c r="Y61" s="467"/>
      <c r="Z61" s="467"/>
      <c r="AA61" s="467"/>
      <c r="AB61" s="467"/>
      <c r="AC61" s="467"/>
      <c r="AD61" s="468"/>
      <c r="AF61" s="94">
        <f>16*3000</f>
        <v>48000</v>
      </c>
    </row>
    <row r="62" spans="1:32" ht="27.75" thickBot="1">
      <c r="A62" s="469" t="s">
        <v>983</v>
      </c>
      <c r="B62" s="469"/>
      <c r="C62" s="469"/>
      <c r="D62" s="469"/>
      <c r="E62" s="469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70" t="s">
        <v>118</v>
      </c>
      <c r="B63" s="471"/>
      <c r="C63" s="398" t="s">
        <v>2</v>
      </c>
      <c r="D63" s="398" t="s">
        <v>38</v>
      </c>
      <c r="E63" s="398" t="s">
        <v>3</v>
      </c>
      <c r="F63" s="471" t="s">
        <v>115</v>
      </c>
      <c r="G63" s="471"/>
      <c r="H63" s="471"/>
      <c r="I63" s="471"/>
      <c r="J63" s="471"/>
      <c r="K63" s="471" t="s">
        <v>40</v>
      </c>
      <c r="L63" s="471"/>
      <c r="M63" s="398" t="s">
        <v>41</v>
      </c>
      <c r="N63" s="471" t="s">
        <v>42</v>
      </c>
      <c r="O63" s="471"/>
      <c r="P63" s="472" t="s">
        <v>43</v>
      </c>
      <c r="Q63" s="473"/>
      <c r="R63" s="472" t="s">
        <v>44</v>
      </c>
      <c r="S63" s="474"/>
      <c r="T63" s="474"/>
      <c r="U63" s="474"/>
      <c r="V63" s="474"/>
      <c r="W63" s="474"/>
      <c r="X63" s="474"/>
      <c r="Y63" s="474"/>
      <c r="Z63" s="474"/>
      <c r="AA63" s="473"/>
      <c r="AB63" s="471" t="s">
        <v>45</v>
      </c>
      <c r="AC63" s="471"/>
      <c r="AD63" s="475"/>
      <c r="AF63" s="94">
        <f>SUM(AF60:AF62)</f>
        <v>96000</v>
      </c>
    </row>
    <row r="64" spans="1:32" ht="25.5" customHeight="1">
      <c r="A64" s="476">
        <v>1</v>
      </c>
      <c r="B64" s="477"/>
      <c r="C64" s="133" t="s">
        <v>923</v>
      </c>
      <c r="D64" s="401"/>
      <c r="E64" s="399" t="s">
        <v>984</v>
      </c>
      <c r="F64" s="478" t="s">
        <v>985</v>
      </c>
      <c r="G64" s="479"/>
      <c r="H64" s="479"/>
      <c r="I64" s="479"/>
      <c r="J64" s="479"/>
      <c r="K64" s="479" t="s">
        <v>986</v>
      </c>
      <c r="L64" s="479"/>
      <c r="M64" s="54" t="s">
        <v>927</v>
      </c>
      <c r="N64" s="479">
        <v>5</v>
      </c>
      <c r="O64" s="479"/>
      <c r="P64" s="480">
        <v>50</v>
      </c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  <c r="AF64" s="53"/>
    </row>
    <row r="65" spans="1:32" ht="25.5" customHeight="1">
      <c r="A65" s="476">
        <v>2</v>
      </c>
      <c r="B65" s="477"/>
      <c r="C65" s="133" t="s">
        <v>945</v>
      </c>
      <c r="D65" s="401"/>
      <c r="E65" s="399" t="s">
        <v>946</v>
      </c>
      <c r="F65" s="478" t="s">
        <v>947</v>
      </c>
      <c r="G65" s="479"/>
      <c r="H65" s="479"/>
      <c r="I65" s="479"/>
      <c r="J65" s="479"/>
      <c r="K65" s="479" t="s">
        <v>987</v>
      </c>
      <c r="L65" s="479"/>
      <c r="M65" s="54" t="s">
        <v>988</v>
      </c>
      <c r="N65" s="479">
        <v>6</v>
      </c>
      <c r="O65" s="479"/>
      <c r="P65" s="480">
        <v>1000</v>
      </c>
      <c r="Q65" s="480"/>
      <c r="R65" s="459" t="s">
        <v>989</v>
      </c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3</v>
      </c>
      <c r="B66" s="477"/>
      <c r="C66" s="133"/>
      <c r="D66" s="401"/>
      <c r="E66" s="399"/>
      <c r="F66" s="478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4</v>
      </c>
      <c r="B67" s="477"/>
      <c r="C67" s="133"/>
      <c r="D67" s="401"/>
      <c r="E67" s="399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5</v>
      </c>
      <c r="B68" s="477"/>
      <c r="C68" s="133"/>
      <c r="D68" s="401"/>
      <c r="E68" s="399"/>
      <c r="F68" s="479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6</v>
      </c>
      <c r="B69" s="477"/>
      <c r="C69" s="133"/>
      <c r="D69" s="401"/>
      <c r="E69" s="399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7</v>
      </c>
      <c r="B70" s="477"/>
      <c r="C70" s="133"/>
      <c r="D70" s="401"/>
      <c r="E70" s="399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5.5" customHeight="1">
      <c r="A71" s="476">
        <v>8</v>
      </c>
      <c r="B71" s="477"/>
      <c r="C71" s="133"/>
      <c r="D71" s="401"/>
      <c r="E71" s="399"/>
      <c r="F71" s="478"/>
      <c r="G71" s="479"/>
      <c r="H71" s="479"/>
      <c r="I71" s="479"/>
      <c r="J71" s="479"/>
      <c r="K71" s="479"/>
      <c r="L71" s="479"/>
      <c r="M71" s="54"/>
      <c r="N71" s="479"/>
      <c r="O71" s="479"/>
      <c r="P71" s="480"/>
      <c r="Q71" s="480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79"/>
      <c r="AC71" s="479"/>
      <c r="AD71" s="481"/>
      <c r="AF71" s="53"/>
    </row>
    <row r="72" spans="1:32" ht="26.25" customHeight="1" thickBot="1">
      <c r="A72" s="482" t="s">
        <v>990</v>
      </c>
      <c r="B72" s="482"/>
      <c r="C72" s="482"/>
      <c r="D72" s="482"/>
      <c r="E72" s="482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83" t="s">
        <v>118</v>
      </c>
      <c r="B73" s="484"/>
      <c r="C73" s="400" t="s">
        <v>2</v>
      </c>
      <c r="D73" s="400" t="s">
        <v>38</v>
      </c>
      <c r="E73" s="400" t="s">
        <v>3</v>
      </c>
      <c r="F73" s="484" t="s">
        <v>39</v>
      </c>
      <c r="G73" s="484"/>
      <c r="H73" s="484"/>
      <c r="I73" s="484"/>
      <c r="J73" s="484"/>
      <c r="K73" s="485" t="s">
        <v>60</v>
      </c>
      <c r="L73" s="486"/>
      <c r="M73" s="486"/>
      <c r="N73" s="486"/>
      <c r="O73" s="486"/>
      <c r="P73" s="486"/>
      <c r="Q73" s="486"/>
      <c r="R73" s="486"/>
      <c r="S73" s="487"/>
      <c r="T73" s="484" t="s">
        <v>50</v>
      </c>
      <c r="U73" s="484"/>
      <c r="V73" s="485" t="s">
        <v>51</v>
      </c>
      <c r="W73" s="487"/>
      <c r="X73" s="486" t="s">
        <v>52</v>
      </c>
      <c r="Y73" s="486"/>
      <c r="Z73" s="486"/>
      <c r="AA73" s="486"/>
      <c r="AB73" s="486"/>
      <c r="AC73" s="486"/>
      <c r="AD73" s="488"/>
      <c r="AF73" s="53"/>
    </row>
    <row r="74" spans="1:32" ht="33.75" customHeight="1">
      <c r="A74" s="497">
        <v>1</v>
      </c>
      <c r="B74" s="498"/>
      <c r="C74" s="402" t="s">
        <v>122</v>
      </c>
      <c r="D74" s="402"/>
      <c r="E74" s="71" t="s">
        <v>556</v>
      </c>
      <c r="F74" s="499" t="s">
        <v>557</v>
      </c>
      <c r="G74" s="500"/>
      <c r="H74" s="500"/>
      <c r="I74" s="500"/>
      <c r="J74" s="501"/>
      <c r="K74" s="502" t="s">
        <v>141</v>
      </c>
      <c r="L74" s="503"/>
      <c r="M74" s="503"/>
      <c r="N74" s="503"/>
      <c r="O74" s="503"/>
      <c r="P74" s="503"/>
      <c r="Q74" s="503"/>
      <c r="R74" s="503"/>
      <c r="S74" s="504"/>
      <c r="T74" s="505">
        <v>42873</v>
      </c>
      <c r="U74" s="506"/>
      <c r="V74" s="507"/>
      <c r="W74" s="507"/>
      <c r="X74" s="508"/>
      <c r="Y74" s="508"/>
      <c r="Z74" s="508"/>
      <c r="AA74" s="508"/>
      <c r="AB74" s="508"/>
      <c r="AC74" s="508"/>
      <c r="AD74" s="509"/>
      <c r="AF74" s="53"/>
    </row>
    <row r="75" spans="1:32" ht="30" customHeight="1">
      <c r="A75" s="489">
        <f>A74+1</f>
        <v>2</v>
      </c>
      <c r="B75" s="490"/>
      <c r="C75" s="401" t="s">
        <v>122</v>
      </c>
      <c r="D75" s="401"/>
      <c r="E75" s="35" t="s">
        <v>388</v>
      </c>
      <c r="F75" s="490" t="s">
        <v>389</v>
      </c>
      <c r="G75" s="490"/>
      <c r="H75" s="490"/>
      <c r="I75" s="490"/>
      <c r="J75" s="490"/>
      <c r="K75" s="491" t="s">
        <v>522</v>
      </c>
      <c r="L75" s="492"/>
      <c r="M75" s="492"/>
      <c r="N75" s="492"/>
      <c r="O75" s="492"/>
      <c r="P75" s="492"/>
      <c r="Q75" s="492"/>
      <c r="R75" s="492"/>
      <c r="S75" s="493"/>
      <c r="T75" s="494">
        <v>42867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ref="A76:A82" si="20">A75+1</f>
        <v>3</v>
      </c>
      <c r="B76" s="490"/>
      <c r="C76" s="401" t="s">
        <v>127</v>
      </c>
      <c r="D76" s="401"/>
      <c r="E76" s="35" t="s">
        <v>121</v>
      </c>
      <c r="F76" s="490" t="s">
        <v>585</v>
      </c>
      <c r="G76" s="490"/>
      <c r="H76" s="490"/>
      <c r="I76" s="490"/>
      <c r="J76" s="490"/>
      <c r="K76" s="491" t="s">
        <v>61</v>
      </c>
      <c r="L76" s="492"/>
      <c r="M76" s="492"/>
      <c r="N76" s="492"/>
      <c r="O76" s="492"/>
      <c r="P76" s="492"/>
      <c r="Q76" s="492"/>
      <c r="R76" s="492"/>
      <c r="S76" s="493"/>
      <c r="T76" s="494">
        <v>42874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20"/>
        <v>4</v>
      </c>
      <c r="B77" s="490"/>
      <c r="C77" s="401" t="s">
        <v>122</v>
      </c>
      <c r="D77" s="401"/>
      <c r="E77" s="35" t="s">
        <v>623</v>
      </c>
      <c r="F77" s="490" t="s">
        <v>151</v>
      </c>
      <c r="G77" s="490"/>
      <c r="H77" s="490"/>
      <c r="I77" s="490"/>
      <c r="J77" s="490"/>
      <c r="K77" s="491" t="s">
        <v>689</v>
      </c>
      <c r="L77" s="492"/>
      <c r="M77" s="492"/>
      <c r="N77" s="492"/>
      <c r="O77" s="492"/>
      <c r="P77" s="492"/>
      <c r="Q77" s="492"/>
      <c r="R77" s="492"/>
      <c r="S77" s="493"/>
      <c r="T77" s="494">
        <v>42874</v>
      </c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20"/>
        <v>5</v>
      </c>
      <c r="B78" s="490"/>
      <c r="C78" s="401"/>
      <c r="D78" s="401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20"/>
        <v>6</v>
      </c>
      <c r="B79" s="490"/>
      <c r="C79" s="401"/>
      <c r="D79" s="401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20"/>
        <v>7</v>
      </c>
      <c r="B80" s="490"/>
      <c r="C80" s="401"/>
      <c r="D80" s="401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20"/>
        <v>8</v>
      </c>
      <c r="B81" s="490"/>
      <c r="C81" s="401"/>
      <c r="D81" s="401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0" customHeight="1">
      <c r="A82" s="489">
        <f t="shared" si="20"/>
        <v>9</v>
      </c>
      <c r="B82" s="490"/>
      <c r="C82" s="401"/>
      <c r="D82" s="401"/>
      <c r="E82" s="35"/>
      <c r="F82" s="490"/>
      <c r="G82" s="490"/>
      <c r="H82" s="490"/>
      <c r="I82" s="490"/>
      <c r="J82" s="490"/>
      <c r="K82" s="491"/>
      <c r="L82" s="492"/>
      <c r="M82" s="492"/>
      <c r="N82" s="492"/>
      <c r="O82" s="492"/>
      <c r="P82" s="492"/>
      <c r="Q82" s="492"/>
      <c r="R82" s="492"/>
      <c r="S82" s="493"/>
      <c r="T82" s="494"/>
      <c r="U82" s="494"/>
      <c r="V82" s="494"/>
      <c r="W82" s="494"/>
      <c r="X82" s="495"/>
      <c r="Y82" s="495"/>
      <c r="Z82" s="495"/>
      <c r="AA82" s="495"/>
      <c r="AB82" s="495"/>
      <c r="AC82" s="495"/>
      <c r="AD82" s="496"/>
      <c r="AF82" s="53"/>
    </row>
    <row r="83" spans="1:32" ht="36" thickBot="1">
      <c r="A83" s="482" t="s">
        <v>991</v>
      </c>
      <c r="B83" s="482"/>
      <c r="C83" s="482"/>
      <c r="D83" s="482"/>
      <c r="E83" s="482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510" t="s">
        <v>37</v>
      </c>
      <c r="B84" s="511"/>
      <c r="C84" s="511" t="s">
        <v>53</v>
      </c>
      <c r="D84" s="511"/>
      <c r="E84" s="511" t="s">
        <v>54</v>
      </c>
      <c r="F84" s="511"/>
      <c r="G84" s="511"/>
      <c r="H84" s="511"/>
      <c r="I84" s="511"/>
      <c r="J84" s="511"/>
      <c r="K84" s="511" t="s">
        <v>55</v>
      </c>
      <c r="L84" s="511"/>
      <c r="M84" s="511"/>
      <c r="N84" s="511"/>
      <c r="O84" s="511"/>
      <c r="P84" s="511"/>
      <c r="Q84" s="511"/>
      <c r="R84" s="511"/>
      <c r="S84" s="511"/>
      <c r="T84" s="511" t="s">
        <v>56</v>
      </c>
      <c r="U84" s="511"/>
      <c r="V84" s="511" t="s">
        <v>57</v>
      </c>
      <c r="W84" s="511"/>
      <c r="X84" s="511"/>
      <c r="Y84" s="511" t="s">
        <v>52</v>
      </c>
      <c r="Z84" s="511"/>
      <c r="AA84" s="511"/>
      <c r="AB84" s="511"/>
      <c r="AC84" s="511"/>
      <c r="AD84" s="512"/>
      <c r="AF84" s="53"/>
    </row>
    <row r="85" spans="1:32" ht="30.75" customHeight="1">
      <c r="A85" s="513">
        <v>1</v>
      </c>
      <c r="B85" s="514"/>
      <c r="C85" s="515">
        <v>14</v>
      </c>
      <c r="D85" s="515"/>
      <c r="E85" s="515" t="s">
        <v>936</v>
      </c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 t="s">
        <v>552</v>
      </c>
      <c r="U85" s="515"/>
      <c r="V85" s="516">
        <v>2100000</v>
      </c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>
      <c r="A86" s="489">
        <v>2</v>
      </c>
      <c r="B86" s="490"/>
      <c r="C86" s="515"/>
      <c r="D86" s="515"/>
      <c r="E86" s="515"/>
      <c r="F86" s="515"/>
      <c r="G86" s="515"/>
      <c r="H86" s="515"/>
      <c r="I86" s="515"/>
      <c r="J86" s="515"/>
      <c r="K86" s="515"/>
      <c r="L86" s="515"/>
      <c r="M86" s="515"/>
      <c r="N86" s="515"/>
      <c r="O86" s="515"/>
      <c r="P86" s="515"/>
      <c r="Q86" s="515"/>
      <c r="R86" s="515"/>
      <c r="S86" s="515"/>
      <c r="T86" s="515"/>
      <c r="U86" s="515"/>
      <c r="V86" s="516"/>
      <c r="W86" s="516"/>
      <c r="X86" s="516"/>
      <c r="Y86" s="517"/>
      <c r="Z86" s="517"/>
      <c r="AA86" s="517"/>
      <c r="AB86" s="517"/>
      <c r="AC86" s="517"/>
      <c r="AD86" s="518"/>
      <c r="AF86" s="53"/>
    </row>
    <row r="87" spans="1:32" ht="30.75" customHeight="1" thickBot="1">
      <c r="A87" s="519">
        <v>3</v>
      </c>
      <c r="B87" s="520"/>
      <c r="C87" s="520"/>
      <c r="D87" s="520"/>
      <c r="E87" s="520"/>
      <c r="F87" s="520"/>
      <c r="G87" s="520"/>
      <c r="H87" s="520"/>
      <c r="I87" s="520"/>
      <c r="J87" s="520"/>
      <c r="K87" s="520"/>
      <c r="L87" s="520"/>
      <c r="M87" s="520"/>
      <c r="N87" s="520"/>
      <c r="O87" s="520"/>
      <c r="P87" s="520"/>
      <c r="Q87" s="520"/>
      <c r="R87" s="520"/>
      <c r="S87" s="520"/>
      <c r="T87" s="520"/>
      <c r="U87" s="520"/>
      <c r="V87" s="520"/>
      <c r="W87" s="520"/>
      <c r="X87" s="520"/>
      <c r="Y87" s="521"/>
      <c r="Z87" s="521"/>
      <c r="AA87" s="521"/>
      <c r="AB87" s="521"/>
      <c r="AC87" s="521"/>
      <c r="AD87" s="522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abSelected="1"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16" t="s">
        <v>992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17"/>
      <c r="B3" s="417"/>
      <c r="C3" s="417"/>
      <c r="D3" s="417"/>
      <c r="E3" s="417"/>
      <c r="F3" s="417"/>
      <c r="G3" s="417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18" t="s">
        <v>0</v>
      </c>
      <c r="B4" s="420" t="s">
        <v>1</v>
      </c>
      <c r="C4" s="420" t="s">
        <v>2</v>
      </c>
      <c r="D4" s="423" t="s">
        <v>3</v>
      </c>
      <c r="E4" s="425" t="s">
        <v>4</v>
      </c>
      <c r="F4" s="423" t="s">
        <v>5</v>
      </c>
      <c r="G4" s="420" t="s">
        <v>6</v>
      </c>
      <c r="H4" s="426" t="s">
        <v>7</v>
      </c>
      <c r="I4" s="447" t="s">
        <v>8</v>
      </c>
      <c r="J4" s="448"/>
      <c r="K4" s="448"/>
      <c r="L4" s="448"/>
      <c r="M4" s="448"/>
      <c r="N4" s="448"/>
      <c r="O4" s="449"/>
      <c r="P4" s="450" t="s">
        <v>9</v>
      </c>
      <c r="Q4" s="451"/>
      <c r="R4" s="452" t="s">
        <v>10</v>
      </c>
      <c r="S4" s="452"/>
      <c r="T4" s="452"/>
      <c r="U4" s="452"/>
      <c r="V4" s="452"/>
      <c r="W4" s="453" t="s">
        <v>11</v>
      </c>
      <c r="X4" s="452"/>
      <c r="Y4" s="452"/>
      <c r="Z4" s="452"/>
      <c r="AA4" s="454"/>
      <c r="AB4" s="455" t="s">
        <v>12</v>
      </c>
      <c r="AC4" s="428" t="s">
        <v>13</v>
      </c>
      <c r="AD4" s="428" t="s">
        <v>14</v>
      </c>
      <c r="AE4" s="58"/>
    </row>
    <row r="5" spans="1:32" ht="51" customHeight="1" thickBot="1">
      <c r="A5" s="419"/>
      <c r="B5" s="421"/>
      <c r="C5" s="422"/>
      <c r="D5" s="424"/>
      <c r="E5" s="424"/>
      <c r="F5" s="424"/>
      <c r="G5" s="421"/>
      <c r="H5" s="427"/>
      <c r="I5" s="59" t="s">
        <v>15</v>
      </c>
      <c r="J5" s="60" t="s">
        <v>16</v>
      </c>
      <c r="K5" s="414" t="s">
        <v>17</v>
      </c>
      <c r="L5" s="414" t="s">
        <v>18</v>
      </c>
      <c r="M5" s="414" t="s">
        <v>19</v>
      </c>
      <c r="N5" s="41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56"/>
      <c r="AC5" s="429"/>
      <c r="AD5" s="429"/>
      <c r="AE5" s="58"/>
    </row>
    <row r="6" spans="1:32" ht="27" customHeight="1">
      <c r="A6" s="108">
        <v>1</v>
      </c>
      <c r="B6" s="11" t="s">
        <v>59</v>
      </c>
      <c r="C6" s="11" t="s">
        <v>161</v>
      </c>
      <c r="D6" s="55" t="s">
        <v>159</v>
      </c>
      <c r="E6" s="56" t="s">
        <v>162</v>
      </c>
      <c r="F6" s="12" t="s">
        <v>163</v>
      </c>
      <c r="G6" s="36">
        <v>2</v>
      </c>
      <c r="H6" s="38">
        <v>20</v>
      </c>
      <c r="I6" s="7">
        <v>4000</v>
      </c>
      <c r="J6" s="14">
        <v>6140</v>
      </c>
      <c r="K6" s="15">
        <f>L6+6134</f>
        <v>6134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>$AD$21</f>
        <v>0.37158418921993019</v>
      </c>
      <c r="AF6" s="94">
        <f t="shared" ref="AF6:AF20" si="7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145</v>
      </c>
      <c r="E7" s="56" t="s">
        <v>638</v>
      </c>
      <c r="F7" s="12" t="s">
        <v>180</v>
      </c>
      <c r="G7" s="36">
        <v>2</v>
      </c>
      <c r="H7" s="38">
        <v>25</v>
      </c>
      <c r="I7" s="7">
        <v>5000</v>
      </c>
      <c r="J7" s="14">
        <v>4370</v>
      </c>
      <c r="K7" s="15">
        <f>L7+7082+4364</f>
        <v>11446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>$AD$21</f>
        <v>0.37158418921993019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122</v>
      </c>
      <c r="D8" s="55" t="s">
        <v>993</v>
      </c>
      <c r="E8" s="57" t="s">
        <v>994</v>
      </c>
      <c r="F8" s="12" t="s">
        <v>885</v>
      </c>
      <c r="G8" s="36" t="s">
        <v>995</v>
      </c>
      <c r="H8" s="38">
        <v>25</v>
      </c>
      <c r="I8" s="7">
        <v>14000</v>
      </c>
      <c r="J8" s="14">
        <v>2510</v>
      </c>
      <c r="K8" s="15">
        <f>L8</f>
        <v>2501</v>
      </c>
      <c r="L8" s="15">
        <f>2501</f>
        <v>2501</v>
      </c>
      <c r="M8" s="16">
        <f t="shared" si="0"/>
        <v>2501</v>
      </c>
      <c r="N8" s="16">
        <v>0</v>
      </c>
      <c r="O8" s="62">
        <f t="shared" si="1"/>
        <v>0</v>
      </c>
      <c r="P8" s="42">
        <f t="shared" si="2"/>
        <v>14</v>
      </c>
      <c r="Q8" s="43">
        <f t="shared" si="3"/>
        <v>10</v>
      </c>
      <c r="R8" s="7"/>
      <c r="S8" s="6">
        <v>10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0.99641434262948203</v>
      </c>
      <c r="AC8" s="9">
        <f t="shared" si="5"/>
        <v>0.58333333333333337</v>
      </c>
      <c r="AD8" s="10">
        <f t="shared" si="6"/>
        <v>0.58124169986719787</v>
      </c>
      <c r="AE8" s="39">
        <f>$AD$21</f>
        <v>0.37158418921993019</v>
      </c>
      <c r="AF8" s="94">
        <f t="shared" ref="AF8" si="8">A8</f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938</v>
      </c>
      <c r="E9" s="57" t="s">
        <v>996</v>
      </c>
      <c r="F9" s="12" t="s">
        <v>997</v>
      </c>
      <c r="G9" s="12">
        <v>1</v>
      </c>
      <c r="H9" s="13">
        <v>20</v>
      </c>
      <c r="I9" s="34">
        <v>8000</v>
      </c>
      <c r="J9" s="5">
        <v>1770</v>
      </c>
      <c r="K9" s="15">
        <f>L9</f>
        <v>1770</v>
      </c>
      <c r="L9" s="15">
        <f>1592+178</f>
        <v>1770</v>
      </c>
      <c r="M9" s="16">
        <f t="shared" si="0"/>
        <v>1770</v>
      </c>
      <c r="N9" s="16">
        <v>0</v>
      </c>
      <c r="O9" s="62">
        <f t="shared" si="1"/>
        <v>0</v>
      </c>
      <c r="P9" s="42">
        <f t="shared" si="2"/>
        <v>9</v>
      </c>
      <c r="Q9" s="43">
        <f t="shared" si="3"/>
        <v>15</v>
      </c>
      <c r="R9" s="7"/>
      <c r="S9" s="6">
        <v>15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0.375</v>
      </c>
      <c r="AD9" s="10">
        <f t="shared" si="6"/>
        <v>0.375</v>
      </c>
      <c r="AE9" s="39">
        <f>$AD$21</f>
        <v>0.37158418921993019</v>
      </c>
      <c r="AF9" s="94">
        <f t="shared" si="7"/>
        <v>4</v>
      </c>
    </row>
    <row r="10" spans="1:32" ht="27" customHeight="1">
      <c r="A10" s="110">
        <v>5</v>
      </c>
      <c r="B10" s="11" t="s">
        <v>59</v>
      </c>
      <c r="C10" s="11" t="s">
        <v>206</v>
      </c>
      <c r="D10" s="55" t="s">
        <v>889</v>
      </c>
      <c r="E10" s="57" t="s">
        <v>890</v>
      </c>
      <c r="F10" s="12" t="s">
        <v>888</v>
      </c>
      <c r="G10" s="12">
        <v>1</v>
      </c>
      <c r="H10" s="13">
        <v>25</v>
      </c>
      <c r="I10" s="34">
        <v>2000</v>
      </c>
      <c r="J10" s="14">
        <v>2600</v>
      </c>
      <c r="K10" s="15">
        <f>L10+2594</f>
        <v>2594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>$AD$21</f>
        <v>0.37158418921993019</v>
      </c>
      <c r="AF10" s="94">
        <f t="shared" si="7"/>
        <v>5</v>
      </c>
    </row>
    <row r="11" spans="1:32" ht="27" customHeight="1">
      <c r="A11" s="110">
        <v>6</v>
      </c>
      <c r="B11" s="11" t="s">
        <v>59</v>
      </c>
      <c r="C11" s="11" t="s">
        <v>945</v>
      </c>
      <c r="D11" s="55" t="s">
        <v>946</v>
      </c>
      <c r="E11" s="57" t="s">
        <v>947</v>
      </c>
      <c r="F11" s="12" t="s">
        <v>948</v>
      </c>
      <c r="G11" s="12">
        <v>1</v>
      </c>
      <c r="H11" s="13">
        <v>25</v>
      </c>
      <c r="I11" s="34">
        <v>1000</v>
      </c>
      <c r="J11" s="14">
        <v>1800</v>
      </c>
      <c r="K11" s="15">
        <f>L11+1800</f>
        <v>1800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>$AD$21</f>
        <v>0.37158418921993019</v>
      </c>
      <c r="AF11" s="94">
        <f t="shared" si="7"/>
        <v>6</v>
      </c>
    </row>
    <row r="12" spans="1:32" ht="27" customHeight="1">
      <c r="A12" s="110">
        <v>7</v>
      </c>
      <c r="B12" s="11" t="s">
        <v>59</v>
      </c>
      <c r="C12" s="11" t="s">
        <v>122</v>
      </c>
      <c r="D12" s="55" t="s">
        <v>381</v>
      </c>
      <c r="E12" s="57" t="s">
        <v>833</v>
      </c>
      <c r="F12" s="12" t="s">
        <v>781</v>
      </c>
      <c r="G12" s="12">
        <v>1</v>
      </c>
      <c r="H12" s="13">
        <v>25</v>
      </c>
      <c r="I12" s="7">
        <v>11000</v>
      </c>
      <c r="J12" s="14">
        <v>3980</v>
      </c>
      <c r="K12" s="15">
        <f>L12+3793+4762</f>
        <v>12526</v>
      </c>
      <c r="L12" s="15">
        <f>3029+271+671</f>
        <v>3971</v>
      </c>
      <c r="M12" s="16">
        <f t="shared" si="0"/>
        <v>3971</v>
      </c>
      <c r="N12" s="16">
        <v>0</v>
      </c>
      <c r="O12" s="62">
        <f t="shared" si="1"/>
        <v>0</v>
      </c>
      <c r="P12" s="42">
        <f t="shared" si="2"/>
        <v>20</v>
      </c>
      <c r="Q12" s="43">
        <f t="shared" si="3"/>
        <v>4</v>
      </c>
      <c r="R12" s="7"/>
      <c r="S12" s="6">
        <v>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0.99773869346733668</v>
      </c>
      <c r="AC12" s="9">
        <f t="shared" si="5"/>
        <v>0.83333333333333337</v>
      </c>
      <c r="AD12" s="10">
        <f t="shared" si="6"/>
        <v>0.83144891122278064</v>
      </c>
      <c r="AE12" s="39">
        <f>$AD$21</f>
        <v>0.37158418921993019</v>
      </c>
      <c r="AF12" s="94">
        <f t="shared" si="7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381</v>
      </c>
      <c r="E13" s="57" t="s">
        <v>891</v>
      </c>
      <c r="F13" s="12" t="s">
        <v>781</v>
      </c>
      <c r="G13" s="12">
        <v>1</v>
      </c>
      <c r="H13" s="13">
        <v>25</v>
      </c>
      <c r="I13" s="7">
        <v>8000</v>
      </c>
      <c r="J13" s="14">
        <v>1680</v>
      </c>
      <c r="K13" s="15">
        <f>L13+2576+4926</f>
        <v>9173</v>
      </c>
      <c r="L13" s="15">
        <v>1671</v>
      </c>
      <c r="M13" s="16">
        <f t="shared" si="0"/>
        <v>1671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/>
      <c r="T13" s="17"/>
      <c r="U13" s="17"/>
      <c r="V13" s="18"/>
      <c r="W13" s="19">
        <v>14</v>
      </c>
      <c r="X13" s="17"/>
      <c r="Y13" s="20"/>
      <c r="Z13" s="20"/>
      <c r="AA13" s="21"/>
      <c r="AB13" s="8">
        <f t="shared" si="4"/>
        <v>0.99464285714285716</v>
      </c>
      <c r="AC13" s="9">
        <f t="shared" si="5"/>
        <v>0.41666666666666669</v>
      </c>
      <c r="AD13" s="10">
        <f t="shared" si="6"/>
        <v>0.41443452380952384</v>
      </c>
      <c r="AE13" s="39">
        <f>$AD$21</f>
        <v>0.37158418921993019</v>
      </c>
      <c r="AF13" s="94">
        <f t="shared" si="7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560</v>
      </c>
      <c r="F14" s="33" t="s">
        <v>561</v>
      </c>
      <c r="G14" s="36">
        <v>1</v>
      </c>
      <c r="H14" s="38">
        <v>50</v>
      </c>
      <c r="I14" s="7">
        <v>100</v>
      </c>
      <c r="J14" s="5">
        <v>470</v>
      </c>
      <c r="K14" s="15">
        <f>L14+462</f>
        <v>462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>$AD$21</f>
        <v>0.37158418921993019</v>
      </c>
      <c r="AF14" s="94">
        <f t="shared" si="7"/>
        <v>9</v>
      </c>
    </row>
    <row r="15" spans="1:32" ht="27" customHeight="1">
      <c r="A15" s="109">
        <v>10</v>
      </c>
      <c r="B15" s="11" t="s">
        <v>59</v>
      </c>
      <c r="C15" s="37" t="s">
        <v>154</v>
      </c>
      <c r="D15" s="55" t="s">
        <v>284</v>
      </c>
      <c r="E15" s="57" t="s">
        <v>286</v>
      </c>
      <c r="F15" s="12" t="s">
        <v>424</v>
      </c>
      <c r="G15" s="12">
        <v>1</v>
      </c>
      <c r="H15" s="13">
        <v>25</v>
      </c>
      <c r="I15" s="34">
        <v>200</v>
      </c>
      <c r="J15" s="5">
        <v>300</v>
      </c>
      <c r="K15" s="15">
        <f>L15+2138+3980+300</f>
        <v>6418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/>
      <c r="X15" s="17"/>
      <c r="Y15" s="20"/>
      <c r="Z15" s="20"/>
      <c r="AA15" s="21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>$AD$21</f>
        <v>0.37158418921993019</v>
      </c>
      <c r="AF15" s="94">
        <f t="shared" si="7"/>
        <v>10</v>
      </c>
    </row>
    <row r="16" spans="1:32" ht="27" customHeight="1">
      <c r="A16" s="109">
        <v>11</v>
      </c>
      <c r="B16" s="11" t="s">
        <v>59</v>
      </c>
      <c r="C16" s="11" t="s">
        <v>122</v>
      </c>
      <c r="D16" s="55" t="s">
        <v>998</v>
      </c>
      <c r="E16" s="57" t="s">
        <v>999</v>
      </c>
      <c r="F16" s="12">
        <v>7301</v>
      </c>
      <c r="G16" s="36">
        <v>1</v>
      </c>
      <c r="H16" s="38">
        <v>25</v>
      </c>
      <c r="I16" s="7">
        <v>12000</v>
      </c>
      <c r="J16" s="14">
        <v>2630</v>
      </c>
      <c r="K16" s="15">
        <f>L16</f>
        <v>2625</v>
      </c>
      <c r="L16" s="15">
        <f>1834+791</f>
        <v>2625</v>
      </c>
      <c r="M16" s="16">
        <f t="shared" si="0"/>
        <v>2625</v>
      </c>
      <c r="N16" s="16">
        <v>0</v>
      </c>
      <c r="O16" s="62">
        <f t="shared" si="1"/>
        <v>0</v>
      </c>
      <c r="P16" s="42">
        <f t="shared" si="2"/>
        <v>19</v>
      </c>
      <c r="Q16" s="43">
        <f t="shared" si="3"/>
        <v>5</v>
      </c>
      <c r="R16" s="7"/>
      <c r="S16" s="6">
        <v>5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0.99809885931558939</v>
      </c>
      <c r="AC16" s="9">
        <f t="shared" si="5"/>
        <v>0.79166666666666663</v>
      </c>
      <c r="AD16" s="10">
        <f t="shared" si="6"/>
        <v>0.79016159695817489</v>
      </c>
      <c r="AE16" s="39">
        <f>$AD$21</f>
        <v>0.37158418921993019</v>
      </c>
      <c r="AF16" s="94">
        <f t="shared" si="7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726</v>
      </c>
      <c r="E17" s="56" t="s">
        <v>727</v>
      </c>
      <c r="F17" s="12">
        <v>8301</v>
      </c>
      <c r="G17" s="12">
        <v>1</v>
      </c>
      <c r="H17" s="13">
        <v>25</v>
      </c>
      <c r="I17" s="34">
        <v>100</v>
      </c>
      <c r="J17" s="5">
        <v>236</v>
      </c>
      <c r="K17" s="15">
        <f>L17+236</f>
        <v>236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>$AD$21</f>
        <v>0.37158418921993019</v>
      </c>
      <c r="AF17" s="94">
        <f t="shared" si="7"/>
        <v>12</v>
      </c>
    </row>
    <row r="18" spans="1:32" ht="27" customHeight="1">
      <c r="A18" s="110">
        <v>13</v>
      </c>
      <c r="B18" s="11" t="s">
        <v>59</v>
      </c>
      <c r="C18" s="37" t="s">
        <v>341</v>
      </c>
      <c r="D18" s="55" t="s">
        <v>231</v>
      </c>
      <c r="E18" s="57" t="s">
        <v>831</v>
      </c>
      <c r="F18" s="12" t="s">
        <v>258</v>
      </c>
      <c r="G18" s="12">
        <v>1</v>
      </c>
      <c r="H18" s="13">
        <v>25</v>
      </c>
      <c r="I18" s="34">
        <v>12000</v>
      </c>
      <c r="J18" s="5">
        <v>3050</v>
      </c>
      <c r="K18" s="15">
        <f>L18+611+4930+5415</f>
        <v>13998</v>
      </c>
      <c r="L18" s="15">
        <f>2609+433</f>
        <v>3042</v>
      </c>
      <c r="M18" s="16">
        <f t="shared" si="0"/>
        <v>3042</v>
      </c>
      <c r="N18" s="16">
        <v>0</v>
      </c>
      <c r="O18" s="62">
        <f t="shared" si="1"/>
        <v>0</v>
      </c>
      <c r="P18" s="42">
        <f t="shared" si="2"/>
        <v>16</v>
      </c>
      <c r="Q18" s="43">
        <f t="shared" si="3"/>
        <v>8</v>
      </c>
      <c r="R18" s="7"/>
      <c r="S18" s="6"/>
      <c r="T18" s="17"/>
      <c r="U18" s="17"/>
      <c r="V18" s="18"/>
      <c r="W18" s="19">
        <v>8</v>
      </c>
      <c r="X18" s="17"/>
      <c r="Y18" s="20"/>
      <c r="Z18" s="20"/>
      <c r="AA18" s="21"/>
      <c r="AB18" s="8">
        <f t="shared" si="4"/>
        <v>0.99737704918032788</v>
      </c>
      <c r="AC18" s="9">
        <f t="shared" si="5"/>
        <v>0.66666666666666663</v>
      </c>
      <c r="AD18" s="10">
        <f t="shared" si="6"/>
        <v>0.66491803278688522</v>
      </c>
      <c r="AE18" s="39">
        <f>$AD$21</f>
        <v>0.37158418921993019</v>
      </c>
      <c r="AF18" s="94">
        <f t="shared" si="7"/>
        <v>13</v>
      </c>
    </row>
    <row r="19" spans="1:32" ht="27" customHeight="1">
      <c r="A19" s="110">
        <v>14</v>
      </c>
      <c r="B19" s="11" t="s">
        <v>59</v>
      </c>
      <c r="C19" s="37" t="s">
        <v>122</v>
      </c>
      <c r="D19" s="55" t="s">
        <v>1000</v>
      </c>
      <c r="E19" s="57" t="s">
        <v>1001</v>
      </c>
      <c r="F19" s="33" t="s">
        <v>126</v>
      </c>
      <c r="G19" s="36">
        <v>1</v>
      </c>
      <c r="H19" s="38">
        <v>25</v>
      </c>
      <c r="I19" s="34">
        <v>8000</v>
      </c>
      <c r="J19" s="5">
        <v>4511</v>
      </c>
      <c r="K19" s="15">
        <f>L19</f>
        <v>4511</v>
      </c>
      <c r="L19" s="15">
        <f>1796+2715</f>
        <v>4511</v>
      </c>
      <c r="M19" s="16">
        <f t="shared" si="0"/>
        <v>4511</v>
      </c>
      <c r="N19" s="16">
        <v>0</v>
      </c>
      <c r="O19" s="62">
        <f t="shared" si="1"/>
        <v>0</v>
      </c>
      <c r="P19" s="42">
        <f t="shared" si="2"/>
        <v>23</v>
      </c>
      <c r="Q19" s="43">
        <f t="shared" si="3"/>
        <v>1</v>
      </c>
      <c r="R19" s="7"/>
      <c r="S19" s="6"/>
      <c r="T19" s="17">
        <v>1</v>
      </c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0.95833333333333337</v>
      </c>
      <c r="AD19" s="10">
        <f t="shared" si="6"/>
        <v>0.95833333333333337</v>
      </c>
      <c r="AE19" s="39">
        <f>$AD$21</f>
        <v>0.37158418921993019</v>
      </c>
      <c r="AF19" s="94">
        <f t="shared" si="7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/>
      <c r="E20" s="56" t="s">
        <v>1002</v>
      </c>
      <c r="F20" s="12" t="s">
        <v>120</v>
      </c>
      <c r="G20" s="12">
        <v>4</v>
      </c>
      <c r="H20" s="38">
        <v>20</v>
      </c>
      <c r="I20" s="7">
        <v>200000</v>
      </c>
      <c r="J20" s="14">
        <v>52950</v>
      </c>
      <c r="K20" s="15">
        <f>L20</f>
        <v>52944</v>
      </c>
      <c r="L20" s="15">
        <f>7939*4+5297*4</f>
        <v>52944</v>
      </c>
      <c r="M20" s="16">
        <f t="shared" si="0"/>
        <v>52944</v>
      </c>
      <c r="N20" s="16">
        <v>0</v>
      </c>
      <c r="O20" s="62">
        <f t="shared" si="1"/>
        <v>0</v>
      </c>
      <c r="P20" s="42">
        <f t="shared" si="2"/>
        <v>23</v>
      </c>
      <c r="Q20" s="43">
        <f t="shared" si="3"/>
        <v>1</v>
      </c>
      <c r="R20" s="7"/>
      <c r="S20" s="6"/>
      <c r="T20" s="17">
        <v>1</v>
      </c>
      <c r="U20" s="17"/>
      <c r="V20" s="18"/>
      <c r="W20" s="19"/>
      <c r="X20" s="17"/>
      <c r="Y20" s="20"/>
      <c r="Z20" s="20"/>
      <c r="AA20" s="21"/>
      <c r="AB20" s="8">
        <f t="shared" si="4"/>
        <v>0.99988668555240789</v>
      </c>
      <c r="AC20" s="9">
        <f t="shared" si="5"/>
        <v>0.95833333333333337</v>
      </c>
      <c r="AD20" s="10">
        <f t="shared" si="6"/>
        <v>0.95822474032105764</v>
      </c>
      <c r="AE20" s="39">
        <f>$AD$21</f>
        <v>0.37158418921993019</v>
      </c>
      <c r="AF20" s="94">
        <f t="shared" si="7"/>
        <v>15</v>
      </c>
    </row>
    <row r="21" spans="1:32" ht="31.5" customHeight="1" thickBot="1">
      <c r="A21" s="430" t="s">
        <v>34</v>
      </c>
      <c r="B21" s="431"/>
      <c r="C21" s="431"/>
      <c r="D21" s="431"/>
      <c r="E21" s="431"/>
      <c r="F21" s="431"/>
      <c r="G21" s="431"/>
      <c r="H21" s="432"/>
      <c r="I21" s="25">
        <f>SUM(I6:I20)</f>
        <v>285400</v>
      </c>
      <c r="J21" s="22">
        <f>SUM(J6:J20)</f>
        <v>88997</v>
      </c>
      <c r="K21" s="23">
        <f>SUM(K6:K20)</f>
        <v>129138</v>
      </c>
      <c r="L21" s="24">
        <f>SUM(L6:L20)</f>
        <v>73035</v>
      </c>
      <c r="M21" s="23">
        <f>SUM(M6:M20)</f>
        <v>73035</v>
      </c>
      <c r="N21" s="24">
        <f>SUM(N6:N20)</f>
        <v>0</v>
      </c>
      <c r="O21" s="44">
        <f t="shared" si="1"/>
        <v>0</v>
      </c>
      <c r="P21" s="45">
        <f>SUM(P6:P20)</f>
        <v>134</v>
      </c>
      <c r="Q21" s="46">
        <f>SUM(Q6:Q20)</f>
        <v>226</v>
      </c>
      <c r="R21" s="26">
        <f>SUM(R6:R20)</f>
        <v>0</v>
      </c>
      <c r="S21" s="27">
        <f>SUM(S6:S20)</f>
        <v>34</v>
      </c>
      <c r="T21" s="27">
        <f>SUM(T6:T20)</f>
        <v>2</v>
      </c>
      <c r="U21" s="27">
        <f>SUM(U6:U20)</f>
        <v>0</v>
      </c>
      <c r="V21" s="28">
        <f>SUM(V6:V20)</f>
        <v>0</v>
      </c>
      <c r="W21" s="29">
        <f>SUM(W6:W20)</f>
        <v>166</v>
      </c>
      <c r="X21" s="30">
        <f>SUM(X6:X20)</f>
        <v>0</v>
      </c>
      <c r="Y21" s="30">
        <f>SUM(Y6:Y20)</f>
        <v>0</v>
      </c>
      <c r="Z21" s="30">
        <f>SUM(Z6:Z20)</f>
        <v>0</v>
      </c>
      <c r="AA21" s="30">
        <f>SUM(AA6:AA20)</f>
        <v>24</v>
      </c>
      <c r="AB21" s="31">
        <f>SUM(AB6:AB20)/15</f>
        <v>0.53227723248586667</v>
      </c>
      <c r="AC21" s="4">
        <f>SUM(AC6:AC20)/15</f>
        <v>0.37222222222222218</v>
      </c>
      <c r="AD21" s="4">
        <f>SUM(AD6:AD20)/15</f>
        <v>0.37158418921993019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33" t="s">
        <v>46</v>
      </c>
      <c r="B48" s="433"/>
      <c r="C48" s="433"/>
      <c r="D48" s="433"/>
      <c r="E48" s="43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34" t="s">
        <v>1003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6"/>
      <c r="N49" s="437" t="s">
        <v>1020</v>
      </c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9"/>
    </row>
    <row r="50" spans="1:32" ht="27" customHeight="1">
      <c r="A50" s="440" t="s">
        <v>2</v>
      </c>
      <c r="B50" s="441"/>
      <c r="C50" s="413" t="s">
        <v>47</v>
      </c>
      <c r="D50" s="413" t="s">
        <v>48</v>
      </c>
      <c r="E50" s="413" t="s">
        <v>113</v>
      </c>
      <c r="F50" s="441" t="s">
        <v>112</v>
      </c>
      <c r="G50" s="441"/>
      <c r="H50" s="441"/>
      <c r="I50" s="441"/>
      <c r="J50" s="441"/>
      <c r="K50" s="441"/>
      <c r="L50" s="441"/>
      <c r="M50" s="442"/>
      <c r="N50" s="73" t="s">
        <v>117</v>
      </c>
      <c r="O50" s="413" t="s">
        <v>47</v>
      </c>
      <c r="P50" s="443" t="s">
        <v>48</v>
      </c>
      <c r="Q50" s="444"/>
      <c r="R50" s="443" t="s">
        <v>39</v>
      </c>
      <c r="S50" s="445"/>
      <c r="T50" s="445"/>
      <c r="U50" s="444"/>
      <c r="V50" s="443" t="s">
        <v>49</v>
      </c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64" t="s">
        <v>1004</v>
      </c>
      <c r="B51" s="463"/>
      <c r="C51" s="409" t="s">
        <v>954</v>
      </c>
      <c r="D51" s="409" t="s">
        <v>938</v>
      </c>
      <c r="E51" s="412" t="s">
        <v>1005</v>
      </c>
      <c r="F51" s="459" t="s">
        <v>1006</v>
      </c>
      <c r="G51" s="459"/>
      <c r="H51" s="459"/>
      <c r="I51" s="459"/>
      <c r="J51" s="459"/>
      <c r="K51" s="459"/>
      <c r="L51" s="459"/>
      <c r="M51" s="460"/>
      <c r="N51" s="408" t="s">
        <v>127</v>
      </c>
      <c r="O51" s="74" t="s">
        <v>967</v>
      </c>
      <c r="P51" s="461" t="s">
        <v>968</v>
      </c>
      <c r="Q51" s="462"/>
      <c r="R51" s="463" t="s">
        <v>969</v>
      </c>
      <c r="S51" s="463"/>
      <c r="T51" s="463"/>
      <c r="U51" s="463"/>
      <c r="V51" s="459" t="s">
        <v>970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64" t="s">
        <v>122</v>
      </c>
      <c r="B52" s="463"/>
      <c r="C52" s="409" t="s">
        <v>1007</v>
      </c>
      <c r="D52" s="409" t="s">
        <v>998</v>
      </c>
      <c r="E52" s="412" t="s">
        <v>999</v>
      </c>
      <c r="F52" s="459" t="s">
        <v>1008</v>
      </c>
      <c r="G52" s="459"/>
      <c r="H52" s="459"/>
      <c r="I52" s="459"/>
      <c r="J52" s="459"/>
      <c r="K52" s="459"/>
      <c r="L52" s="459"/>
      <c r="M52" s="460"/>
      <c r="N52" s="408" t="s">
        <v>127</v>
      </c>
      <c r="O52" s="74" t="s">
        <v>971</v>
      </c>
      <c r="P52" s="461" t="s">
        <v>972</v>
      </c>
      <c r="Q52" s="462"/>
      <c r="R52" s="463" t="s">
        <v>973</v>
      </c>
      <c r="S52" s="463"/>
      <c r="T52" s="463"/>
      <c r="U52" s="463"/>
      <c r="V52" s="459" t="s">
        <v>970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64" t="s">
        <v>1009</v>
      </c>
      <c r="B53" s="463"/>
      <c r="C53" s="412" t="s">
        <v>1010</v>
      </c>
      <c r="D53" s="409" t="s">
        <v>1011</v>
      </c>
      <c r="E53" s="412" t="s">
        <v>1012</v>
      </c>
      <c r="F53" s="459" t="s">
        <v>1013</v>
      </c>
      <c r="G53" s="459"/>
      <c r="H53" s="459"/>
      <c r="I53" s="459"/>
      <c r="J53" s="459"/>
      <c r="K53" s="459"/>
      <c r="L53" s="459"/>
      <c r="M53" s="460"/>
      <c r="N53" s="408" t="s">
        <v>945</v>
      </c>
      <c r="O53" s="74" t="s">
        <v>899</v>
      </c>
      <c r="P53" s="461" t="s">
        <v>974</v>
      </c>
      <c r="Q53" s="462"/>
      <c r="R53" s="463" t="s">
        <v>975</v>
      </c>
      <c r="S53" s="463"/>
      <c r="T53" s="463"/>
      <c r="U53" s="463"/>
      <c r="V53" s="459" t="s">
        <v>1021</v>
      </c>
      <c r="W53" s="459"/>
      <c r="X53" s="459"/>
      <c r="Y53" s="459"/>
      <c r="Z53" s="459"/>
      <c r="AA53" s="459"/>
      <c r="AB53" s="459"/>
      <c r="AC53" s="459"/>
      <c r="AD53" s="460"/>
    </row>
    <row r="54" spans="1:32" ht="27" customHeight="1">
      <c r="A54" s="464" t="s">
        <v>122</v>
      </c>
      <c r="B54" s="463"/>
      <c r="C54" s="409" t="s">
        <v>134</v>
      </c>
      <c r="D54" s="409" t="s">
        <v>1014</v>
      </c>
      <c r="E54" s="412" t="s">
        <v>1015</v>
      </c>
      <c r="F54" s="459" t="s">
        <v>1016</v>
      </c>
      <c r="G54" s="459"/>
      <c r="H54" s="459"/>
      <c r="I54" s="459"/>
      <c r="J54" s="459"/>
      <c r="K54" s="459"/>
      <c r="L54" s="459"/>
      <c r="M54" s="460"/>
      <c r="N54" s="408" t="s">
        <v>122</v>
      </c>
      <c r="O54" s="74" t="s">
        <v>132</v>
      </c>
      <c r="P54" s="463" t="s">
        <v>1022</v>
      </c>
      <c r="Q54" s="463"/>
      <c r="R54" s="463" t="s">
        <v>996</v>
      </c>
      <c r="S54" s="463"/>
      <c r="T54" s="463"/>
      <c r="U54" s="463"/>
      <c r="V54" s="459" t="s">
        <v>1023</v>
      </c>
      <c r="W54" s="459"/>
      <c r="X54" s="459"/>
      <c r="Y54" s="459"/>
      <c r="Z54" s="459"/>
      <c r="AA54" s="459"/>
      <c r="AB54" s="459"/>
      <c r="AC54" s="459"/>
      <c r="AD54" s="460"/>
    </row>
    <row r="55" spans="1:32" ht="27" customHeight="1">
      <c r="A55" s="464" t="s">
        <v>122</v>
      </c>
      <c r="B55" s="463"/>
      <c r="C55" s="409" t="s">
        <v>1017</v>
      </c>
      <c r="D55" s="409" t="s">
        <v>993</v>
      </c>
      <c r="E55" s="412" t="s">
        <v>1018</v>
      </c>
      <c r="F55" s="459" t="s">
        <v>1008</v>
      </c>
      <c r="G55" s="459"/>
      <c r="H55" s="459"/>
      <c r="I55" s="459"/>
      <c r="J55" s="459"/>
      <c r="K55" s="459"/>
      <c r="L55" s="459"/>
      <c r="M55" s="460"/>
      <c r="N55" s="408"/>
      <c r="O55" s="74"/>
      <c r="P55" s="461"/>
      <c r="Q55" s="462"/>
      <c r="R55" s="463"/>
      <c r="S55" s="463"/>
      <c r="T55" s="463"/>
      <c r="U55" s="463"/>
      <c r="V55" s="459"/>
      <c r="W55" s="459"/>
      <c r="X55" s="459"/>
      <c r="Y55" s="459"/>
      <c r="Z55" s="459"/>
      <c r="AA55" s="459"/>
      <c r="AB55" s="459"/>
      <c r="AC55" s="459"/>
      <c r="AD55" s="460"/>
    </row>
    <row r="56" spans="1:32" ht="27" customHeight="1">
      <c r="A56" s="464" t="s">
        <v>122</v>
      </c>
      <c r="B56" s="463"/>
      <c r="C56" s="409" t="s">
        <v>1019</v>
      </c>
      <c r="D56" s="409" t="s">
        <v>1000</v>
      </c>
      <c r="E56" s="412" t="s">
        <v>1001</v>
      </c>
      <c r="F56" s="459" t="s">
        <v>1008</v>
      </c>
      <c r="G56" s="459"/>
      <c r="H56" s="459"/>
      <c r="I56" s="459"/>
      <c r="J56" s="459"/>
      <c r="K56" s="459"/>
      <c r="L56" s="459"/>
      <c r="M56" s="460"/>
      <c r="N56" s="408"/>
      <c r="O56" s="74"/>
      <c r="P56" s="463"/>
      <c r="Q56" s="463"/>
      <c r="R56" s="463"/>
      <c r="S56" s="463"/>
      <c r="T56" s="463"/>
      <c r="U56" s="463"/>
      <c r="V56" s="459"/>
      <c r="W56" s="459"/>
      <c r="X56" s="459"/>
      <c r="Y56" s="459"/>
      <c r="Z56" s="459"/>
      <c r="AA56" s="459"/>
      <c r="AB56" s="459"/>
      <c r="AC56" s="459"/>
      <c r="AD56" s="460"/>
    </row>
    <row r="57" spans="1:32" ht="27" customHeight="1">
      <c r="A57" s="464"/>
      <c r="B57" s="463"/>
      <c r="C57" s="409"/>
      <c r="D57" s="409"/>
      <c r="E57" s="412"/>
      <c r="F57" s="459"/>
      <c r="G57" s="459"/>
      <c r="H57" s="459"/>
      <c r="I57" s="459"/>
      <c r="J57" s="459"/>
      <c r="K57" s="459"/>
      <c r="L57" s="459"/>
      <c r="M57" s="460"/>
      <c r="N57" s="408"/>
      <c r="O57" s="74"/>
      <c r="P57" s="461"/>
      <c r="Q57" s="462"/>
      <c r="R57" s="463"/>
      <c r="S57" s="463"/>
      <c r="T57" s="463"/>
      <c r="U57" s="463"/>
      <c r="V57" s="459"/>
      <c r="W57" s="459"/>
      <c r="X57" s="459"/>
      <c r="Y57" s="459"/>
      <c r="Z57" s="459"/>
      <c r="AA57" s="459"/>
      <c r="AB57" s="459"/>
      <c r="AC57" s="459"/>
      <c r="AD57" s="460"/>
    </row>
    <row r="58" spans="1:32" ht="27" customHeight="1">
      <c r="A58" s="457"/>
      <c r="B58" s="458"/>
      <c r="C58" s="412"/>
      <c r="D58" s="409"/>
      <c r="E58" s="412"/>
      <c r="F58" s="459"/>
      <c r="G58" s="459"/>
      <c r="H58" s="459"/>
      <c r="I58" s="459"/>
      <c r="J58" s="459"/>
      <c r="K58" s="459"/>
      <c r="L58" s="459"/>
      <c r="M58" s="460"/>
      <c r="N58" s="408"/>
      <c r="O58" s="74"/>
      <c r="P58" s="463"/>
      <c r="Q58" s="463"/>
      <c r="R58" s="463"/>
      <c r="S58" s="463"/>
      <c r="T58" s="463"/>
      <c r="U58" s="463"/>
      <c r="V58" s="459"/>
      <c r="W58" s="459"/>
      <c r="X58" s="459"/>
      <c r="Y58" s="459"/>
      <c r="Z58" s="459"/>
      <c r="AA58" s="459"/>
      <c r="AB58" s="459"/>
      <c r="AC58" s="459"/>
      <c r="AD58" s="460"/>
    </row>
    <row r="59" spans="1:32" ht="27" customHeight="1">
      <c r="A59" s="464"/>
      <c r="B59" s="463"/>
      <c r="C59" s="409"/>
      <c r="D59" s="409"/>
      <c r="E59" s="409"/>
      <c r="F59" s="459"/>
      <c r="G59" s="459"/>
      <c r="H59" s="459"/>
      <c r="I59" s="459"/>
      <c r="J59" s="459"/>
      <c r="K59" s="459"/>
      <c r="L59" s="459"/>
      <c r="M59" s="460"/>
      <c r="N59" s="408"/>
      <c r="O59" s="74"/>
      <c r="P59" s="463"/>
      <c r="Q59" s="463"/>
      <c r="R59" s="463"/>
      <c r="S59" s="463"/>
      <c r="T59" s="463"/>
      <c r="U59" s="463"/>
      <c r="V59" s="459"/>
      <c r="W59" s="459"/>
      <c r="X59" s="459"/>
      <c r="Y59" s="459"/>
      <c r="Z59" s="459"/>
      <c r="AA59" s="459"/>
      <c r="AB59" s="459"/>
      <c r="AC59" s="459"/>
      <c r="AD59" s="460"/>
      <c r="AF59" s="94">
        <f>8*3000</f>
        <v>24000</v>
      </c>
    </row>
    <row r="60" spans="1:32" ht="27" customHeight="1" thickBot="1">
      <c r="A60" s="465"/>
      <c r="B60" s="466"/>
      <c r="C60" s="411"/>
      <c r="D60" s="411"/>
      <c r="E60" s="411"/>
      <c r="F60" s="467"/>
      <c r="G60" s="467"/>
      <c r="H60" s="467"/>
      <c r="I60" s="467"/>
      <c r="J60" s="467"/>
      <c r="K60" s="467"/>
      <c r="L60" s="467"/>
      <c r="M60" s="468"/>
      <c r="N60" s="410"/>
      <c r="O60" s="121"/>
      <c r="P60" s="466"/>
      <c r="Q60" s="466"/>
      <c r="R60" s="466"/>
      <c r="S60" s="466"/>
      <c r="T60" s="466"/>
      <c r="U60" s="466"/>
      <c r="V60" s="467"/>
      <c r="W60" s="467"/>
      <c r="X60" s="467"/>
      <c r="Y60" s="467"/>
      <c r="Z60" s="467"/>
      <c r="AA60" s="467"/>
      <c r="AB60" s="467"/>
      <c r="AC60" s="467"/>
      <c r="AD60" s="468"/>
      <c r="AF60" s="94">
        <f>16*3000</f>
        <v>48000</v>
      </c>
    </row>
    <row r="61" spans="1:32" ht="27.75" thickBot="1">
      <c r="A61" s="469" t="s">
        <v>1024</v>
      </c>
      <c r="B61" s="469"/>
      <c r="C61" s="469"/>
      <c r="D61" s="469"/>
      <c r="E61" s="469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70" t="s">
        <v>118</v>
      </c>
      <c r="B62" s="471"/>
      <c r="C62" s="407" t="s">
        <v>2</v>
      </c>
      <c r="D62" s="407" t="s">
        <v>38</v>
      </c>
      <c r="E62" s="407" t="s">
        <v>3</v>
      </c>
      <c r="F62" s="471" t="s">
        <v>115</v>
      </c>
      <c r="G62" s="471"/>
      <c r="H62" s="471"/>
      <c r="I62" s="471"/>
      <c r="J62" s="471"/>
      <c r="K62" s="471" t="s">
        <v>40</v>
      </c>
      <c r="L62" s="471"/>
      <c r="M62" s="407" t="s">
        <v>41</v>
      </c>
      <c r="N62" s="471" t="s">
        <v>42</v>
      </c>
      <c r="O62" s="471"/>
      <c r="P62" s="472" t="s">
        <v>43</v>
      </c>
      <c r="Q62" s="473"/>
      <c r="R62" s="472" t="s">
        <v>44</v>
      </c>
      <c r="S62" s="474"/>
      <c r="T62" s="474"/>
      <c r="U62" s="474"/>
      <c r="V62" s="474"/>
      <c r="W62" s="474"/>
      <c r="X62" s="474"/>
      <c r="Y62" s="474"/>
      <c r="Z62" s="474"/>
      <c r="AA62" s="473"/>
      <c r="AB62" s="471" t="s">
        <v>45</v>
      </c>
      <c r="AC62" s="471"/>
      <c r="AD62" s="475"/>
      <c r="AF62" s="94">
        <f>SUM(AF59:AF61)</f>
        <v>96000</v>
      </c>
    </row>
    <row r="63" spans="1:32" ht="25.5" customHeight="1">
      <c r="A63" s="476">
        <v>1</v>
      </c>
      <c r="B63" s="477"/>
      <c r="C63" s="133"/>
      <c r="D63" s="403"/>
      <c r="E63" s="405"/>
      <c r="F63" s="478"/>
      <c r="G63" s="479"/>
      <c r="H63" s="479"/>
      <c r="I63" s="479"/>
      <c r="J63" s="479"/>
      <c r="K63" s="479"/>
      <c r="L63" s="479"/>
      <c r="M63" s="54"/>
      <c r="N63" s="479"/>
      <c r="O63" s="479"/>
      <c r="P63" s="480"/>
      <c r="Q63" s="480"/>
      <c r="R63" s="459"/>
      <c r="S63" s="459"/>
      <c r="T63" s="459"/>
      <c r="U63" s="459"/>
      <c r="V63" s="459"/>
      <c r="W63" s="459"/>
      <c r="X63" s="459"/>
      <c r="Y63" s="459"/>
      <c r="Z63" s="459"/>
      <c r="AA63" s="459"/>
      <c r="AB63" s="479"/>
      <c r="AC63" s="479"/>
      <c r="AD63" s="481"/>
      <c r="AF63" s="53"/>
    </row>
    <row r="64" spans="1:32" ht="25.5" customHeight="1">
      <c r="A64" s="476">
        <v>2</v>
      </c>
      <c r="B64" s="477"/>
      <c r="C64" s="133"/>
      <c r="D64" s="403"/>
      <c r="E64" s="405"/>
      <c r="F64" s="478"/>
      <c r="G64" s="479"/>
      <c r="H64" s="479"/>
      <c r="I64" s="479"/>
      <c r="J64" s="479"/>
      <c r="K64" s="479"/>
      <c r="L64" s="479"/>
      <c r="M64" s="54"/>
      <c r="N64" s="479"/>
      <c r="O64" s="479"/>
      <c r="P64" s="480"/>
      <c r="Q64" s="480"/>
      <c r="R64" s="459"/>
      <c r="S64" s="459"/>
      <c r="T64" s="459"/>
      <c r="U64" s="459"/>
      <c r="V64" s="459"/>
      <c r="W64" s="459"/>
      <c r="X64" s="459"/>
      <c r="Y64" s="459"/>
      <c r="Z64" s="459"/>
      <c r="AA64" s="459"/>
      <c r="AB64" s="479"/>
      <c r="AC64" s="479"/>
      <c r="AD64" s="481"/>
      <c r="AF64" s="53"/>
    </row>
    <row r="65" spans="1:32" ht="25.5" customHeight="1">
      <c r="A65" s="476">
        <v>3</v>
      </c>
      <c r="B65" s="477"/>
      <c r="C65" s="133"/>
      <c r="D65" s="403"/>
      <c r="E65" s="405"/>
      <c r="F65" s="478"/>
      <c r="G65" s="479"/>
      <c r="H65" s="479"/>
      <c r="I65" s="479"/>
      <c r="J65" s="479"/>
      <c r="K65" s="479"/>
      <c r="L65" s="479"/>
      <c r="M65" s="54"/>
      <c r="N65" s="479"/>
      <c r="O65" s="479"/>
      <c r="P65" s="480"/>
      <c r="Q65" s="480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79"/>
      <c r="AC65" s="479"/>
      <c r="AD65" s="481"/>
      <c r="AF65" s="53"/>
    </row>
    <row r="66" spans="1:32" ht="25.5" customHeight="1">
      <c r="A66" s="476">
        <v>4</v>
      </c>
      <c r="B66" s="477"/>
      <c r="C66" s="133"/>
      <c r="D66" s="403"/>
      <c r="E66" s="405"/>
      <c r="F66" s="479"/>
      <c r="G66" s="479"/>
      <c r="H66" s="479"/>
      <c r="I66" s="479"/>
      <c r="J66" s="479"/>
      <c r="K66" s="479"/>
      <c r="L66" s="479"/>
      <c r="M66" s="54"/>
      <c r="N66" s="479"/>
      <c r="O66" s="479"/>
      <c r="P66" s="480"/>
      <c r="Q66" s="480"/>
      <c r="R66" s="459"/>
      <c r="S66" s="459"/>
      <c r="T66" s="459"/>
      <c r="U66" s="459"/>
      <c r="V66" s="459"/>
      <c r="W66" s="459"/>
      <c r="X66" s="459"/>
      <c r="Y66" s="459"/>
      <c r="Z66" s="459"/>
      <c r="AA66" s="459"/>
      <c r="AB66" s="479"/>
      <c r="AC66" s="479"/>
      <c r="AD66" s="481"/>
      <c r="AF66" s="53"/>
    </row>
    <row r="67" spans="1:32" ht="25.5" customHeight="1">
      <c r="A67" s="476">
        <v>5</v>
      </c>
      <c r="B67" s="477"/>
      <c r="C67" s="133"/>
      <c r="D67" s="403"/>
      <c r="E67" s="405"/>
      <c r="F67" s="479"/>
      <c r="G67" s="479"/>
      <c r="H67" s="479"/>
      <c r="I67" s="479"/>
      <c r="J67" s="479"/>
      <c r="K67" s="479"/>
      <c r="L67" s="479"/>
      <c r="M67" s="54"/>
      <c r="N67" s="479"/>
      <c r="O67" s="479"/>
      <c r="P67" s="480"/>
      <c r="Q67" s="480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79"/>
      <c r="AC67" s="479"/>
      <c r="AD67" s="481"/>
      <c r="AF67" s="53"/>
    </row>
    <row r="68" spans="1:32" ht="25.5" customHeight="1">
      <c r="A68" s="476">
        <v>6</v>
      </c>
      <c r="B68" s="477"/>
      <c r="C68" s="133"/>
      <c r="D68" s="403"/>
      <c r="E68" s="405"/>
      <c r="F68" s="478"/>
      <c r="G68" s="479"/>
      <c r="H68" s="479"/>
      <c r="I68" s="479"/>
      <c r="J68" s="479"/>
      <c r="K68" s="479"/>
      <c r="L68" s="479"/>
      <c r="M68" s="54"/>
      <c r="N68" s="479"/>
      <c r="O68" s="479"/>
      <c r="P68" s="480"/>
      <c r="Q68" s="480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79"/>
      <c r="AC68" s="479"/>
      <c r="AD68" s="481"/>
      <c r="AF68" s="53"/>
    </row>
    <row r="69" spans="1:32" ht="25.5" customHeight="1">
      <c r="A69" s="476">
        <v>7</v>
      </c>
      <c r="B69" s="477"/>
      <c r="C69" s="133"/>
      <c r="D69" s="403"/>
      <c r="E69" s="405"/>
      <c r="F69" s="478"/>
      <c r="G69" s="479"/>
      <c r="H69" s="479"/>
      <c r="I69" s="479"/>
      <c r="J69" s="479"/>
      <c r="K69" s="479"/>
      <c r="L69" s="479"/>
      <c r="M69" s="54"/>
      <c r="N69" s="479"/>
      <c r="O69" s="479"/>
      <c r="P69" s="480"/>
      <c r="Q69" s="480"/>
      <c r="R69" s="459"/>
      <c r="S69" s="459"/>
      <c r="T69" s="459"/>
      <c r="U69" s="459"/>
      <c r="V69" s="459"/>
      <c r="W69" s="459"/>
      <c r="X69" s="459"/>
      <c r="Y69" s="459"/>
      <c r="Z69" s="459"/>
      <c r="AA69" s="459"/>
      <c r="AB69" s="479"/>
      <c r="AC69" s="479"/>
      <c r="AD69" s="481"/>
      <c r="AF69" s="53"/>
    </row>
    <row r="70" spans="1:32" ht="25.5" customHeight="1">
      <c r="A70" s="476">
        <v>8</v>
      </c>
      <c r="B70" s="477"/>
      <c r="C70" s="133"/>
      <c r="D70" s="403"/>
      <c r="E70" s="405"/>
      <c r="F70" s="478"/>
      <c r="G70" s="479"/>
      <c r="H70" s="479"/>
      <c r="I70" s="479"/>
      <c r="J70" s="479"/>
      <c r="K70" s="479"/>
      <c r="L70" s="479"/>
      <c r="M70" s="54"/>
      <c r="N70" s="479"/>
      <c r="O70" s="479"/>
      <c r="P70" s="480"/>
      <c r="Q70" s="480"/>
      <c r="R70" s="459"/>
      <c r="S70" s="459"/>
      <c r="T70" s="459"/>
      <c r="U70" s="459"/>
      <c r="V70" s="459"/>
      <c r="W70" s="459"/>
      <c r="X70" s="459"/>
      <c r="Y70" s="459"/>
      <c r="Z70" s="459"/>
      <c r="AA70" s="459"/>
      <c r="AB70" s="479"/>
      <c r="AC70" s="479"/>
      <c r="AD70" s="481"/>
      <c r="AF70" s="53"/>
    </row>
    <row r="71" spans="1:32" ht="26.25" customHeight="1" thickBot="1">
      <c r="A71" s="482" t="s">
        <v>1025</v>
      </c>
      <c r="B71" s="482"/>
      <c r="C71" s="482"/>
      <c r="D71" s="482"/>
      <c r="E71" s="48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83" t="s">
        <v>118</v>
      </c>
      <c r="B72" s="484"/>
      <c r="C72" s="406" t="s">
        <v>2</v>
      </c>
      <c r="D72" s="406" t="s">
        <v>38</v>
      </c>
      <c r="E72" s="406" t="s">
        <v>3</v>
      </c>
      <c r="F72" s="484" t="s">
        <v>39</v>
      </c>
      <c r="G72" s="484"/>
      <c r="H72" s="484"/>
      <c r="I72" s="484"/>
      <c r="J72" s="484"/>
      <c r="K72" s="485" t="s">
        <v>60</v>
      </c>
      <c r="L72" s="486"/>
      <c r="M72" s="486"/>
      <c r="N72" s="486"/>
      <c r="O72" s="486"/>
      <c r="P72" s="486"/>
      <c r="Q72" s="486"/>
      <c r="R72" s="486"/>
      <c r="S72" s="487"/>
      <c r="T72" s="484" t="s">
        <v>50</v>
      </c>
      <c r="U72" s="484"/>
      <c r="V72" s="485" t="s">
        <v>51</v>
      </c>
      <c r="W72" s="487"/>
      <c r="X72" s="486" t="s">
        <v>52</v>
      </c>
      <c r="Y72" s="486"/>
      <c r="Z72" s="486"/>
      <c r="AA72" s="486"/>
      <c r="AB72" s="486"/>
      <c r="AC72" s="486"/>
      <c r="AD72" s="488"/>
      <c r="AF72" s="53"/>
    </row>
    <row r="73" spans="1:32" ht="33.75" customHeight="1">
      <c r="A73" s="497">
        <v>1</v>
      </c>
      <c r="B73" s="498"/>
      <c r="C73" s="404" t="s">
        <v>122</v>
      </c>
      <c r="D73" s="404"/>
      <c r="E73" s="71" t="s">
        <v>556</v>
      </c>
      <c r="F73" s="499" t="s">
        <v>557</v>
      </c>
      <c r="G73" s="500"/>
      <c r="H73" s="500"/>
      <c r="I73" s="500"/>
      <c r="J73" s="501"/>
      <c r="K73" s="502" t="s">
        <v>141</v>
      </c>
      <c r="L73" s="503"/>
      <c r="M73" s="503"/>
      <c r="N73" s="503"/>
      <c r="O73" s="503"/>
      <c r="P73" s="503"/>
      <c r="Q73" s="503"/>
      <c r="R73" s="503"/>
      <c r="S73" s="504"/>
      <c r="T73" s="505">
        <v>42873</v>
      </c>
      <c r="U73" s="506"/>
      <c r="V73" s="507"/>
      <c r="W73" s="507"/>
      <c r="X73" s="508"/>
      <c r="Y73" s="508"/>
      <c r="Z73" s="508"/>
      <c r="AA73" s="508"/>
      <c r="AB73" s="508"/>
      <c r="AC73" s="508"/>
      <c r="AD73" s="509"/>
      <c r="AF73" s="53"/>
    </row>
    <row r="74" spans="1:32" ht="30" customHeight="1">
      <c r="A74" s="489">
        <f>A73+1</f>
        <v>2</v>
      </c>
      <c r="B74" s="490"/>
      <c r="C74" s="403" t="s">
        <v>122</v>
      </c>
      <c r="D74" s="403"/>
      <c r="E74" s="35" t="s">
        <v>388</v>
      </c>
      <c r="F74" s="490" t="s">
        <v>389</v>
      </c>
      <c r="G74" s="490"/>
      <c r="H74" s="490"/>
      <c r="I74" s="490"/>
      <c r="J74" s="490"/>
      <c r="K74" s="491" t="s">
        <v>522</v>
      </c>
      <c r="L74" s="492"/>
      <c r="M74" s="492"/>
      <c r="N74" s="492"/>
      <c r="O74" s="492"/>
      <c r="P74" s="492"/>
      <c r="Q74" s="492"/>
      <c r="R74" s="492"/>
      <c r="S74" s="493"/>
      <c r="T74" s="494">
        <v>42867</v>
      </c>
      <c r="U74" s="494"/>
      <c r="V74" s="494"/>
      <c r="W74" s="494"/>
      <c r="X74" s="495"/>
      <c r="Y74" s="495"/>
      <c r="Z74" s="495"/>
      <c r="AA74" s="495"/>
      <c r="AB74" s="495"/>
      <c r="AC74" s="495"/>
      <c r="AD74" s="496"/>
      <c r="AF74" s="53"/>
    </row>
    <row r="75" spans="1:32" ht="30" customHeight="1">
      <c r="A75" s="489">
        <f t="shared" ref="A75:A81" si="9">A74+1</f>
        <v>3</v>
      </c>
      <c r="B75" s="490"/>
      <c r="C75" s="403" t="s">
        <v>127</v>
      </c>
      <c r="D75" s="403"/>
      <c r="E75" s="35" t="s">
        <v>121</v>
      </c>
      <c r="F75" s="490" t="s">
        <v>585</v>
      </c>
      <c r="G75" s="490"/>
      <c r="H75" s="490"/>
      <c r="I75" s="490"/>
      <c r="J75" s="490"/>
      <c r="K75" s="491" t="s">
        <v>61</v>
      </c>
      <c r="L75" s="492"/>
      <c r="M75" s="492"/>
      <c r="N75" s="492"/>
      <c r="O75" s="492"/>
      <c r="P75" s="492"/>
      <c r="Q75" s="492"/>
      <c r="R75" s="492"/>
      <c r="S75" s="493"/>
      <c r="T75" s="494">
        <v>42874</v>
      </c>
      <c r="U75" s="494"/>
      <c r="V75" s="494"/>
      <c r="W75" s="494"/>
      <c r="X75" s="495"/>
      <c r="Y75" s="495"/>
      <c r="Z75" s="495"/>
      <c r="AA75" s="495"/>
      <c r="AB75" s="495"/>
      <c r="AC75" s="495"/>
      <c r="AD75" s="496"/>
      <c r="AF75" s="53"/>
    </row>
    <row r="76" spans="1:32" ht="30" customHeight="1">
      <c r="A76" s="489">
        <f t="shared" si="9"/>
        <v>4</v>
      </c>
      <c r="B76" s="490"/>
      <c r="C76" s="403" t="s">
        <v>122</v>
      </c>
      <c r="D76" s="403"/>
      <c r="E76" s="35" t="s">
        <v>623</v>
      </c>
      <c r="F76" s="490" t="s">
        <v>151</v>
      </c>
      <c r="G76" s="490"/>
      <c r="H76" s="490"/>
      <c r="I76" s="490"/>
      <c r="J76" s="490"/>
      <c r="K76" s="491" t="s">
        <v>689</v>
      </c>
      <c r="L76" s="492"/>
      <c r="M76" s="492"/>
      <c r="N76" s="492"/>
      <c r="O76" s="492"/>
      <c r="P76" s="492"/>
      <c r="Q76" s="492"/>
      <c r="R76" s="492"/>
      <c r="S76" s="493"/>
      <c r="T76" s="494">
        <v>42874</v>
      </c>
      <c r="U76" s="494"/>
      <c r="V76" s="494"/>
      <c r="W76" s="494"/>
      <c r="X76" s="495"/>
      <c r="Y76" s="495"/>
      <c r="Z76" s="495"/>
      <c r="AA76" s="495"/>
      <c r="AB76" s="495"/>
      <c r="AC76" s="495"/>
      <c r="AD76" s="496"/>
      <c r="AF76" s="53"/>
    </row>
    <row r="77" spans="1:32" ht="30" customHeight="1">
      <c r="A77" s="489">
        <f t="shared" si="9"/>
        <v>5</v>
      </c>
      <c r="B77" s="490"/>
      <c r="C77" s="403"/>
      <c r="D77" s="403"/>
      <c r="E77" s="35"/>
      <c r="F77" s="490"/>
      <c r="G77" s="490"/>
      <c r="H77" s="490"/>
      <c r="I77" s="490"/>
      <c r="J77" s="490"/>
      <c r="K77" s="491"/>
      <c r="L77" s="492"/>
      <c r="M77" s="492"/>
      <c r="N77" s="492"/>
      <c r="O77" s="492"/>
      <c r="P77" s="492"/>
      <c r="Q77" s="492"/>
      <c r="R77" s="492"/>
      <c r="S77" s="493"/>
      <c r="T77" s="494"/>
      <c r="U77" s="494"/>
      <c r="V77" s="494"/>
      <c r="W77" s="494"/>
      <c r="X77" s="495"/>
      <c r="Y77" s="495"/>
      <c r="Z77" s="495"/>
      <c r="AA77" s="495"/>
      <c r="AB77" s="495"/>
      <c r="AC77" s="495"/>
      <c r="AD77" s="496"/>
      <c r="AF77" s="53"/>
    </row>
    <row r="78" spans="1:32" ht="30" customHeight="1">
      <c r="A78" s="489">
        <f t="shared" si="9"/>
        <v>6</v>
      </c>
      <c r="B78" s="490"/>
      <c r="C78" s="403"/>
      <c r="D78" s="403"/>
      <c r="E78" s="35"/>
      <c r="F78" s="490"/>
      <c r="G78" s="490"/>
      <c r="H78" s="490"/>
      <c r="I78" s="490"/>
      <c r="J78" s="490"/>
      <c r="K78" s="491"/>
      <c r="L78" s="492"/>
      <c r="M78" s="492"/>
      <c r="N78" s="492"/>
      <c r="O78" s="492"/>
      <c r="P78" s="492"/>
      <c r="Q78" s="492"/>
      <c r="R78" s="492"/>
      <c r="S78" s="493"/>
      <c r="T78" s="494"/>
      <c r="U78" s="494"/>
      <c r="V78" s="494"/>
      <c r="W78" s="494"/>
      <c r="X78" s="495"/>
      <c r="Y78" s="495"/>
      <c r="Z78" s="495"/>
      <c r="AA78" s="495"/>
      <c r="AB78" s="495"/>
      <c r="AC78" s="495"/>
      <c r="AD78" s="496"/>
      <c r="AF78" s="53"/>
    </row>
    <row r="79" spans="1:32" ht="30" customHeight="1">
      <c r="A79" s="489">
        <f t="shared" si="9"/>
        <v>7</v>
      </c>
      <c r="B79" s="490"/>
      <c r="C79" s="403"/>
      <c r="D79" s="403"/>
      <c r="E79" s="35"/>
      <c r="F79" s="490"/>
      <c r="G79" s="490"/>
      <c r="H79" s="490"/>
      <c r="I79" s="490"/>
      <c r="J79" s="490"/>
      <c r="K79" s="491"/>
      <c r="L79" s="492"/>
      <c r="M79" s="492"/>
      <c r="N79" s="492"/>
      <c r="O79" s="492"/>
      <c r="P79" s="492"/>
      <c r="Q79" s="492"/>
      <c r="R79" s="492"/>
      <c r="S79" s="493"/>
      <c r="T79" s="494"/>
      <c r="U79" s="494"/>
      <c r="V79" s="494"/>
      <c r="W79" s="494"/>
      <c r="X79" s="495"/>
      <c r="Y79" s="495"/>
      <c r="Z79" s="495"/>
      <c r="AA79" s="495"/>
      <c r="AB79" s="495"/>
      <c r="AC79" s="495"/>
      <c r="AD79" s="496"/>
      <c r="AF79" s="53"/>
    </row>
    <row r="80" spans="1:32" ht="30" customHeight="1">
      <c r="A80" s="489">
        <f t="shared" si="9"/>
        <v>8</v>
      </c>
      <c r="B80" s="490"/>
      <c r="C80" s="403"/>
      <c r="D80" s="403"/>
      <c r="E80" s="35"/>
      <c r="F80" s="490"/>
      <c r="G80" s="490"/>
      <c r="H80" s="490"/>
      <c r="I80" s="490"/>
      <c r="J80" s="490"/>
      <c r="K80" s="491"/>
      <c r="L80" s="492"/>
      <c r="M80" s="492"/>
      <c r="N80" s="492"/>
      <c r="O80" s="492"/>
      <c r="P80" s="492"/>
      <c r="Q80" s="492"/>
      <c r="R80" s="492"/>
      <c r="S80" s="493"/>
      <c r="T80" s="494"/>
      <c r="U80" s="494"/>
      <c r="V80" s="494"/>
      <c r="W80" s="494"/>
      <c r="X80" s="495"/>
      <c r="Y80" s="495"/>
      <c r="Z80" s="495"/>
      <c r="AA80" s="495"/>
      <c r="AB80" s="495"/>
      <c r="AC80" s="495"/>
      <c r="AD80" s="496"/>
      <c r="AF80" s="53"/>
    </row>
    <row r="81" spans="1:32" ht="30" customHeight="1">
      <c r="A81" s="489">
        <f t="shared" si="9"/>
        <v>9</v>
      </c>
      <c r="B81" s="490"/>
      <c r="C81" s="403"/>
      <c r="D81" s="403"/>
      <c r="E81" s="35"/>
      <c r="F81" s="490"/>
      <c r="G81" s="490"/>
      <c r="H81" s="490"/>
      <c r="I81" s="490"/>
      <c r="J81" s="490"/>
      <c r="K81" s="491"/>
      <c r="L81" s="492"/>
      <c r="M81" s="492"/>
      <c r="N81" s="492"/>
      <c r="O81" s="492"/>
      <c r="P81" s="492"/>
      <c r="Q81" s="492"/>
      <c r="R81" s="492"/>
      <c r="S81" s="493"/>
      <c r="T81" s="494"/>
      <c r="U81" s="494"/>
      <c r="V81" s="494"/>
      <c r="W81" s="494"/>
      <c r="X81" s="495"/>
      <c r="Y81" s="495"/>
      <c r="Z81" s="495"/>
      <c r="AA81" s="495"/>
      <c r="AB81" s="495"/>
      <c r="AC81" s="495"/>
      <c r="AD81" s="496"/>
      <c r="AF81" s="53"/>
    </row>
    <row r="82" spans="1:32" ht="36" thickBot="1">
      <c r="A82" s="482" t="s">
        <v>1026</v>
      </c>
      <c r="B82" s="482"/>
      <c r="C82" s="482"/>
      <c r="D82" s="482"/>
      <c r="E82" s="48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510" t="s">
        <v>37</v>
      </c>
      <c r="B83" s="511"/>
      <c r="C83" s="511" t="s">
        <v>53</v>
      </c>
      <c r="D83" s="511"/>
      <c r="E83" s="511" t="s">
        <v>54</v>
      </c>
      <c r="F83" s="511"/>
      <c r="G83" s="511"/>
      <c r="H83" s="511"/>
      <c r="I83" s="511"/>
      <c r="J83" s="511"/>
      <c r="K83" s="511" t="s">
        <v>55</v>
      </c>
      <c r="L83" s="511"/>
      <c r="M83" s="511"/>
      <c r="N83" s="511"/>
      <c r="O83" s="511"/>
      <c r="P83" s="511"/>
      <c r="Q83" s="511"/>
      <c r="R83" s="511"/>
      <c r="S83" s="511"/>
      <c r="T83" s="511" t="s">
        <v>56</v>
      </c>
      <c r="U83" s="511"/>
      <c r="V83" s="511" t="s">
        <v>57</v>
      </c>
      <c r="W83" s="511"/>
      <c r="X83" s="511"/>
      <c r="Y83" s="511" t="s">
        <v>52</v>
      </c>
      <c r="Z83" s="511"/>
      <c r="AA83" s="511"/>
      <c r="AB83" s="511"/>
      <c r="AC83" s="511"/>
      <c r="AD83" s="512"/>
      <c r="AF83" s="53"/>
    </row>
    <row r="84" spans="1:32" ht="30.75" customHeight="1">
      <c r="A84" s="513">
        <v>1</v>
      </c>
      <c r="B84" s="514"/>
      <c r="C84" s="515">
        <v>14</v>
      </c>
      <c r="D84" s="515"/>
      <c r="E84" s="515" t="s">
        <v>936</v>
      </c>
      <c r="F84" s="515"/>
      <c r="G84" s="515"/>
      <c r="H84" s="515"/>
      <c r="I84" s="515"/>
      <c r="J84" s="515"/>
      <c r="K84" s="515"/>
      <c r="L84" s="515"/>
      <c r="M84" s="515"/>
      <c r="N84" s="515"/>
      <c r="O84" s="515"/>
      <c r="P84" s="515"/>
      <c r="Q84" s="515"/>
      <c r="R84" s="515"/>
      <c r="S84" s="515"/>
      <c r="T84" s="515" t="s">
        <v>552</v>
      </c>
      <c r="U84" s="515"/>
      <c r="V84" s="516">
        <v>2100000</v>
      </c>
      <c r="W84" s="516"/>
      <c r="X84" s="516"/>
      <c r="Y84" s="517"/>
      <c r="Z84" s="517"/>
      <c r="AA84" s="517"/>
      <c r="AB84" s="517"/>
      <c r="AC84" s="517"/>
      <c r="AD84" s="518"/>
      <c r="AF84" s="53"/>
    </row>
    <row r="85" spans="1:32" ht="30.75" customHeight="1">
      <c r="A85" s="489">
        <v>2</v>
      </c>
      <c r="B85" s="490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3"/>
    </row>
    <row r="86" spans="1:32" ht="30.75" customHeight="1" thickBot="1">
      <c r="A86" s="519">
        <v>3</v>
      </c>
      <c r="B86" s="520"/>
      <c r="C86" s="520"/>
      <c r="D86" s="520"/>
      <c r="E86" s="520"/>
      <c r="F86" s="520"/>
      <c r="G86" s="520"/>
      <c r="H86" s="520"/>
      <c r="I86" s="520"/>
      <c r="J86" s="520"/>
      <c r="K86" s="520"/>
      <c r="L86" s="520"/>
      <c r="M86" s="520"/>
      <c r="N86" s="520"/>
      <c r="O86" s="520"/>
      <c r="P86" s="520"/>
      <c r="Q86" s="520"/>
      <c r="R86" s="520"/>
      <c r="S86" s="520"/>
      <c r="T86" s="520"/>
      <c r="U86" s="520"/>
      <c r="V86" s="520"/>
      <c r="W86" s="520"/>
      <c r="X86" s="520"/>
      <c r="Y86" s="521"/>
      <c r="Z86" s="521"/>
      <c r="AA86" s="521"/>
      <c r="AB86" s="521"/>
      <c r="AC86" s="521"/>
      <c r="AD86" s="522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25</vt:i4>
      </vt:variant>
    </vt:vector>
  </HeadingPairs>
  <TitlesOfParts>
    <vt:vector size="52" baseType="lpstr">
      <vt:lpstr>총괄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15</vt:lpstr>
      <vt:lpstr>Sheet2</vt:lpstr>
      <vt:lpstr>16</vt:lpstr>
      <vt:lpstr>17</vt:lpstr>
      <vt:lpstr>18</vt:lpstr>
      <vt:lpstr>19</vt:lpstr>
      <vt:lpstr>22</vt:lpstr>
      <vt:lpstr>23</vt:lpstr>
      <vt:lpstr>24</vt:lpstr>
      <vt:lpstr>25</vt:lpstr>
      <vt:lpstr>26</vt:lpstr>
      <vt:lpstr>29</vt:lpstr>
      <vt:lpstr>30</vt:lpstr>
      <vt:lpstr>31</vt:lpstr>
      <vt:lpstr>'01'!Print_Area</vt:lpstr>
      <vt:lpstr>'02'!Print_Area</vt:lpstr>
      <vt:lpstr>'03'!Print_Area</vt:lpstr>
      <vt:lpstr>'04'!Print_Area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'11'!Print_Area</vt:lpstr>
      <vt:lpstr>'12'!Print_Area</vt:lpstr>
      <vt:lpstr>'15'!Print_Area</vt:lpstr>
      <vt:lpstr>'16'!Print_Area</vt:lpstr>
      <vt:lpstr>'17'!Print_Area</vt:lpstr>
      <vt:lpstr>'18'!Print_Area</vt:lpstr>
      <vt:lpstr>'19'!Print_Area</vt:lpstr>
      <vt:lpstr>'22'!Print_Area</vt:lpstr>
      <vt:lpstr>'23'!Print_Area</vt:lpstr>
      <vt:lpstr>'24'!Print_Area</vt:lpstr>
      <vt:lpstr>'25'!Print_Area</vt:lpstr>
      <vt:lpstr>'26'!Print_Area</vt:lpstr>
      <vt:lpstr>'29'!Print_Area</vt:lpstr>
      <vt:lpstr>'30'!Print_Area</vt:lpstr>
      <vt:lpstr>'31'!Print_Area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2017-05-09T00:48:16Z</cp:lastPrinted>
  <dcterms:created xsi:type="dcterms:W3CDTF">2014-05-16T00:06:55Z</dcterms:created>
  <dcterms:modified xsi:type="dcterms:W3CDTF">2017-06-01T10:40:58Z</dcterms:modified>
</cp:coreProperties>
</file>