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23"/>
  </bookViews>
  <sheets>
    <sheet name="총괄" sheetId="16" r:id="rId1"/>
    <sheet name="01" sheetId="966" r:id="rId2"/>
    <sheet name="03" sheetId="967" r:id="rId3"/>
    <sheet name="04" sheetId="968" r:id="rId4"/>
    <sheet name="05" sheetId="969" r:id="rId5"/>
    <sheet name="06" sheetId="970" r:id="rId6"/>
    <sheet name="07" sheetId="971" r:id="rId7"/>
    <sheet name="08" sheetId="972" r:id="rId8"/>
    <sheet name="10" sheetId="973" r:id="rId9"/>
    <sheet name="11" sheetId="974" r:id="rId10"/>
    <sheet name="12" sheetId="975" r:id="rId11"/>
    <sheet name="13" sheetId="976" r:id="rId12"/>
    <sheet name="14" sheetId="977" r:id="rId13"/>
    <sheet name="17" sheetId="978" r:id="rId14"/>
    <sheet name="18" sheetId="979" r:id="rId15"/>
    <sheet name="19" sheetId="980" r:id="rId16"/>
    <sheet name="20" sheetId="981" r:id="rId17"/>
    <sheet name="21" sheetId="982" r:id="rId18"/>
    <sheet name="24" sheetId="983" r:id="rId19"/>
    <sheet name="25" sheetId="984" r:id="rId20"/>
    <sheet name="26" sheetId="985" r:id="rId21"/>
    <sheet name="27" sheetId="986" r:id="rId22"/>
    <sheet name="28" sheetId="987" r:id="rId23"/>
    <sheet name="31" sheetId="988" r:id="rId24"/>
  </sheets>
  <definedNames>
    <definedName name="_xlnm.Print_Area" localSheetId="1">'01'!$A$1:$AD$86</definedName>
    <definedName name="_xlnm.Print_Area" localSheetId="2">'03'!$A$1:$AD$86</definedName>
    <definedName name="_xlnm.Print_Area" localSheetId="3">'04'!$A$1:$AD$87</definedName>
    <definedName name="_xlnm.Print_Area" localSheetId="4">'05'!$A$1:$AD$88</definedName>
    <definedName name="_xlnm.Print_Area" localSheetId="5">'06'!$A$1:$AD$87</definedName>
    <definedName name="_xlnm.Print_Area" localSheetId="6">'07'!$A$1:$AD$88</definedName>
    <definedName name="_xlnm.Print_Area" localSheetId="7">'08'!$A$1:$AD$86</definedName>
    <definedName name="_xlnm.Print_Area" localSheetId="8">'10'!$A$1:$AD$87</definedName>
    <definedName name="_xlnm.Print_Area" localSheetId="9">'11'!$A$1:$AD$86</definedName>
    <definedName name="_xlnm.Print_Area" localSheetId="10">'12'!$A$1:$AD$87</definedName>
    <definedName name="_xlnm.Print_Area" localSheetId="11">'13'!$A$1:$AD$87</definedName>
    <definedName name="_xlnm.Print_Area" localSheetId="12">'14'!$A$1:$AD$86</definedName>
    <definedName name="_xlnm.Print_Area" localSheetId="13">'17'!$A$1:$AD$86</definedName>
    <definedName name="_xlnm.Print_Area" localSheetId="14">'18'!$A$1:$AD$87</definedName>
    <definedName name="_xlnm.Print_Area" localSheetId="15">'19'!$A$1:$AD$86</definedName>
    <definedName name="_xlnm.Print_Area" localSheetId="16">'20'!$A$1:$AD$87</definedName>
    <definedName name="_xlnm.Print_Area" localSheetId="17">'21'!$A$1:$AD$86</definedName>
    <definedName name="_xlnm.Print_Area" localSheetId="18">'24'!$A$1:$AD$86</definedName>
    <definedName name="_xlnm.Print_Area" localSheetId="19">'25'!$A$1:$AD$86</definedName>
    <definedName name="_xlnm.Print_Area" localSheetId="20">'26'!$A$1:$AD$86</definedName>
    <definedName name="_xlnm.Print_Area" localSheetId="21">'27'!$A$1:$AD$87</definedName>
    <definedName name="_xlnm.Print_Area" localSheetId="22">'28'!$A$1:$AD$86</definedName>
    <definedName name="_xlnm.Print_Area" localSheetId="23">'31'!$A$1:$AD$86</definedName>
  </definedNames>
  <calcPr calcId="144525"/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19" i="988"/>
  <c r="K19" i="988" s="1"/>
  <c r="L18" i="988"/>
  <c r="K18" i="988" s="1"/>
  <c r="L16" i="988"/>
  <c r="K16" i="988" s="1"/>
  <c r="K14" i="988"/>
  <c r="L13" i="988"/>
  <c r="K13" i="988"/>
  <c r="L12" i="988"/>
  <c r="K9" i="988"/>
  <c r="L8" i="988"/>
  <c r="K17" i="988"/>
  <c r="K12" i="988"/>
  <c r="K8" i="988"/>
  <c r="A74" i="988"/>
  <c r="A75" i="988" s="1"/>
  <c r="A76" i="988" s="1"/>
  <c r="A77" i="988" s="1"/>
  <c r="A78" i="988" s="1"/>
  <c r="A79" i="988" s="1"/>
  <c r="A80" i="988" s="1"/>
  <c r="A81" i="988" s="1"/>
  <c r="AF62" i="988"/>
  <c r="AF60" i="988"/>
  <c r="AF59" i="988"/>
  <c r="AA21" i="988"/>
  <c r="Z21" i="988"/>
  <c r="Y21" i="988"/>
  <c r="X21" i="988"/>
  <c r="W21" i="988"/>
  <c r="V21" i="988"/>
  <c r="U21" i="988"/>
  <c r="T21" i="988"/>
  <c r="S21" i="988"/>
  <c r="R21" i="988"/>
  <c r="N21" i="988"/>
  <c r="J21" i="988"/>
  <c r="I21" i="988"/>
  <c r="AF20" i="988"/>
  <c r="AB20" i="988"/>
  <c r="Q20" i="988"/>
  <c r="P20" i="988"/>
  <c r="AC20" i="988" s="1"/>
  <c r="O20" i="988"/>
  <c r="M20" i="988"/>
  <c r="K20" i="988"/>
  <c r="AF19" i="988"/>
  <c r="Q19" i="988"/>
  <c r="P19" i="988" s="1"/>
  <c r="AC19" i="988" s="1"/>
  <c r="AF18" i="988"/>
  <c r="AB18" i="988"/>
  <c r="Q18" i="988"/>
  <c r="P18" i="988" s="1"/>
  <c r="AC18" i="988" s="1"/>
  <c r="O18" i="988"/>
  <c r="M18" i="988"/>
  <c r="AF17" i="988"/>
  <c r="AB17" i="988"/>
  <c r="Q17" i="988"/>
  <c r="P17" i="988"/>
  <c r="AC17" i="988" s="1"/>
  <c r="AD17" i="988" s="1"/>
  <c r="O17" i="988"/>
  <c r="M17" i="988"/>
  <c r="AF16" i="988"/>
  <c r="Q16" i="988"/>
  <c r="AF15" i="988"/>
  <c r="AB15" i="988"/>
  <c r="Q15" i="988"/>
  <c r="P15" i="988"/>
  <c r="AC15" i="988" s="1"/>
  <c r="AD15" i="988" s="1"/>
  <c r="O15" i="988"/>
  <c r="M15" i="988"/>
  <c r="K15" i="988"/>
  <c r="AF14" i="988"/>
  <c r="AB14" i="988"/>
  <c r="Q14" i="988"/>
  <c r="P14" i="988"/>
  <c r="AC14" i="988" s="1"/>
  <c r="AD14" i="988" s="1"/>
  <c r="O14" i="988"/>
  <c r="M14" i="988"/>
  <c r="AF13" i="988"/>
  <c r="AB13" i="988"/>
  <c r="Q13" i="988"/>
  <c r="P13" i="988" s="1"/>
  <c r="AC13" i="988" s="1"/>
  <c r="O13" i="988"/>
  <c r="M13" i="988"/>
  <c r="AF12" i="988"/>
  <c r="AB12" i="988"/>
  <c r="Q12" i="988"/>
  <c r="P12" i="988" s="1"/>
  <c r="AC12" i="988" s="1"/>
  <c r="M12" i="988"/>
  <c r="AF11" i="988"/>
  <c r="AB11" i="988"/>
  <c r="Q11" i="988"/>
  <c r="P11" i="988"/>
  <c r="AC11" i="988" s="1"/>
  <c r="O11" i="988"/>
  <c r="M11" i="988"/>
  <c r="K11" i="988"/>
  <c r="AF10" i="988"/>
  <c r="AC10" i="988"/>
  <c r="AB10" i="988"/>
  <c r="Q10" i="988"/>
  <c r="P10" i="988"/>
  <c r="O10" i="988"/>
  <c r="M10" i="988"/>
  <c r="K10" i="988"/>
  <c r="AF9" i="988"/>
  <c r="Q9" i="988"/>
  <c r="P9" i="988"/>
  <c r="AC9" i="988" s="1"/>
  <c r="AF8" i="988"/>
  <c r="Q8" i="988"/>
  <c r="P8" i="988" s="1"/>
  <c r="AC8" i="988" s="1"/>
  <c r="O8" i="988"/>
  <c r="AF7" i="988"/>
  <c r="AC7" i="988"/>
  <c r="AD7" i="988" s="1"/>
  <c r="AB7" i="988"/>
  <c r="Q7" i="988"/>
  <c r="P7" i="988"/>
  <c r="O7" i="988"/>
  <c r="M7" i="988"/>
  <c r="K7" i="988"/>
  <c r="AF6" i="988"/>
  <c r="AB6" i="988"/>
  <c r="Q6" i="988"/>
  <c r="P6" i="988"/>
  <c r="O6" i="988"/>
  <c r="M6" i="988"/>
  <c r="K6" i="988"/>
  <c r="L21" i="988" l="1"/>
  <c r="O21" i="988" s="1"/>
  <c r="P16" i="988"/>
  <c r="AC16" i="988" s="1"/>
  <c r="Q21" i="988"/>
  <c r="AD11" i="988"/>
  <c r="AD18" i="988"/>
  <c r="AD10" i="988"/>
  <c r="AD13" i="988"/>
  <c r="AD20" i="988"/>
  <c r="M19" i="988"/>
  <c r="AB19" i="988"/>
  <c r="M9" i="988"/>
  <c r="AB9" i="988"/>
  <c r="O12" i="988"/>
  <c r="AD12" i="988" s="1"/>
  <c r="M16" i="988"/>
  <c r="AB16" i="988"/>
  <c r="AD16" i="988" s="1"/>
  <c r="O19" i="988"/>
  <c r="AC6" i="988"/>
  <c r="M8" i="988"/>
  <c r="AB8" i="988"/>
  <c r="O9" i="988"/>
  <c r="K21" i="988"/>
  <c r="O16" i="988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19" i="987"/>
  <c r="K18" i="987"/>
  <c r="L16" i="987"/>
  <c r="K13" i="987"/>
  <c r="L12" i="987"/>
  <c r="K12" i="987" s="1"/>
  <c r="L9" i="987"/>
  <c r="L8" i="987"/>
  <c r="K19" i="987"/>
  <c r="K17" i="987"/>
  <c r="K14" i="987"/>
  <c r="K11" i="987"/>
  <c r="K10" i="987"/>
  <c r="K9" i="987"/>
  <c r="K8" i="987"/>
  <c r="A74" i="987"/>
  <c r="A75" i="987" s="1"/>
  <c r="A76" i="987" s="1"/>
  <c r="A77" i="987" s="1"/>
  <c r="A78" i="987" s="1"/>
  <c r="A79" i="987" s="1"/>
  <c r="A80" i="987" s="1"/>
  <c r="A81" i="987" s="1"/>
  <c r="AF62" i="987"/>
  <c r="AF60" i="987"/>
  <c r="AF59" i="987"/>
  <c r="AA21" i="987"/>
  <c r="Z21" i="987"/>
  <c r="Y21" i="987"/>
  <c r="X21" i="987"/>
  <c r="W21" i="987"/>
  <c r="V21" i="987"/>
  <c r="U21" i="987"/>
  <c r="T21" i="987"/>
  <c r="S21" i="987"/>
  <c r="R21" i="987"/>
  <c r="N21" i="987"/>
  <c r="J21" i="987"/>
  <c r="I21" i="987"/>
  <c r="AF20" i="987"/>
  <c r="AB20" i="987"/>
  <c r="Q20" i="987"/>
  <c r="P20" i="987"/>
  <c r="AC20" i="987" s="1"/>
  <c r="O20" i="987"/>
  <c r="M20" i="987"/>
  <c r="K20" i="987"/>
  <c r="AF19" i="987"/>
  <c r="Q19" i="987"/>
  <c r="P19" i="987" s="1"/>
  <c r="AC19" i="987" s="1"/>
  <c r="AF18" i="987"/>
  <c r="Q18" i="987"/>
  <c r="P18" i="987" s="1"/>
  <c r="AC18" i="987" s="1"/>
  <c r="O18" i="987"/>
  <c r="AF17" i="987"/>
  <c r="AB17" i="987"/>
  <c r="Q17" i="987"/>
  <c r="P17" i="987" s="1"/>
  <c r="AC17" i="987" s="1"/>
  <c r="O17" i="987"/>
  <c r="M17" i="987"/>
  <c r="AF16" i="987"/>
  <c r="AB16" i="987"/>
  <c r="Q16" i="987"/>
  <c r="P16" i="987"/>
  <c r="AC16" i="987" s="1"/>
  <c r="O16" i="987"/>
  <c r="M16" i="987"/>
  <c r="K16" i="987"/>
  <c r="AF15" i="987"/>
  <c r="AB15" i="987"/>
  <c r="Q15" i="987"/>
  <c r="P15" i="987"/>
  <c r="AC15" i="987" s="1"/>
  <c r="O15" i="987"/>
  <c r="M15" i="987"/>
  <c r="K15" i="987"/>
  <c r="AF14" i="987"/>
  <c r="AB14" i="987"/>
  <c r="Q14" i="987"/>
  <c r="P14" i="987" s="1"/>
  <c r="AC14" i="987" s="1"/>
  <c r="O14" i="987"/>
  <c r="M14" i="987"/>
  <c r="AF13" i="987"/>
  <c r="AB13" i="987"/>
  <c r="Q13" i="987"/>
  <c r="P13" i="987" s="1"/>
  <c r="AC13" i="987" s="1"/>
  <c r="O13" i="987"/>
  <c r="M13" i="987"/>
  <c r="AF12" i="987"/>
  <c r="Q12" i="987"/>
  <c r="P12" i="987" s="1"/>
  <c r="AC12" i="987" s="1"/>
  <c r="AF11" i="987"/>
  <c r="Q11" i="987"/>
  <c r="P11" i="987"/>
  <c r="AC11" i="987" s="1"/>
  <c r="O11" i="987"/>
  <c r="AF10" i="987"/>
  <c r="Q10" i="987"/>
  <c r="P10" i="987"/>
  <c r="AC10" i="987" s="1"/>
  <c r="O10" i="987"/>
  <c r="AB10" i="987"/>
  <c r="AF9" i="987"/>
  <c r="AB9" i="987"/>
  <c r="Q9" i="987"/>
  <c r="P9" i="987" s="1"/>
  <c r="AC9" i="987" s="1"/>
  <c r="O9" i="987"/>
  <c r="M9" i="987"/>
  <c r="AF8" i="987"/>
  <c r="Q8" i="987"/>
  <c r="L21" i="987"/>
  <c r="O21" i="987" s="1"/>
  <c r="AF7" i="987"/>
  <c r="AB7" i="987"/>
  <c r="Q7" i="987"/>
  <c r="P7" i="987"/>
  <c r="AC7" i="987" s="1"/>
  <c r="O7" i="987"/>
  <c r="M7" i="987"/>
  <c r="K7" i="987"/>
  <c r="AF6" i="987"/>
  <c r="AB6" i="987"/>
  <c r="Q6" i="987"/>
  <c r="P6" i="987"/>
  <c r="AC6" i="987" s="1"/>
  <c r="O6" i="987"/>
  <c r="M6" i="987"/>
  <c r="K6" i="987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986"/>
  <c r="L19" i="986"/>
  <c r="K18" i="986"/>
  <c r="K15" i="986"/>
  <c r="L14" i="986"/>
  <c r="K14" i="986" s="1"/>
  <c r="AF14" i="986"/>
  <c r="Q14" i="986"/>
  <c r="AB14" i="986"/>
  <c r="L13" i="986"/>
  <c r="L12" i="986"/>
  <c r="L11" i="986"/>
  <c r="L10" i="986"/>
  <c r="K10" i="986" s="1"/>
  <c r="L9" i="986"/>
  <c r="K9" i="986" s="1"/>
  <c r="L8" i="986"/>
  <c r="K20" i="986"/>
  <c r="K19" i="986"/>
  <c r="K13" i="986"/>
  <c r="K12" i="986"/>
  <c r="K11" i="986"/>
  <c r="K8" i="986"/>
  <c r="A76" i="986"/>
  <c r="A77" i="986" s="1"/>
  <c r="A78" i="986" s="1"/>
  <c r="A79" i="986" s="1"/>
  <c r="A80" i="986" s="1"/>
  <c r="A81" i="986" s="1"/>
  <c r="A82" i="986" s="1"/>
  <c r="A75" i="986"/>
  <c r="AF61" i="986"/>
  <c r="AF60" i="986"/>
  <c r="AF63" i="986" s="1"/>
  <c r="AA22" i="986"/>
  <c r="Z22" i="986"/>
  <c r="Y22" i="986"/>
  <c r="X22" i="986"/>
  <c r="W22" i="986"/>
  <c r="V22" i="986"/>
  <c r="U22" i="986"/>
  <c r="T22" i="986"/>
  <c r="S22" i="986"/>
  <c r="R22" i="986"/>
  <c r="N22" i="986"/>
  <c r="J22" i="986"/>
  <c r="I22" i="986"/>
  <c r="AF21" i="986"/>
  <c r="AB21" i="986"/>
  <c r="Q21" i="986"/>
  <c r="P21" i="986"/>
  <c r="AC21" i="986" s="1"/>
  <c r="O21" i="986"/>
  <c r="M21" i="986"/>
  <c r="K21" i="986"/>
  <c r="AF20" i="986"/>
  <c r="Q20" i="986"/>
  <c r="M20" i="986"/>
  <c r="P20" i="986"/>
  <c r="AC20" i="986" s="1"/>
  <c r="AF19" i="986"/>
  <c r="Q19" i="986"/>
  <c r="P19" i="986"/>
  <c r="AC19" i="986" s="1"/>
  <c r="AF18" i="986"/>
  <c r="AB18" i="986"/>
  <c r="Q18" i="986"/>
  <c r="P18" i="986" s="1"/>
  <c r="AC18" i="986" s="1"/>
  <c r="O18" i="986"/>
  <c r="M18" i="986"/>
  <c r="AF17" i="986"/>
  <c r="AB17" i="986"/>
  <c r="Q17" i="986"/>
  <c r="P17" i="986"/>
  <c r="AC17" i="986" s="1"/>
  <c r="O17" i="986"/>
  <c r="M17" i="986"/>
  <c r="K17" i="986"/>
  <c r="AF16" i="986"/>
  <c r="AB16" i="986"/>
  <c r="Q16" i="986"/>
  <c r="P16" i="986"/>
  <c r="AC16" i="986" s="1"/>
  <c r="O16" i="986"/>
  <c r="M16" i="986"/>
  <c r="K16" i="986"/>
  <c r="AF15" i="986"/>
  <c r="AB15" i="986"/>
  <c r="Q15" i="986"/>
  <c r="P15" i="986" s="1"/>
  <c r="AC15" i="986" s="1"/>
  <c r="O15" i="986"/>
  <c r="M15" i="986"/>
  <c r="AF13" i="986"/>
  <c r="Q13" i="986"/>
  <c r="O13" i="986"/>
  <c r="AF12" i="986"/>
  <c r="AB12" i="986"/>
  <c r="Q12" i="986"/>
  <c r="P12" i="986" s="1"/>
  <c r="AC12" i="986" s="1"/>
  <c r="O12" i="986"/>
  <c r="M12" i="986"/>
  <c r="AF11" i="986"/>
  <c r="AB11" i="986"/>
  <c r="Q11" i="986"/>
  <c r="P11" i="986" s="1"/>
  <c r="AC11" i="986" s="1"/>
  <c r="O11" i="986"/>
  <c r="M11" i="986"/>
  <c r="AF10" i="986"/>
  <c r="AB10" i="986"/>
  <c r="Q10" i="986"/>
  <c r="P10" i="986" s="1"/>
  <c r="AC10" i="986" s="1"/>
  <c r="O10" i="986"/>
  <c r="M10" i="986"/>
  <c r="AF9" i="986"/>
  <c r="AB9" i="986"/>
  <c r="Q9" i="986"/>
  <c r="P9" i="986" s="1"/>
  <c r="AC9" i="986" s="1"/>
  <c r="O9" i="986"/>
  <c r="M9" i="986"/>
  <c r="AF8" i="986"/>
  <c r="AB8" i="986"/>
  <c r="Q8" i="986"/>
  <c r="P8" i="986" s="1"/>
  <c r="AC8" i="986" s="1"/>
  <c r="M8" i="986"/>
  <c r="AF7" i="986"/>
  <c r="AB7" i="986"/>
  <c r="Q7" i="986"/>
  <c r="P7" i="986"/>
  <c r="AC7" i="986" s="1"/>
  <c r="O7" i="986"/>
  <c r="M7" i="986"/>
  <c r="K7" i="986"/>
  <c r="AF6" i="986"/>
  <c r="AB6" i="986"/>
  <c r="Q6" i="986"/>
  <c r="P6" i="986"/>
  <c r="AC6" i="986" s="1"/>
  <c r="O6" i="986"/>
  <c r="M6" i="986"/>
  <c r="K6" i="986"/>
  <c r="AB21" i="988" l="1"/>
  <c r="AD19" i="988"/>
  <c r="P21" i="988"/>
  <c r="M21" i="988"/>
  <c r="AD9" i="988"/>
  <c r="AD8" i="988"/>
  <c r="AC21" i="988"/>
  <c r="AD6" i="988"/>
  <c r="AD16" i="987"/>
  <c r="AD15" i="987"/>
  <c r="Q21" i="987"/>
  <c r="AD9" i="987"/>
  <c r="AD14" i="987"/>
  <c r="AD13" i="987"/>
  <c r="AD20" i="987"/>
  <c r="AD7" i="987"/>
  <c r="AD17" i="987"/>
  <c r="AD10" i="987"/>
  <c r="M8" i="987"/>
  <c r="AB8" i="987"/>
  <c r="M12" i="987"/>
  <c r="AB12" i="987"/>
  <c r="M19" i="987"/>
  <c r="AB19" i="987"/>
  <c r="AD6" i="987"/>
  <c r="O8" i="987"/>
  <c r="M11" i="987"/>
  <c r="AB11" i="987"/>
  <c r="AD11" i="987" s="1"/>
  <c r="O12" i="987"/>
  <c r="M18" i="987"/>
  <c r="AB18" i="987"/>
  <c r="AD18" i="987" s="1"/>
  <c r="O19" i="987"/>
  <c r="K21" i="987"/>
  <c r="P8" i="987"/>
  <c r="AC8" i="987" s="1"/>
  <c r="AD8" i="987" s="1"/>
  <c r="M10" i="987"/>
  <c r="AD18" i="986"/>
  <c r="O14" i="986"/>
  <c r="P14" i="986"/>
  <c r="AC14" i="986" s="1"/>
  <c r="AD14" i="986" s="1"/>
  <c r="AD17" i="986"/>
  <c r="M14" i="986"/>
  <c r="AD12" i="986"/>
  <c r="AD11" i="986"/>
  <c r="AD10" i="986"/>
  <c r="Q22" i="986"/>
  <c r="AD9" i="986"/>
  <c r="AD21" i="986"/>
  <c r="AD15" i="986"/>
  <c r="AD7" i="986"/>
  <c r="AD16" i="986"/>
  <c r="P13" i="986"/>
  <c r="AC13" i="986" s="1"/>
  <c r="AB20" i="986"/>
  <c r="M19" i="986"/>
  <c r="AB19" i="986"/>
  <c r="O20" i="986"/>
  <c r="AD6" i="986"/>
  <c r="O8" i="986"/>
  <c r="AD8" i="986" s="1"/>
  <c r="M13" i="986"/>
  <c r="M22" i="986" s="1"/>
  <c r="AB13" i="986"/>
  <c r="O19" i="986"/>
  <c r="L22" i="986"/>
  <c r="O22" i="986" s="1"/>
  <c r="K22" i="986"/>
  <c r="AD21" i="988" l="1"/>
  <c r="AE19" i="988" s="1"/>
  <c r="AD12" i="987"/>
  <c r="AD19" i="987"/>
  <c r="AD21" i="987" s="1"/>
  <c r="AB21" i="987"/>
  <c r="M21" i="987"/>
  <c r="AC21" i="987"/>
  <c r="P21" i="987"/>
  <c r="AB22" i="986"/>
  <c r="P22" i="986"/>
  <c r="AD19" i="986"/>
  <c r="AD20" i="986"/>
  <c r="AD13" i="986"/>
  <c r="AC22" i="986"/>
  <c r="AE9" i="988" l="1"/>
  <c r="AE17" i="988"/>
  <c r="AE8" i="988"/>
  <c r="AE6" i="988"/>
  <c r="AE12" i="988"/>
  <c r="AE20" i="988"/>
  <c r="AE16" i="988"/>
  <c r="AE14" i="988"/>
  <c r="AE11" i="988"/>
  <c r="AE13" i="988"/>
  <c r="AE7" i="988"/>
  <c r="AE18" i="988"/>
  <c r="AE15" i="988"/>
  <c r="AE10" i="988"/>
  <c r="AE19" i="987"/>
  <c r="AE16" i="987"/>
  <c r="AE14" i="987"/>
  <c r="AE12" i="987"/>
  <c r="AE13" i="987"/>
  <c r="AE9" i="987"/>
  <c r="AE6" i="987"/>
  <c r="AE8" i="987"/>
  <c r="AE20" i="987"/>
  <c r="AE17" i="987"/>
  <c r="AE15" i="987"/>
  <c r="AE10" i="987"/>
  <c r="AE18" i="987"/>
  <c r="AE11" i="987"/>
  <c r="AE7" i="987"/>
  <c r="AD22" i="986"/>
  <c r="AE14" i="986" s="1"/>
  <c r="AE8" i="986" l="1"/>
  <c r="AE18" i="986"/>
  <c r="AE12" i="986"/>
  <c r="AE15" i="986"/>
  <c r="AE7" i="986"/>
  <c r="AE11" i="986"/>
  <c r="AE10" i="986"/>
  <c r="AE21" i="986"/>
  <c r="AE13" i="986"/>
  <c r="AE17" i="986"/>
  <c r="AE9" i="986"/>
  <c r="AE19" i="986"/>
  <c r="AE16" i="986"/>
  <c r="AE6" i="986"/>
  <c r="AE20" i="986"/>
  <c r="AA18" i="16" l="1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19" i="985"/>
  <c r="K19" i="985" s="1"/>
  <c r="L18" i="985"/>
  <c r="K18" i="985" s="1"/>
  <c r="AF18" i="985"/>
  <c r="Q18" i="985"/>
  <c r="AB18" i="985"/>
  <c r="L13" i="985"/>
  <c r="L12" i="985"/>
  <c r="L11" i="985"/>
  <c r="L21" i="985" s="1"/>
  <c r="O21" i="985" s="1"/>
  <c r="L8" i="985"/>
  <c r="K8" i="985" s="1"/>
  <c r="K16" i="985"/>
  <c r="K14" i="985"/>
  <c r="K13" i="985"/>
  <c r="K12" i="985"/>
  <c r="K10" i="985"/>
  <c r="K7" i="985"/>
  <c r="A74" i="985"/>
  <c r="A75" i="985" s="1"/>
  <c r="A76" i="985" s="1"/>
  <c r="A77" i="985" s="1"/>
  <c r="A78" i="985" s="1"/>
  <c r="A79" i="985" s="1"/>
  <c r="A80" i="985" s="1"/>
  <c r="A81" i="985" s="1"/>
  <c r="AF62" i="985"/>
  <c r="AF60" i="985"/>
  <c r="AF59" i="985"/>
  <c r="AA21" i="985"/>
  <c r="Z21" i="985"/>
  <c r="Y21" i="985"/>
  <c r="X21" i="985"/>
  <c r="W21" i="985"/>
  <c r="V21" i="985"/>
  <c r="U21" i="985"/>
  <c r="T21" i="985"/>
  <c r="S21" i="985"/>
  <c r="R21" i="985"/>
  <c r="N21" i="985"/>
  <c r="J21" i="985"/>
  <c r="I21" i="985"/>
  <c r="AF20" i="985"/>
  <c r="AB20" i="985"/>
  <c r="Q20" i="985"/>
  <c r="P20" i="985"/>
  <c r="AC20" i="985" s="1"/>
  <c r="AD20" i="985" s="1"/>
  <c r="O20" i="985"/>
  <c r="M20" i="985"/>
  <c r="K20" i="985"/>
  <c r="AF19" i="985"/>
  <c r="Q19" i="985"/>
  <c r="AF17" i="985"/>
  <c r="AC17" i="985"/>
  <c r="AB17" i="985"/>
  <c r="Q17" i="985"/>
  <c r="P17" i="985"/>
  <c r="O17" i="985"/>
  <c r="M17" i="985"/>
  <c r="K17" i="985"/>
  <c r="AF16" i="985"/>
  <c r="Q16" i="985"/>
  <c r="P16" i="985"/>
  <c r="AC16" i="985" s="1"/>
  <c r="AF15" i="985"/>
  <c r="AB15" i="985"/>
  <c r="Q15" i="985"/>
  <c r="P15" i="985"/>
  <c r="AC15" i="985" s="1"/>
  <c r="AD15" i="985" s="1"/>
  <c r="O15" i="985"/>
  <c r="M15" i="985"/>
  <c r="K15" i="985"/>
  <c r="AF14" i="985"/>
  <c r="AB14" i="985"/>
  <c r="Q14" i="985"/>
  <c r="P14" i="985" s="1"/>
  <c r="AC14" i="985" s="1"/>
  <c r="O14" i="985"/>
  <c r="M14" i="985"/>
  <c r="AF13" i="985"/>
  <c r="Q13" i="985"/>
  <c r="P13" i="985" s="1"/>
  <c r="AC13" i="985" s="1"/>
  <c r="O13" i="985"/>
  <c r="AB13" i="985"/>
  <c r="AF12" i="985"/>
  <c r="AB12" i="985"/>
  <c r="Q12" i="985"/>
  <c r="P12" i="985"/>
  <c r="AC12" i="985" s="1"/>
  <c r="O12" i="985"/>
  <c r="M12" i="985"/>
  <c r="AF11" i="985"/>
  <c r="AB11" i="985"/>
  <c r="Q11" i="985"/>
  <c r="AF10" i="985"/>
  <c r="AB10" i="985"/>
  <c r="Q10" i="985"/>
  <c r="P10" i="985" s="1"/>
  <c r="AC10" i="985" s="1"/>
  <c r="AD10" i="985" s="1"/>
  <c r="O10" i="985"/>
  <c r="M10" i="985"/>
  <c r="AF9" i="985"/>
  <c r="AB9" i="985"/>
  <c r="Q9" i="985"/>
  <c r="P9" i="985" s="1"/>
  <c r="AC9" i="985" s="1"/>
  <c r="O9" i="985"/>
  <c r="M9" i="985"/>
  <c r="K9" i="985"/>
  <c r="AF8" i="985"/>
  <c r="Q8" i="985"/>
  <c r="P8" i="985"/>
  <c r="AC8" i="985" s="1"/>
  <c r="AF7" i="985"/>
  <c r="Q7" i="985"/>
  <c r="P7" i="985"/>
  <c r="AC7" i="985" s="1"/>
  <c r="O7" i="985"/>
  <c r="AF6" i="985"/>
  <c r="AC6" i="985"/>
  <c r="AB6" i="985"/>
  <c r="Q6" i="985"/>
  <c r="P6" i="985"/>
  <c r="O6" i="985"/>
  <c r="M6" i="985"/>
  <c r="K6" i="985"/>
  <c r="P19" i="985" l="1"/>
  <c r="AC19" i="985" s="1"/>
  <c r="O18" i="985"/>
  <c r="P18" i="985"/>
  <c r="AC18" i="985" s="1"/>
  <c r="M18" i="985"/>
  <c r="K11" i="985"/>
  <c r="K21" i="985" s="1"/>
  <c r="P11" i="985"/>
  <c r="AC11" i="985" s="1"/>
  <c r="M11" i="985"/>
  <c r="Q21" i="985"/>
  <c r="AD9" i="985"/>
  <c r="AD13" i="985"/>
  <c r="AD14" i="985"/>
  <c r="AD12" i="985"/>
  <c r="AD17" i="985"/>
  <c r="M19" i="985"/>
  <c r="AB19" i="985"/>
  <c r="AD6" i="985"/>
  <c r="M8" i="985"/>
  <c r="AB8" i="985"/>
  <c r="AD8" i="985" s="1"/>
  <c r="O11" i="985"/>
  <c r="AD11" i="985" s="1"/>
  <c r="M16" i="985"/>
  <c r="AB16" i="985"/>
  <c r="O19" i="985"/>
  <c r="M7" i="985"/>
  <c r="AB7" i="985"/>
  <c r="AD7" i="985" s="1"/>
  <c r="O8" i="985"/>
  <c r="M13" i="985"/>
  <c r="O16" i="985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19" i="984"/>
  <c r="K18" i="984"/>
  <c r="L16" i="984"/>
  <c r="K16" i="984" s="1"/>
  <c r="L13" i="984"/>
  <c r="L12" i="984"/>
  <c r="L11" i="984"/>
  <c r="K10" i="984"/>
  <c r="L8" i="984"/>
  <c r="M8" i="984" s="1"/>
  <c r="L7" i="984"/>
  <c r="K7" i="984" s="1"/>
  <c r="K20" i="984"/>
  <c r="K19" i="984"/>
  <c r="K15" i="984"/>
  <c r="K14" i="984"/>
  <c r="K13" i="984"/>
  <c r="K12" i="984"/>
  <c r="K11" i="984"/>
  <c r="A74" i="984"/>
  <c r="A75" i="984" s="1"/>
  <c r="A76" i="984" s="1"/>
  <c r="A77" i="984" s="1"/>
  <c r="A78" i="984" s="1"/>
  <c r="A79" i="984" s="1"/>
  <c r="A80" i="984" s="1"/>
  <c r="A81" i="984" s="1"/>
  <c r="AF62" i="984"/>
  <c r="AF60" i="984"/>
  <c r="AF59" i="984"/>
  <c r="AA21" i="984"/>
  <c r="Z21" i="984"/>
  <c r="Y21" i="984"/>
  <c r="X21" i="984"/>
  <c r="W21" i="984"/>
  <c r="V21" i="984"/>
  <c r="U21" i="984"/>
  <c r="T21" i="984"/>
  <c r="S21" i="984"/>
  <c r="R21" i="984"/>
  <c r="N21" i="984"/>
  <c r="J21" i="984"/>
  <c r="I21" i="984"/>
  <c r="AF20" i="984"/>
  <c r="Q20" i="984"/>
  <c r="O20" i="984"/>
  <c r="M20" i="984"/>
  <c r="AB20" i="984"/>
  <c r="AF19" i="984"/>
  <c r="AB19" i="984"/>
  <c r="Q19" i="984"/>
  <c r="M19" i="984"/>
  <c r="P19" i="984"/>
  <c r="AC19" i="984" s="1"/>
  <c r="AF18" i="984"/>
  <c r="Q18" i="984"/>
  <c r="P18" i="984" s="1"/>
  <c r="AC18" i="984" s="1"/>
  <c r="AF17" i="984"/>
  <c r="AB17" i="984"/>
  <c r="Q17" i="984"/>
  <c r="P17" i="984"/>
  <c r="AC17" i="984" s="1"/>
  <c r="AD17" i="984" s="1"/>
  <c r="O17" i="984"/>
  <c r="M17" i="984"/>
  <c r="K17" i="984"/>
  <c r="AF16" i="984"/>
  <c r="AB16" i="984"/>
  <c r="Q16" i="984"/>
  <c r="P16" i="984" s="1"/>
  <c r="AC16" i="984" s="1"/>
  <c r="M16" i="984"/>
  <c r="AF15" i="984"/>
  <c r="Q15" i="984"/>
  <c r="P15" i="984"/>
  <c r="AC15" i="984" s="1"/>
  <c r="AF14" i="984"/>
  <c r="AB14" i="984"/>
  <c r="Q14" i="984"/>
  <c r="P14" i="984"/>
  <c r="AC14" i="984" s="1"/>
  <c r="O14" i="984"/>
  <c r="M14" i="984"/>
  <c r="AF13" i="984"/>
  <c r="AB13" i="984"/>
  <c r="Q13" i="984"/>
  <c r="P13" i="984" s="1"/>
  <c r="AC13" i="984" s="1"/>
  <c r="O13" i="984"/>
  <c r="M13" i="984"/>
  <c r="AF12" i="984"/>
  <c r="AB12" i="984"/>
  <c r="Q12" i="984"/>
  <c r="P12" i="984" s="1"/>
  <c r="AC12" i="984" s="1"/>
  <c r="O12" i="984"/>
  <c r="M12" i="984"/>
  <c r="AF11" i="984"/>
  <c r="AB11" i="984"/>
  <c r="Q11" i="984"/>
  <c r="P11" i="984" s="1"/>
  <c r="AC11" i="984" s="1"/>
  <c r="O11" i="984"/>
  <c r="M11" i="984"/>
  <c r="AF10" i="984"/>
  <c r="Q10" i="984"/>
  <c r="P10" i="984" s="1"/>
  <c r="AC10" i="984" s="1"/>
  <c r="AF9" i="984"/>
  <c r="AB9" i="984"/>
  <c r="Q9" i="984"/>
  <c r="P9" i="984"/>
  <c r="AC9" i="984" s="1"/>
  <c r="AD9" i="984" s="1"/>
  <c r="O9" i="984"/>
  <c r="M9" i="984"/>
  <c r="K9" i="984"/>
  <c r="AF8" i="984"/>
  <c r="Q8" i="984"/>
  <c r="AF7" i="984"/>
  <c r="Q7" i="984"/>
  <c r="AF6" i="984"/>
  <c r="AB6" i="984"/>
  <c r="Q6" i="984"/>
  <c r="P6" i="984"/>
  <c r="O6" i="984"/>
  <c r="M6" i="984"/>
  <c r="K6" i="984"/>
  <c r="AD19" i="985" l="1"/>
  <c r="P21" i="985"/>
  <c r="AC21" i="985"/>
  <c r="AD18" i="985"/>
  <c r="AD16" i="985"/>
  <c r="M21" i="985"/>
  <c r="AB21" i="985"/>
  <c r="AD13" i="984"/>
  <c r="K8" i="984"/>
  <c r="K21" i="984" s="1"/>
  <c r="AB8" i="984"/>
  <c r="P8" i="984"/>
  <c r="AC8" i="984" s="1"/>
  <c r="L21" i="984"/>
  <c r="O21" i="984" s="1"/>
  <c r="Q21" i="984"/>
  <c r="AD12" i="984"/>
  <c r="AD11" i="984"/>
  <c r="AD14" i="984"/>
  <c r="M7" i="984"/>
  <c r="AB7" i="984"/>
  <c r="O8" i="984"/>
  <c r="M10" i="984"/>
  <c r="AB10" i="984"/>
  <c r="M15" i="984"/>
  <c r="AB15" i="984"/>
  <c r="O16" i="984"/>
  <c r="AD16" i="984" s="1"/>
  <c r="M18" i="984"/>
  <c r="AB18" i="984"/>
  <c r="AD18" i="984" s="1"/>
  <c r="O19" i="984"/>
  <c r="AD19" i="984" s="1"/>
  <c r="P20" i="984"/>
  <c r="AC20" i="984" s="1"/>
  <c r="AD20" i="984" s="1"/>
  <c r="O7" i="984"/>
  <c r="O10" i="984"/>
  <c r="O15" i="984"/>
  <c r="O18" i="984"/>
  <c r="AC6" i="984"/>
  <c r="P7" i="984"/>
  <c r="AC7" i="984" s="1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0" i="983"/>
  <c r="L19" i="983"/>
  <c r="L18" i="983"/>
  <c r="K18" i="983" s="1"/>
  <c r="L16" i="983"/>
  <c r="K16" i="983" s="1"/>
  <c r="L15" i="983"/>
  <c r="K15" i="983" s="1"/>
  <c r="K14" i="983"/>
  <c r="L12" i="983"/>
  <c r="K12" i="983" s="1"/>
  <c r="K11" i="983"/>
  <c r="L10" i="983"/>
  <c r="L8" i="983"/>
  <c r="L7" i="983"/>
  <c r="K20" i="983"/>
  <c r="K19" i="983"/>
  <c r="K13" i="983"/>
  <c r="K10" i="983"/>
  <c r="K9" i="983"/>
  <c r="K8" i="983"/>
  <c r="K7" i="983"/>
  <c r="A74" i="983"/>
  <c r="A75" i="983" s="1"/>
  <c r="A76" i="983" s="1"/>
  <c r="A77" i="983" s="1"/>
  <c r="A78" i="983" s="1"/>
  <c r="A79" i="983" s="1"/>
  <c r="A80" i="983" s="1"/>
  <c r="A81" i="983" s="1"/>
  <c r="AF62" i="983"/>
  <c r="AF60" i="983"/>
  <c r="AF59" i="983"/>
  <c r="AA21" i="983"/>
  <c r="Z21" i="983"/>
  <c r="Y21" i="983"/>
  <c r="X21" i="983"/>
  <c r="W21" i="983"/>
  <c r="V21" i="983"/>
  <c r="U21" i="983"/>
  <c r="T21" i="983"/>
  <c r="S21" i="983"/>
  <c r="R21" i="983"/>
  <c r="N21" i="983"/>
  <c r="J21" i="983"/>
  <c r="I21" i="983"/>
  <c r="AF20" i="983"/>
  <c r="Q20" i="983"/>
  <c r="O20" i="983"/>
  <c r="AF19" i="983"/>
  <c r="Q19" i="983"/>
  <c r="AB19" i="983"/>
  <c r="AF18" i="983"/>
  <c r="Q18" i="983"/>
  <c r="P18" i="983"/>
  <c r="AC18" i="983" s="1"/>
  <c r="AF17" i="983"/>
  <c r="AB17" i="983"/>
  <c r="Q17" i="983"/>
  <c r="P17" i="983"/>
  <c r="AC17" i="983" s="1"/>
  <c r="AD17" i="983" s="1"/>
  <c r="O17" i="983"/>
  <c r="M17" i="983"/>
  <c r="K17" i="983"/>
  <c r="AF16" i="983"/>
  <c r="AB16" i="983"/>
  <c r="Q16" i="983"/>
  <c r="P16" i="983" s="1"/>
  <c r="AC16" i="983" s="1"/>
  <c r="M16" i="983"/>
  <c r="AF15" i="983"/>
  <c r="AB15" i="983"/>
  <c r="Q15" i="983"/>
  <c r="P15" i="983" s="1"/>
  <c r="AC15" i="983" s="1"/>
  <c r="O15" i="983"/>
  <c r="M15" i="983"/>
  <c r="AF14" i="983"/>
  <c r="AB14" i="983"/>
  <c r="Q14" i="983"/>
  <c r="P14" i="983"/>
  <c r="AC14" i="983" s="1"/>
  <c r="O14" i="983"/>
  <c r="M14" i="983"/>
  <c r="AF13" i="983"/>
  <c r="Q13" i="983"/>
  <c r="P13" i="983" s="1"/>
  <c r="AC13" i="983" s="1"/>
  <c r="AF12" i="983"/>
  <c r="AB12" i="983"/>
  <c r="Q12" i="983"/>
  <c r="P12" i="983"/>
  <c r="AC12" i="983" s="1"/>
  <c r="O12" i="983"/>
  <c r="M12" i="983"/>
  <c r="AF11" i="983"/>
  <c r="AB11" i="983"/>
  <c r="Q11" i="983"/>
  <c r="P11" i="983" s="1"/>
  <c r="AC11" i="983" s="1"/>
  <c r="O11" i="983"/>
  <c r="M11" i="983"/>
  <c r="AF10" i="983"/>
  <c r="AB10" i="983"/>
  <c r="Q10" i="983"/>
  <c r="P10" i="983" s="1"/>
  <c r="AC10" i="983" s="1"/>
  <c r="O10" i="983"/>
  <c r="M10" i="983"/>
  <c r="AF9" i="983"/>
  <c r="AB9" i="983"/>
  <c r="Q9" i="983"/>
  <c r="P9" i="983" s="1"/>
  <c r="AC9" i="983" s="1"/>
  <c r="AD9" i="983" s="1"/>
  <c r="O9" i="983"/>
  <c r="M9" i="983"/>
  <c r="AF8" i="983"/>
  <c r="Q8" i="983"/>
  <c r="P8" i="983" s="1"/>
  <c r="AC8" i="983" s="1"/>
  <c r="AF7" i="983"/>
  <c r="Q7" i="983"/>
  <c r="P7" i="983" s="1"/>
  <c r="AC7" i="983" s="1"/>
  <c r="O7" i="983"/>
  <c r="M7" i="983"/>
  <c r="L21" i="983"/>
  <c r="O21" i="983" s="1"/>
  <c r="AF6" i="983"/>
  <c r="AB6" i="983"/>
  <c r="Q6" i="983"/>
  <c r="P6" i="983"/>
  <c r="AC6" i="983" s="1"/>
  <c r="O6" i="983"/>
  <c r="M6" i="983"/>
  <c r="K6" i="983"/>
  <c r="AD21" i="985" l="1"/>
  <c r="AE18" i="985" s="1"/>
  <c r="AB21" i="984"/>
  <c r="AD8" i="984"/>
  <c r="AD10" i="984"/>
  <c r="M21" i="984"/>
  <c r="AD15" i="984"/>
  <c r="AC21" i="984"/>
  <c r="AD6" i="984"/>
  <c r="P21" i="984"/>
  <c r="AD7" i="984"/>
  <c r="AD15" i="983"/>
  <c r="AD14" i="983"/>
  <c r="Q21" i="983"/>
  <c r="AD11" i="983"/>
  <c r="AD10" i="983"/>
  <c r="AD12" i="983"/>
  <c r="AD6" i="983"/>
  <c r="M8" i="983"/>
  <c r="AB8" i="983"/>
  <c r="M13" i="983"/>
  <c r="AB13" i="983"/>
  <c r="O16" i="983"/>
  <c r="AD16" i="983" s="1"/>
  <c r="M18" i="983"/>
  <c r="AB18" i="983"/>
  <c r="O19" i="983"/>
  <c r="P20" i="983"/>
  <c r="AC20" i="983" s="1"/>
  <c r="AB7" i="983"/>
  <c r="AD7" i="983" s="1"/>
  <c r="O8" i="983"/>
  <c r="O13" i="983"/>
  <c r="O18" i="983"/>
  <c r="P19" i="983"/>
  <c r="AC19" i="983" s="1"/>
  <c r="K21" i="983"/>
  <c r="M20" i="983"/>
  <c r="AB20" i="983"/>
  <c r="M19" i="983"/>
  <c r="L20" i="982"/>
  <c r="L19" i="982"/>
  <c r="L18" i="982"/>
  <c r="L16" i="982"/>
  <c r="K16" i="982" s="1"/>
  <c r="L13" i="982"/>
  <c r="K13" i="982" s="1"/>
  <c r="L12" i="982"/>
  <c r="K12" i="982" s="1"/>
  <c r="K10" i="982"/>
  <c r="K9" i="982"/>
  <c r="L8" i="982"/>
  <c r="K8" i="982" s="1"/>
  <c r="L7" i="982"/>
  <c r="K20" i="982"/>
  <c r="K19" i="982"/>
  <c r="K18" i="982"/>
  <c r="K7" i="982"/>
  <c r="A74" i="982"/>
  <c r="A75" i="982" s="1"/>
  <c r="A76" i="982" s="1"/>
  <c r="A77" i="982" s="1"/>
  <c r="A78" i="982" s="1"/>
  <c r="A79" i="982" s="1"/>
  <c r="A80" i="982" s="1"/>
  <c r="A81" i="982" s="1"/>
  <c r="AF62" i="982"/>
  <c r="AF60" i="982"/>
  <c r="AF59" i="982"/>
  <c r="AA21" i="982"/>
  <c r="Z21" i="982"/>
  <c r="Y21" i="982"/>
  <c r="X21" i="982"/>
  <c r="W21" i="982"/>
  <c r="V21" i="982"/>
  <c r="U21" i="982"/>
  <c r="T21" i="982"/>
  <c r="S21" i="982"/>
  <c r="R21" i="982"/>
  <c r="N21" i="982"/>
  <c r="J21" i="982"/>
  <c r="I21" i="982"/>
  <c r="AF20" i="982"/>
  <c r="Q20" i="982"/>
  <c r="O20" i="982"/>
  <c r="AB20" i="982"/>
  <c r="AF19" i="982"/>
  <c r="AB19" i="982"/>
  <c r="Q19" i="982"/>
  <c r="P19" i="982"/>
  <c r="AC19" i="982" s="1"/>
  <c r="M19" i="982"/>
  <c r="O19" i="982"/>
  <c r="AF18" i="982"/>
  <c r="Q18" i="982"/>
  <c r="P18" i="982" s="1"/>
  <c r="AC18" i="982" s="1"/>
  <c r="AF17" i="982"/>
  <c r="AB17" i="982"/>
  <c r="Q17" i="982"/>
  <c r="P17" i="982"/>
  <c r="AC17" i="982" s="1"/>
  <c r="O17" i="982"/>
  <c r="M17" i="982"/>
  <c r="K17" i="982"/>
  <c r="AF16" i="982"/>
  <c r="Q16" i="982"/>
  <c r="AF15" i="982"/>
  <c r="AB15" i="982"/>
  <c r="Q15" i="982"/>
  <c r="P15" i="982"/>
  <c r="AC15" i="982" s="1"/>
  <c r="AD15" i="982" s="1"/>
  <c r="O15" i="982"/>
  <c r="M15" i="982"/>
  <c r="K15" i="982"/>
  <c r="AF14" i="982"/>
  <c r="AB14" i="982"/>
  <c r="Q14" i="982"/>
  <c r="P14" i="982"/>
  <c r="AC14" i="982" s="1"/>
  <c r="O14" i="982"/>
  <c r="M14" i="982"/>
  <c r="K14" i="982"/>
  <c r="AF13" i="982"/>
  <c r="Q13" i="982"/>
  <c r="AF12" i="982"/>
  <c r="Q12" i="982"/>
  <c r="P12" i="982"/>
  <c r="AC12" i="982" s="1"/>
  <c r="O12" i="982"/>
  <c r="AF11" i="982"/>
  <c r="AB11" i="982"/>
  <c r="Q11" i="982"/>
  <c r="P11" i="982"/>
  <c r="AC11" i="982" s="1"/>
  <c r="AD11" i="982" s="1"/>
  <c r="O11" i="982"/>
  <c r="M11" i="982"/>
  <c r="K11" i="982"/>
  <c r="AF10" i="982"/>
  <c r="AB10" i="982"/>
  <c r="Q10" i="982"/>
  <c r="P10" i="982" s="1"/>
  <c r="AC10" i="982" s="1"/>
  <c r="O10" i="982"/>
  <c r="M10" i="982"/>
  <c r="AF9" i="982"/>
  <c r="AB9" i="982"/>
  <c r="Q9" i="982"/>
  <c r="P9" i="982" s="1"/>
  <c r="AC9" i="982" s="1"/>
  <c r="O9" i="982"/>
  <c r="M9" i="982"/>
  <c r="AF8" i="982"/>
  <c r="Q8" i="982"/>
  <c r="P8" i="982" s="1"/>
  <c r="AC8" i="982" s="1"/>
  <c r="AF7" i="982"/>
  <c r="AB7" i="982"/>
  <c r="Q7" i="982"/>
  <c r="P7" i="982" s="1"/>
  <c r="AC7" i="982" s="1"/>
  <c r="M7" i="982"/>
  <c r="AF6" i="982"/>
  <c r="AB6" i="982"/>
  <c r="Q6" i="982"/>
  <c r="P6" i="982"/>
  <c r="AC6" i="982" s="1"/>
  <c r="O6" i="982"/>
  <c r="M6" i="982"/>
  <c r="K6" i="982"/>
  <c r="AE13" i="985" l="1"/>
  <c r="AE6" i="985"/>
  <c r="AE11" i="985"/>
  <c r="AE8" i="985"/>
  <c r="AE10" i="985"/>
  <c r="AE15" i="985"/>
  <c r="AE9" i="985"/>
  <c r="AE14" i="985"/>
  <c r="AE7" i="985"/>
  <c r="AE17" i="985"/>
  <c r="AE16" i="985"/>
  <c r="AE20" i="985"/>
  <c r="AE12" i="985"/>
  <c r="AE19" i="985"/>
  <c r="AD21" i="984"/>
  <c r="AD18" i="983"/>
  <c r="AD19" i="983"/>
  <c r="AB21" i="983"/>
  <c r="AD8" i="983"/>
  <c r="M21" i="983"/>
  <c r="AD13" i="983"/>
  <c r="AC21" i="983"/>
  <c r="AD20" i="983"/>
  <c r="P21" i="983"/>
  <c r="AD17" i="982"/>
  <c r="AD14" i="982"/>
  <c r="AD19" i="982"/>
  <c r="P16" i="982"/>
  <c r="AC16" i="982" s="1"/>
  <c r="O16" i="982"/>
  <c r="M16" i="982"/>
  <c r="AB16" i="982"/>
  <c r="P13" i="982"/>
  <c r="AC13" i="982" s="1"/>
  <c r="L21" i="982"/>
  <c r="O21" i="982" s="1"/>
  <c r="O13" i="982"/>
  <c r="M13" i="982"/>
  <c r="AB13" i="982"/>
  <c r="AD10" i="982"/>
  <c r="AD9" i="982"/>
  <c r="Q21" i="982"/>
  <c r="AD6" i="982"/>
  <c r="M8" i="982"/>
  <c r="AB8" i="982"/>
  <c r="M18" i="982"/>
  <c r="AB18" i="982"/>
  <c r="P20" i="982"/>
  <c r="AC20" i="982" s="1"/>
  <c r="AD20" i="982" s="1"/>
  <c r="M12" i="982"/>
  <c r="AB12" i="982"/>
  <c r="AD12" i="982" s="1"/>
  <c r="O18" i="982"/>
  <c r="O8" i="982"/>
  <c r="O7" i="982"/>
  <c r="AD7" i="982" s="1"/>
  <c r="K21" i="982"/>
  <c r="M20" i="982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1" i="981"/>
  <c r="L20" i="981"/>
  <c r="K20" i="981" s="1"/>
  <c r="L19" i="981"/>
  <c r="K19" i="981"/>
  <c r="AF19" i="981"/>
  <c r="AB19" i="981"/>
  <c r="Q19" i="981"/>
  <c r="P19" i="981" s="1"/>
  <c r="AC19" i="981" s="1"/>
  <c r="O19" i="981"/>
  <c r="M19" i="981"/>
  <c r="L12" i="981"/>
  <c r="AE18" i="984" l="1"/>
  <c r="AE19" i="984"/>
  <c r="AE16" i="984"/>
  <c r="AE13" i="984"/>
  <c r="AE8" i="984"/>
  <c r="AE20" i="984"/>
  <c r="AE11" i="984"/>
  <c r="AE15" i="984"/>
  <c r="AE10" i="984"/>
  <c r="AE7" i="984"/>
  <c r="AE17" i="984"/>
  <c r="AE14" i="984"/>
  <c r="AE12" i="984"/>
  <c r="AE9" i="984"/>
  <c r="AE6" i="984"/>
  <c r="AD21" i="983"/>
  <c r="AE18" i="983" s="1"/>
  <c r="AD16" i="982"/>
  <c r="AD13" i="982"/>
  <c r="P21" i="982"/>
  <c r="M21" i="982"/>
  <c r="AD8" i="982"/>
  <c r="AD18" i="982"/>
  <c r="AC21" i="982"/>
  <c r="AB21" i="982"/>
  <c r="AD19" i="981"/>
  <c r="L8" i="981"/>
  <c r="K8" i="981" s="1"/>
  <c r="L7" i="981"/>
  <c r="K7" i="981" s="1"/>
  <c r="K21" i="981"/>
  <c r="K18" i="981"/>
  <c r="K16" i="981"/>
  <c r="K15" i="981"/>
  <c r="K13" i="981"/>
  <c r="K12" i="981"/>
  <c r="K9" i="981"/>
  <c r="A75" i="981"/>
  <c r="A76" i="981" s="1"/>
  <c r="A77" i="981" s="1"/>
  <c r="A78" i="981" s="1"/>
  <c r="A79" i="981" s="1"/>
  <c r="A80" i="981" s="1"/>
  <c r="A81" i="981" s="1"/>
  <c r="A82" i="981" s="1"/>
  <c r="AF63" i="981"/>
  <c r="AF61" i="981"/>
  <c r="AF60" i="981"/>
  <c r="AA22" i="981"/>
  <c r="Z22" i="981"/>
  <c r="Y22" i="981"/>
  <c r="X22" i="981"/>
  <c r="W22" i="981"/>
  <c r="V22" i="981"/>
  <c r="U22" i="981"/>
  <c r="T22" i="981"/>
  <c r="S22" i="981"/>
  <c r="R22" i="981"/>
  <c r="N22" i="981"/>
  <c r="J22" i="981"/>
  <c r="I22" i="981"/>
  <c r="AF21" i="981"/>
  <c r="Q21" i="981"/>
  <c r="O21" i="981"/>
  <c r="M21" i="981"/>
  <c r="AB21" i="981"/>
  <c r="AF20" i="981"/>
  <c r="AB20" i="981"/>
  <c r="Q20" i="981"/>
  <c r="P20" i="981" s="1"/>
  <c r="AC20" i="981" s="1"/>
  <c r="M20" i="981"/>
  <c r="AF18" i="981"/>
  <c r="Q18" i="981"/>
  <c r="P18" i="981" s="1"/>
  <c r="AC18" i="981" s="1"/>
  <c r="AF17" i="981"/>
  <c r="AB17" i="981"/>
  <c r="Q17" i="981"/>
  <c r="P17" i="981"/>
  <c r="AC17" i="981" s="1"/>
  <c r="O17" i="981"/>
  <c r="M17" i="981"/>
  <c r="K17" i="981"/>
  <c r="AF16" i="981"/>
  <c r="AB16" i="981"/>
  <c r="Q16" i="981"/>
  <c r="M16" i="981"/>
  <c r="P16" i="981"/>
  <c r="AC16" i="981" s="1"/>
  <c r="AF15" i="981"/>
  <c r="Q15" i="981"/>
  <c r="P15" i="981"/>
  <c r="AC15" i="981" s="1"/>
  <c r="AF14" i="981"/>
  <c r="AB14" i="981"/>
  <c r="Q14" i="981"/>
  <c r="P14" i="981"/>
  <c r="AC14" i="981" s="1"/>
  <c r="AD14" i="981" s="1"/>
  <c r="O14" i="981"/>
  <c r="M14" i="981"/>
  <c r="K14" i="981"/>
  <c r="AF13" i="981"/>
  <c r="AB13" i="981"/>
  <c r="Q13" i="981"/>
  <c r="M13" i="981"/>
  <c r="P13" i="981"/>
  <c r="AC13" i="981" s="1"/>
  <c r="AF12" i="981"/>
  <c r="Q12" i="981"/>
  <c r="P12" i="981"/>
  <c r="AC12" i="981" s="1"/>
  <c r="AF11" i="981"/>
  <c r="AB11" i="981"/>
  <c r="Q11" i="981"/>
  <c r="P11" i="981"/>
  <c r="AC11" i="981" s="1"/>
  <c r="O11" i="981"/>
  <c r="M11" i="981"/>
  <c r="K11" i="981"/>
  <c r="AF10" i="981"/>
  <c r="AB10" i="981"/>
  <c r="Q10" i="981"/>
  <c r="P10" i="981"/>
  <c r="AC10" i="981" s="1"/>
  <c r="O10" i="981"/>
  <c r="M10" i="981"/>
  <c r="K10" i="981"/>
  <c r="AF9" i="981"/>
  <c r="AB9" i="981"/>
  <c r="Q9" i="981"/>
  <c r="P9" i="981"/>
  <c r="AC9" i="981" s="1"/>
  <c r="AD9" i="981" s="1"/>
  <c r="O9" i="981"/>
  <c r="M9" i="981"/>
  <c r="AF8" i="981"/>
  <c r="AB8" i="981"/>
  <c r="Q8" i="981"/>
  <c r="O8" i="981"/>
  <c r="M8" i="981"/>
  <c r="L22" i="981"/>
  <c r="O22" i="981" s="1"/>
  <c r="AF7" i="981"/>
  <c r="AB7" i="981"/>
  <c r="Q7" i="981"/>
  <c r="P7" i="981" s="1"/>
  <c r="AC7" i="981" s="1"/>
  <c r="O7" i="981"/>
  <c r="M7" i="981"/>
  <c r="AF6" i="981"/>
  <c r="AB6" i="981"/>
  <c r="Q6" i="981"/>
  <c r="P6" i="981"/>
  <c r="O6" i="981"/>
  <c r="M6" i="981"/>
  <c r="K6" i="981"/>
  <c r="AE17" i="983" l="1"/>
  <c r="AE11" i="983"/>
  <c r="AE16" i="983"/>
  <c r="AE10" i="983"/>
  <c r="AE13" i="983"/>
  <c r="AE14" i="983"/>
  <c r="AE19" i="983"/>
  <c r="AE7" i="983"/>
  <c r="AE6" i="983"/>
  <c r="AE20" i="983"/>
  <c r="AE15" i="983"/>
  <c r="AE12" i="983"/>
  <c r="AE9" i="983"/>
  <c r="AE8" i="983"/>
  <c r="AD21" i="982"/>
  <c r="AE18" i="982" s="1"/>
  <c r="AD17" i="981"/>
  <c r="Q22" i="981"/>
  <c r="AD7" i="981"/>
  <c r="AD10" i="981"/>
  <c r="AD11" i="981"/>
  <c r="P8" i="981"/>
  <c r="AC8" i="981" s="1"/>
  <c r="AD8" i="981" s="1"/>
  <c r="M12" i="981"/>
  <c r="AB12" i="981"/>
  <c r="O13" i="981"/>
  <c r="AD13" i="981" s="1"/>
  <c r="M15" i="981"/>
  <c r="AB15" i="981"/>
  <c r="O16" i="981"/>
  <c r="AD16" i="981" s="1"/>
  <c r="M18" i="981"/>
  <c r="AB18" i="981"/>
  <c r="O20" i="981"/>
  <c r="AD20" i="981" s="1"/>
  <c r="P21" i="981"/>
  <c r="AC21" i="981" s="1"/>
  <c r="AD21" i="981" s="1"/>
  <c r="O12" i="981"/>
  <c r="K22" i="981"/>
  <c r="O15" i="981"/>
  <c r="O18" i="981"/>
  <c r="AC6" i="981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0" i="980"/>
  <c r="K20" i="980" s="1"/>
  <c r="L19" i="980"/>
  <c r="L18" i="980"/>
  <c r="L16" i="980"/>
  <c r="L15" i="980"/>
  <c r="L13" i="980"/>
  <c r="K13" i="980" s="1"/>
  <c r="L12" i="980"/>
  <c r="K12" i="980" s="1"/>
  <c r="L9" i="980"/>
  <c r="K9" i="980" s="1"/>
  <c r="L8" i="980"/>
  <c r="K8" i="980" s="1"/>
  <c r="K19" i="980"/>
  <c r="K18" i="980"/>
  <c r="K16" i="980"/>
  <c r="K15" i="980"/>
  <c r="K11" i="980"/>
  <c r="K10" i="980"/>
  <c r="K7" i="980"/>
  <c r="A74" i="980"/>
  <c r="A75" i="980" s="1"/>
  <c r="A76" i="980" s="1"/>
  <c r="A77" i="980" s="1"/>
  <c r="A78" i="980" s="1"/>
  <c r="A79" i="980" s="1"/>
  <c r="A80" i="980" s="1"/>
  <c r="A81" i="980" s="1"/>
  <c r="AF62" i="980"/>
  <c r="AF60" i="980"/>
  <c r="AF59" i="980"/>
  <c r="AA21" i="980"/>
  <c r="Z21" i="980"/>
  <c r="Y21" i="980"/>
  <c r="X21" i="980"/>
  <c r="W21" i="980"/>
  <c r="V21" i="980"/>
  <c r="U21" i="980"/>
  <c r="T21" i="980"/>
  <c r="S21" i="980"/>
  <c r="R21" i="980"/>
  <c r="N21" i="980"/>
  <c r="J21" i="980"/>
  <c r="I21" i="980"/>
  <c r="AF20" i="980"/>
  <c r="Q20" i="980"/>
  <c r="O20" i="980"/>
  <c r="AF19" i="980"/>
  <c r="Q19" i="980"/>
  <c r="P19" i="980"/>
  <c r="AC19" i="980" s="1"/>
  <c r="AF18" i="980"/>
  <c r="Q18" i="980"/>
  <c r="P18" i="980" s="1"/>
  <c r="AC18" i="980" s="1"/>
  <c r="O18" i="980"/>
  <c r="AF17" i="980"/>
  <c r="AB17" i="980"/>
  <c r="Q17" i="980"/>
  <c r="P17" i="980"/>
  <c r="AC17" i="980" s="1"/>
  <c r="AD17" i="980" s="1"/>
  <c r="O17" i="980"/>
  <c r="M17" i="980"/>
  <c r="K17" i="980"/>
  <c r="AF16" i="980"/>
  <c r="Q16" i="980"/>
  <c r="P16" i="980" s="1"/>
  <c r="AC16" i="980" s="1"/>
  <c r="AF15" i="980"/>
  <c r="Q15" i="980"/>
  <c r="P15" i="980"/>
  <c r="AC15" i="980" s="1"/>
  <c r="O15" i="980"/>
  <c r="AF14" i="980"/>
  <c r="AB14" i="980"/>
  <c r="Q14" i="980"/>
  <c r="P14" i="980"/>
  <c r="AC14" i="980" s="1"/>
  <c r="AD14" i="980" s="1"/>
  <c r="O14" i="980"/>
  <c r="M14" i="980"/>
  <c r="K14" i="980"/>
  <c r="AF13" i="980"/>
  <c r="AB13" i="980"/>
  <c r="Q13" i="980"/>
  <c r="P13" i="980" s="1"/>
  <c r="AC13" i="980" s="1"/>
  <c r="O13" i="980"/>
  <c r="M13" i="980"/>
  <c r="AF12" i="980"/>
  <c r="AB12" i="980"/>
  <c r="Q12" i="980"/>
  <c r="O12" i="980"/>
  <c r="M12" i="980"/>
  <c r="P12" i="980"/>
  <c r="AC12" i="980" s="1"/>
  <c r="AD12" i="980" s="1"/>
  <c r="AF11" i="980"/>
  <c r="Q11" i="980"/>
  <c r="P11" i="980"/>
  <c r="AC11" i="980" s="1"/>
  <c r="AF10" i="980"/>
  <c r="Q10" i="980"/>
  <c r="P10" i="980"/>
  <c r="AC10" i="980" s="1"/>
  <c r="O10" i="980"/>
  <c r="AF9" i="980"/>
  <c r="Q9" i="980"/>
  <c r="AF8" i="980"/>
  <c r="Q8" i="980"/>
  <c r="P8" i="980"/>
  <c r="AC8" i="980" s="1"/>
  <c r="AF7" i="980"/>
  <c r="Q7" i="980"/>
  <c r="P7" i="980"/>
  <c r="AC7" i="980" s="1"/>
  <c r="L21" i="980"/>
  <c r="O21" i="980" s="1"/>
  <c r="AF6" i="980"/>
  <c r="AB6" i="980"/>
  <c r="Q6" i="980"/>
  <c r="P6" i="980"/>
  <c r="AC6" i="980" s="1"/>
  <c r="O6" i="980"/>
  <c r="M6" i="980"/>
  <c r="K6" i="980"/>
  <c r="AE12" i="982" l="1"/>
  <c r="AE11" i="982"/>
  <c r="AE9" i="982"/>
  <c r="AE19" i="982"/>
  <c r="AE6" i="982"/>
  <c r="AE14" i="982"/>
  <c r="AE20" i="982"/>
  <c r="AE13" i="982"/>
  <c r="AE8" i="982"/>
  <c r="AE7" i="982"/>
  <c r="AE17" i="982"/>
  <c r="AE16" i="982"/>
  <c r="AE10" i="982"/>
  <c r="AE15" i="982"/>
  <c r="AD12" i="981"/>
  <c r="AD18" i="981"/>
  <c r="AB22" i="981"/>
  <c r="M22" i="981"/>
  <c r="P22" i="981"/>
  <c r="AC22" i="981"/>
  <c r="AD6" i="981"/>
  <c r="AD15" i="981"/>
  <c r="P20" i="980"/>
  <c r="AC20" i="980" s="1"/>
  <c r="AB20" i="980"/>
  <c r="AD20" i="980" s="1"/>
  <c r="M20" i="980"/>
  <c r="AD13" i="980"/>
  <c r="Q21" i="980"/>
  <c r="O9" i="980"/>
  <c r="P9" i="980"/>
  <c r="AC9" i="980" s="1"/>
  <c r="M9" i="980"/>
  <c r="AB9" i="980"/>
  <c r="AC21" i="980"/>
  <c r="P21" i="980"/>
  <c r="M8" i="980"/>
  <c r="M11" i="980"/>
  <c r="M16" i="980"/>
  <c r="AB16" i="980"/>
  <c r="M19" i="980"/>
  <c r="AB19" i="980"/>
  <c r="AD6" i="980"/>
  <c r="AB11" i="980"/>
  <c r="M7" i="980"/>
  <c r="AB7" i="980"/>
  <c r="O8" i="980"/>
  <c r="M10" i="980"/>
  <c r="AB10" i="980"/>
  <c r="AD10" i="980" s="1"/>
  <c r="O11" i="980"/>
  <c r="M15" i="980"/>
  <c r="AB15" i="980"/>
  <c r="AD15" i="980" s="1"/>
  <c r="O16" i="980"/>
  <c r="M18" i="980"/>
  <c r="AB18" i="980"/>
  <c r="AD18" i="980" s="1"/>
  <c r="O19" i="980"/>
  <c r="AB8" i="980"/>
  <c r="AD8" i="980" s="1"/>
  <c r="O7" i="980"/>
  <c r="K21" i="980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0" i="979"/>
  <c r="L19" i="979"/>
  <c r="K19" i="979" s="1"/>
  <c r="L14" i="979"/>
  <c r="O14" i="979" s="1"/>
  <c r="AF14" i="979"/>
  <c r="AB14" i="979"/>
  <c r="Q14" i="979"/>
  <c r="P14" i="979" s="1"/>
  <c r="AC14" i="979" s="1"/>
  <c r="M14" i="979"/>
  <c r="K14" i="979"/>
  <c r="L17" i="979"/>
  <c r="K17" i="979" s="1"/>
  <c r="L16" i="979"/>
  <c r="K16" i="979" s="1"/>
  <c r="L12" i="979"/>
  <c r="K12" i="979" s="1"/>
  <c r="L11" i="979"/>
  <c r="AF11" i="979"/>
  <c r="AB11" i="979"/>
  <c r="Q11" i="979"/>
  <c r="O11" i="979"/>
  <c r="M11" i="979"/>
  <c r="K11" i="979"/>
  <c r="L10" i="979"/>
  <c r="K10" i="979" s="1"/>
  <c r="L8" i="979"/>
  <c r="K8" i="979" s="1"/>
  <c r="L7" i="979"/>
  <c r="K7" i="979" s="1"/>
  <c r="K20" i="979"/>
  <c r="K13" i="979"/>
  <c r="K9" i="979"/>
  <c r="A75" i="979"/>
  <c r="A76" i="979" s="1"/>
  <c r="A77" i="979" s="1"/>
  <c r="A78" i="979" s="1"/>
  <c r="A79" i="979" s="1"/>
  <c r="A80" i="979" s="1"/>
  <c r="A81" i="979" s="1"/>
  <c r="A82" i="979" s="1"/>
  <c r="AF63" i="979"/>
  <c r="AF61" i="979"/>
  <c r="AF60" i="979"/>
  <c r="AA22" i="979"/>
  <c r="Z22" i="979"/>
  <c r="Y22" i="979"/>
  <c r="X22" i="979"/>
  <c r="W22" i="979"/>
  <c r="V22" i="979"/>
  <c r="U22" i="979"/>
  <c r="T22" i="979"/>
  <c r="S22" i="979"/>
  <c r="R22" i="979"/>
  <c r="N22" i="979"/>
  <c r="J22" i="979"/>
  <c r="I22" i="979"/>
  <c r="AF21" i="979"/>
  <c r="AB21" i="979"/>
  <c r="Q21" i="979"/>
  <c r="P21" i="979"/>
  <c r="AC21" i="979" s="1"/>
  <c r="O21" i="979"/>
  <c r="M21" i="979"/>
  <c r="K21" i="979"/>
  <c r="AF20" i="979"/>
  <c r="Q20" i="979"/>
  <c r="P20" i="979" s="1"/>
  <c r="AC20" i="979" s="1"/>
  <c r="M20" i="979"/>
  <c r="AF19" i="979"/>
  <c r="Q19" i="979"/>
  <c r="P19" i="979" s="1"/>
  <c r="AC19" i="979" s="1"/>
  <c r="AF18" i="979"/>
  <c r="AB18" i="979"/>
  <c r="Q18" i="979"/>
  <c r="P18" i="979"/>
  <c r="AC18" i="979" s="1"/>
  <c r="O18" i="979"/>
  <c r="M18" i="979"/>
  <c r="K18" i="979"/>
  <c r="AF17" i="979"/>
  <c r="Q17" i="979"/>
  <c r="AF16" i="979"/>
  <c r="Q16" i="979"/>
  <c r="P16" i="979" s="1"/>
  <c r="AC16" i="979" s="1"/>
  <c r="O16" i="979"/>
  <c r="AB16" i="979"/>
  <c r="AF15" i="979"/>
  <c r="AB15" i="979"/>
  <c r="Q15" i="979"/>
  <c r="P15" i="979"/>
  <c r="AC15" i="979" s="1"/>
  <c r="AD15" i="979" s="1"/>
  <c r="O15" i="979"/>
  <c r="M15" i="979"/>
  <c r="K15" i="979"/>
  <c r="AF13" i="979"/>
  <c r="Q13" i="979"/>
  <c r="P13" i="979" s="1"/>
  <c r="AC13" i="979" s="1"/>
  <c r="AF12" i="979"/>
  <c r="Q12" i="979"/>
  <c r="P12" i="979" s="1"/>
  <c r="AC12" i="979" s="1"/>
  <c r="O12" i="979"/>
  <c r="AB12" i="979"/>
  <c r="AF10" i="979"/>
  <c r="AB10" i="979"/>
  <c r="Q10" i="979"/>
  <c r="P10" i="979" s="1"/>
  <c r="AC10" i="979" s="1"/>
  <c r="M10" i="979"/>
  <c r="AF9" i="979"/>
  <c r="Q9" i="979"/>
  <c r="P9" i="979" s="1"/>
  <c r="AC9" i="979" s="1"/>
  <c r="AF8" i="979"/>
  <c r="Q8" i="979"/>
  <c r="P8" i="979" s="1"/>
  <c r="AC8" i="979" s="1"/>
  <c r="O8" i="979"/>
  <c r="AB8" i="979"/>
  <c r="AF7" i="979"/>
  <c r="AB7" i="979"/>
  <c r="Q7" i="979"/>
  <c r="O7" i="979"/>
  <c r="M7" i="979"/>
  <c r="AF6" i="979"/>
  <c r="AB6" i="979"/>
  <c r="Q6" i="979"/>
  <c r="P6" i="979"/>
  <c r="O6" i="979"/>
  <c r="M6" i="979"/>
  <c r="K6" i="979"/>
  <c r="AD22" i="981" l="1"/>
  <c r="AD16" i="980"/>
  <c r="M21" i="980"/>
  <c r="AD9" i="980"/>
  <c r="AB21" i="980"/>
  <c r="AD19" i="980"/>
  <c r="AD11" i="980"/>
  <c r="AD7" i="980"/>
  <c r="AD14" i="979"/>
  <c r="AD21" i="979"/>
  <c r="P17" i="979"/>
  <c r="AC17" i="979" s="1"/>
  <c r="L22" i="979"/>
  <c r="O22" i="979" s="1"/>
  <c r="O17" i="979"/>
  <c r="M17" i="979"/>
  <c r="AB17" i="979"/>
  <c r="AD12" i="979"/>
  <c r="P11" i="979"/>
  <c r="AC11" i="979" s="1"/>
  <c r="AD11" i="979" s="1"/>
  <c r="Q22" i="979"/>
  <c r="AD18" i="979"/>
  <c r="AD8" i="979"/>
  <c r="AD16" i="979"/>
  <c r="AB20" i="979"/>
  <c r="AD20" i="979" s="1"/>
  <c r="AC6" i="979"/>
  <c r="P7" i="979"/>
  <c r="AC7" i="979" s="1"/>
  <c r="AD7" i="979" s="1"/>
  <c r="M9" i="979"/>
  <c r="AB9" i="979"/>
  <c r="O10" i="979"/>
  <c r="AD10" i="979" s="1"/>
  <c r="M13" i="979"/>
  <c r="AB13" i="979"/>
  <c r="M19" i="979"/>
  <c r="AB19" i="979"/>
  <c r="O20" i="979"/>
  <c r="M8" i="979"/>
  <c r="O9" i="979"/>
  <c r="M12" i="979"/>
  <c r="O13" i="979"/>
  <c r="M16" i="979"/>
  <c r="O19" i="979"/>
  <c r="K22" i="979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19" i="978"/>
  <c r="K19" i="978"/>
  <c r="L18" i="978"/>
  <c r="K18" i="978" s="1"/>
  <c r="L15" i="978"/>
  <c r="K15" i="978"/>
  <c r="L13" i="978"/>
  <c r="K13" i="978" s="1"/>
  <c r="L12" i="978"/>
  <c r="K12" i="978" s="1"/>
  <c r="L11" i="978"/>
  <c r="K11" i="978" s="1"/>
  <c r="L10" i="978"/>
  <c r="K10" i="978" s="1"/>
  <c r="L9" i="978"/>
  <c r="K9" i="978"/>
  <c r="L8" i="978"/>
  <c r="L7" i="978"/>
  <c r="K7" i="978" s="1"/>
  <c r="K16" i="978"/>
  <c r="K14" i="978"/>
  <c r="K8" i="978"/>
  <c r="A74" i="978"/>
  <c r="A75" i="978" s="1"/>
  <c r="A76" i="978" s="1"/>
  <c r="A77" i="978" s="1"/>
  <c r="A78" i="978" s="1"/>
  <c r="A79" i="978" s="1"/>
  <c r="A80" i="978" s="1"/>
  <c r="A81" i="978" s="1"/>
  <c r="AF60" i="978"/>
  <c r="AF59" i="978"/>
  <c r="AF62" i="978" s="1"/>
  <c r="AA21" i="978"/>
  <c r="Z21" i="978"/>
  <c r="Y21" i="978"/>
  <c r="X21" i="978"/>
  <c r="W21" i="978"/>
  <c r="V21" i="978"/>
  <c r="U21" i="978"/>
  <c r="T21" i="978"/>
  <c r="S21" i="978"/>
  <c r="R21" i="978"/>
  <c r="N21" i="978"/>
  <c r="J21" i="978"/>
  <c r="I21" i="978"/>
  <c r="AF20" i="978"/>
  <c r="AB20" i="978"/>
  <c r="Q20" i="978"/>
  <c r="P20" i="978"/>
  <c r="AC20" i="978" s="1"/>
  <c r="AD20" i="978" s="1"/>
  <c r="O20" i="978"/>
  <c r="M20" i="978"/>
  <c r="K20" i="978"/>
  <c r="AF19" i="978"/>
  <c r="AB19" i="978"/>
  <c r="Q19" i="978"/>
  <c r="P19" i="978" s="1"/>
  <c r="AC19" i="978" s="1"/>
  <c r="O19" i="978"/>
  <c r="M19" i="978"/>
  <c r="AF18" i="978"/>
  <c r="AB18" i="978"/>
  <c r="Q18" i="978"/>
  <c r="P18" i="978" s="1"/>
  <c r="AC18" i="978" s="1"/>
  <c r="O18" i="978"/>
  <c r="M18" i="978"/>
  <c r="AF17" i="978"/>
  <c r="AB17" i="978"/>
  <c r="Q17" i="978"/>
  <c r="P17" i="978"/>
  <c r="AC17" i="978" s="1"/>
  <c r="O17" i="978"/>
  <c r="M17" i="978"/>
  <c r="K17" i="978"/>
  <c r="AF16" i="978"/>
  <c r="AB16" i="978"/>
  <c r="Q16" i="978"/>
  <c r="P16" i="978"/>
  <c r="AC16" i="978" s="1"/>
  <c r="AD16" i="978" s="1"/>
  <c r="O16" i="978"/>
  <c r="M16" i="978"/>
  <c r="AF15" i="978"/>
  <c r="AB15" i="978"/>
  <c r="Q15" i="978"/>
  <c r="P15" i="978" s="1"/>
  <c r="AC15" i="978" s="1"/>
  <c r="O15" i="978"/>
  <c r="M15" i="978"/>
  <c r="AF14" i="978"/>
  <c r="Q14" i="978"/>
  <c r="P14" i="978"/>
  <c r="AC14" i="978" s="1"/>
  <c r="O14" i="978"/>
  <c r="M14" i="978"/>
  <c r="AB14" i="978"/>
  <c r="AF13" i="978"/>
  <c r="AB13" i="978"/>
  <c r="Q13" i="978"/>
  <c r="P13" i="978"/>
  <c r="AC13" i="978" s="1"/>
  <c r="O13" i="978"/>
  <c r="M13" i="978"/>
  <c r="AF12" i="978"/>
  <c r="Q12" i="978"/>
  <c r="P12" i="978" s="1"/>
  <c r="AC12" i="978" s="1"/>
  <c r="AF11" i="978"/>
  <c r="AB11" i="978"/>
  <c r="Q11" i="978"/>
  <c r="P11" i="978"/>
  <c r="AC11" i="978" s="1"/>
  <c r="O11" i="978"/>
  <c r="M11" i="978"/>
  <c r="AF10" i="978"/>
  <c r="Q10" i="978"/>
  <c r="AF9" i="978"/>
  <c r="Q9" i="978"/>
  <c r="P9" i="978"/>
  <c r="AC9" i="978" s="1"/>
  <c r="O9" i="978"/>
  <c r="M9" i="978"/>
  <c r="AB9" i="978"/>
  <c r="AF8" i="978"/>
  <c r="AB8" i="978"/>
  <c r="Q8" i="978"/>
  <c r="P8" i="978" s="1"/>
  <c r="AC8" i="978" s="1"/>
  <c r="O8" i="978"/>
  <c r="M8" i="978"/>
  <c r="AF7" i="978"/>
  <c r="AB7" i="978"/>
  <c r="Q7" i="978"/>
  <c r="M7" i="978"/>
  <c r="L21" i="978"/>
  <c r="O21" i="978" s="1"/>
  <c r="AF6" i="978"/>
  <c r="AB6" i="978"/>
  <c r="Q6" i="978"/>
  <c r="P6" i="978"/>
  <c r="O6" i="978"/>
  <c r="M6" i="978"/>
  <c r="K6" i="978"/>
  <c r="AE20" i="981" l="1"/>
  <c r="AE19" i="981"/>
  <c r="AE18" i="981"/>
  <c r="AE17" i="981"/>
  <c r="AE6" i="981"/>
  <c r="AE10" i="981"/>
  <c r="AE12" i="981"/>
  <c r="AE11" i="981"/>
  <c r="AE21" i="981"/>
  <c r="AE16" i="981"/>
  <c r="AE9" i="981"/>
  <c r="AE8" i="981"/>
  <c r="AE13" i="981"/>
  <c r="AE15" i="981"/>
  <c r="AE14" i="981"/>
  <c r="AE7" i="981"/>
  <c r="AD21" i="980"/>
  <c r="AD17" i="979"/>
  <c r="AD13" i="979"/>
  <c r="AD9" i="979"/>
  <c r="M22" i="979"/>
  <c r="AD19" i="979"/>
  <c r="AC22" i="979"/>
  <c r="AD6" i="979"/>
  <c r="AB22" i="979"/>
  <c r="P22" i="979"/>
  <c r="AD19" i="978"/>
  <c r="AD13" i="978"/>
  <c r="Q21" i="978"/>
  <c r="AD8" i="978"/>
  <c r="M10" i="978"/>
  <c r="O10" i="978"/>
  <c r="AB10" i="978"/>
  <c r="P10" i="978"/>
  <c r="AC10" i="978" s="1"/>
  <c r="AD11" i="978"/>
  <c r="AD15" i="978"/>
  <c r="AD18" i="978"/>
  <c r="AD17" i="978"/>
  <c r="AD9" i="978"/>
  <c r="AD14" i="978"/>
  <c r="O7" i="978"/>
  <c r="M12" i="978"/>
  <c r="M21" i="978" s="1"/>
  <c r="AB12" i="978"/>
  <c r="AC6" i="978"/>
  <c r="P7" i="978"/>
  <c r="AC7" i="978" s="1"/>
  <c r="O12" i="978"/>
  <c r="K21" i="978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K16" i="977"/>
  <c r="M14" i="977"/>
  <c r="Q14" i="977"/>
  <c r="O14" i="977"/>
  <c r="L14" i="977"/>
  <c r="K14" i="977" s="1"/>
  <c r="L12" i="977"/>
  <c r="K12" i="977" s="1"/>
  <c r="L9" i="977"/>
  <c r="K9" i="977" s="1"/>
  <c r="L8" i="977"/>
  <c r="K8" i="977" s="1"/>
  <c r="L7" i="977"/>
  <c r="K7" i="977" s="1"/>
  <c r="K18" i="977"/>
  <c r="K15" i="977"/>
  <c r="K10" i="977"/>
  <c r="A74" i="977"/>
  <c r="A75" i="977" s="1"/>
  <c r="A76" i="977" s="1"/>
  <c r="A77" i="977" s="1"/>
  <c r="A78" i="977" s="1"/>
  <c r="A79" i="977" s="1"/>
  <c r="A80" i="977" s="1"/>
  <c r="A81" i="977" s="1"/>
  <c r="AF60" i="977"/>
  <c r="AF59" i="977"/>
  <c r="AA21" i="977"/>
  <c r="Z21" i="977"/>
  <c r="Y21" i="977"/>
  <c r="X21" i="977"/>
  <c r="W21" i="977"/>
  <c r="V21" i="977"/>
  <c r="U21" i="977"/>
  <c r="T21" i="977"/>
  <c r="S21" i="977"/>
  <c r="R21" i="977"/>
  <c r="N21" i="977"/>
  <c r="J21" i="977"/>
  <c r="I21" i="977"/>
  <c r="AF20" i="977"/>
  <c r="AB20" i="977"/>
  <c r="Q20" i="977"/>
  <c r="P20" i="977"/>
  <c r="AC20" i="977" s="1"/>
  <c r="O20" i="977"/>
  <c r="M20" i="977"/>
  <c r="K20" i="977"/>
  <c r="AF19" i="977"/>
  <c r="AB19" i="977"/>
  <c r="Q19" i="977"/>
  <c r="P19" i="977"/>
  <c r="AC19" i="977" s="1"/>
  <c r="O19" i="977"/>
  <c r="M19" i="977"/>
  <c r="K19" i="977"/>
  <c r="AF18" i="977"/>
  <c r="AB18" i="977"/>
  <c r="Q18" i="977"/>
  <c r="P18" i="977"/>
  <c r="AC18" i="977" s="1"/>
  <c r="O18" i="977"/>
  <c r="M18" i="977"/>
  <c r="AF17" i="977"/>
  <c r="AB17" i="977"/>
  <c r="Q17" i="977"/>
  <c r="P17" i="977"/>
  <c r="AC17" i="977" s="1"/>
  <c r="O17" i="977"/>
  <c r="M17" i="977"/>
  <c r="K17" i="977"/>
  <c r="AF16" i="977"/>
  <c r="AB16" i="977"/>
  <c r="Q16" i="977"/>
  <c r="P16" i="977" s="1"/>
  <c r="AC16" i="977" s="1"/>
  <c r="O16" i="977"/>
  <c r="M16" i="977"/>
  <c r="AF15" i="977"/>
  <c r="Q15" i="977"/>
  <c r="AB15" i="977"/>
  <c r="AF14" i="977"/>
  <c r="AF13" i="977"/>
  <c r="AB13" i="977"/>
  <c r="Q13" i="977"/>
  <c r="P13" i="977"/>
  <c r="AC13" i="977" s="1"/>
  <c r="AD13" i="977" s="1"/>
  <c r="O13" i="977"/>
  <c r="M13" i="977"/>
  <c r="K13" i="977"/>
  <c r="AF12" i="977"/>
  <c r="AB12" i="977"/>
  <c r="Q12" i="977"/>
  <c r="P12" i="977" s="1"/>
  <c r="AC12" i="977" s="1"/>
  <c r="O12" i="977"/>
  <c r="M12" i="977"/>
  <c r="AF11" i="977"/>
  <c r="AB11" i="977"/>
  <c r="Q11" i="977"/>
  <c r="P11" i="977"/>
  <c r="AC11" i="977" s="1"/>
  <c r="O11" i="977"/>
  <c r="M11" i="977"/>
  <c r="K11" i="977"/>
  <c r="AF10" i="977"/>
  <c r="AB10" i="977"/>
  <c r="Q10" i="977"/>
  <c r="P10" i="977" s="1"/>
  <c r="AC10" i="977" s="1"/>
  <c r="AD10" i="977" s="1"/>
  <c r="O10" i="977"/>
  <c r="M10" i="977"/>
  <c r="AF9" i="977"/>
  <c r="AB9" i="977"/>
  <c r="Q9" i="977"/>
  <c r="P9" i="977" s="1"/>
  <c r="AC9" i="977" s="1"/>
  <c r="O9" i="977"/>
  <c r="M9" i="977"/>
  <c r="AF8" i="977"/>
  <c r="AB8" i="977"/>
  <c r="Q8" i="977"/>
  <c r="P8" i="977" s="1"/>
  <c r="AC8" i="977" s="1"/>
  <c r="O8" i="977"/>
  <c r="M8" i="977"/>
  <c r="AF7" i="977"/>
  <c r="Q7" i="977"/>
  <c r="AB7" i="977"/>
  <c r="AF6" i="977"/>
  <c r="AB6" i="977"/>
  <c r="Q6" i="977"/>
  <c r="P6" i="977"/>
  <c r="O6" i="977"/>
  <c r="M6" i="977"/>
  <c r="K6" i="977"/>
  <c r="AE15" i="980" l="1"/>
  <c r="AE6" i="980"/>
  <c r="AE20" i="980"/>
  <c r="AE12" i="980"/>
  <c r="AE13" i="980"/>
  <c r="AE17" i="980"/>
  <c r="AE18" i="980"/>
  <c r="AE9" i="980"/>
  <c r="AE16" i="980"/>
  <c r="AE11" i="980"/>
  <c r="AE7" i="980"/>
  <c r="AE10" i="980"/>
  <c r="AE8" i="980"/>
  <c r="AE14" i="980"/>
  <c r="AE19" i="980"/>
  <c r="AD22" i="979"/>
  <c r="AE14" i="979" s="1"/>
  <c r="AB21" i="978"/>
  <c r="AD10" i="978"/>
  <c r="AC21" i="978"/>
  <c r="AD6" i="978"/>
  <c r="AD7" i="978"/>
  <c r="AD12" i="978"/>
  <c r="P21" i="978"/>
  <c r="AD17" i="977"/>
  <c r="AB14" i="977"/>
  <c r="AF62" i="977"/>
  <c r="P14" i="977"/>
  <c r="AC14" i="977" s="1"/>
  <c r="AD14" i="977" s="1"/>
  <c r="AD12" i="977"/>
  <c r="Q21" i="977"/>
  <c r="AD8" i="977"/>
  <c r="AD11" i="977"/>
  <c r="AD19" i="977"/>
  <c r="AD9" i="977"/>
  <c r="AD16" i="977"/>
  <c r="AD18" i="977"/>
  <c r="AD20" i="977"/>
  <c r="O7" i="977"/>
  <c r="AB21" i="977"/>
  <c r="O15" i="977"/>
  <c r="AC6" i="977"/>
  <c r="K21" i="977"/>
  <c r="P7" i="977"/>
  <c r="AC7" i="977" s="1"/>
  <c r="P15" i="977"/>
  <c r="AC15" i="977" s="1"/>
  <c r="AD15" i="977" s="1"/>
  <c r="L21" i="977"/>
  <c r="O21" i="977" s="1"/>
  <c r="M7" i="977"/>
  <c r="M15" i="977"/>
  <c r="AE17" i="979" l="1"/>
  <c r="AE11" i="979"/>
  <c r="AE12" i="979"/>
  <c r="AE9" i="979"/>
  <c r="AE15" i="979"/>
  <c r="AE20" i="979"/>
  <c r="AE16" i="979"/>
  <c r="AE13" i="979"/>
  <c r="AE6" i="979"/>
  <c r="AE19" i="979"/>
  <c r="AE18" i="979"/>
  <c r="AE7" i="979"/>
  <c r="AE10" i="979"/>
  <c r="AE8" i="979"/>
  <c r="AE21" i="979"/>
  <c r="AD21" i="978"/>
  <c r="AE19" i="978" s="1"/>
  <c r="M21" i="977"/>
  <c r="AD7" i="977"/>
  <c r="AC21" i="977"/>
  <c r="AD6" i="977"/>
  <c r="AD21" i="977" s="1"/>
  <c r="P21" i="977"/>
  <c r="AE8" i="978" l="1"/>
  <c r="AE9" i="978"/>
  <c r="AE18" i="978"/>
  <c r="AE13" i="978"/>
  <c r="AE15" i="978"/>
  <c r="AE16" i="978"/>
  <c r="AE10" i="978"/>
  <c r="AE11" i="978"/>
  <c r="AE6" i="978"/>
  <c r="AE17" i="978"/>
  <c r="AE20" i="978"/>
  <c r="AE14" i="978"/>
  <c r="AE12" i="978"/>
  <c r="AE7" i="978"/>
  <c r="AE19" i="977"/>
  <c r="AE17" i="977"/>
  <c r="AE6" i="977"/>
  <c r="AE7" i="977"/>
  <c r="AE15" i="977"/>
  <c r="AE11" i="977"/>
  <c r="AE20" i="977"/>
  <c r="AE18" i="977"/>
  <c r="AE16" i="977"/>
  <c r="AE13" i="977"/>
  <c r="AE9" i="977"/>
  <c r="AE14" i="977"/>
  <c r="AE12" i="977"/>
  <c r="AE10" i="977"/>
  <c r="AE8" i="977"/>
  <c r="L16" i="976" l="1"/>
  <c r="K16" i="976" s="1"/>
  <c r="AF16" i="976"/>
  <c r="Q16" i="976"/>
  <c r="P16" i="976" s="1"/>
  <c r="AC16" i="976" s="1"/>
  <c r="O16" i="976"/>
  <c r="K19" i="976"/>
  <c r="L17" i="976"/>
  <c r="K17" i="976" s="1"/>
  <c r="L15" i="976"/>
  <c r="K15" i="976" s="1"/>
  <c r="K14" i="976"/>
  <c r="K10" i="976"/>
  <c r="L7" i="976"/>
  <c r="K7" i="976" s="1"/>
  <c r="K20" i="976"/>
  <c r="K13" i="976"/>
  <c r="K12" i="976"/>
  <c r="K9" i="976"/>
  <c r="K8" i="976"/>
  <c r="A75" i="976"/>
  <c r="A76" i="976" s="1"/>
  <c r="A77" i="976" s="1"/>
  <c r="A78" i="976" s="1"/>
  <c r="A79" i="976" s="1"/>
  <c r="A80" i="976" s="1"/>
  <c r="A81" i="976" s="1"/>
  <c r="A82" i="976" s="1"/>
  <c r="AF61" i="976"/>
  <c r="AF63" i="976" s="1"/>
  <c r="AF60" i="976"/>
  <c r="AA22" i="976"/>
  <c r="Z22" i="976"/>
  <c r="Y22" i="976"/>
  <c r="X22" i="976"/>
  <c r="W22" i="976"/>
  <c r="V22" i="976"/>
  <c r="U22" i="976"/>
  <c r="T22" i="976"/>
  <c r="S22" i="976"/>
  <c r="R22" i="976"/>
  <c r="N22" i="976"/>
  <c r="J22" i="976"/>
  <c r="I22" i="976"/>
  <c r="AF21" i="976"/>
  <c r="AB21" i="976"/>
  <c r="Q21" i="976"/>
  <c r="P21" i="976"/>
  <c r="AC21" i="976" s="1"/>
  <c r="O21" i="976"/>
  <c r="M21" i="976"/>
  <c r="K21" i="976"/>
  <c r="AF20" i="976"/>
  <c r="Q20" i="976"/>
  <c r="P20" i="976"/>
  <c r="AC20" i="976" s="1"/>
  <c r="AF19" i="976"/>
  <c r="AB19" i="976"/>
  <c r="Q19" i="976"/>
  <c r="P19" i="976" s="1"/>
  <c r="AC19" i="976" s="1"/>
  <c r="O19" i="976"/>
  <c r="M19" i="976"/>
  <c r="AF18" i="976"/>
  <c r="AB18" i="976"/>
  <c r="Q18" i="976"/>
  <c r="P18" i="976"/>
  <c r="AC18" i="976" s="1"/>
  <c r="O18" i="976"/>
  <c r="M18" i="976"/>
  <c r="K18" i="976"/>
  <c r="AF17" i="976"/>
  <c r="AB17" i="976"/>
  <c r="Q17" i="976"/>
  <c r="P17" i="976" s="1"/>
  <c r="AC17" i="976" s="1"/>
  <c r="O17" i="976"/>
  <c r="M17" i="976"/>
  <c r="AF15" i="976"/>
  <c r="Q15" i="976"/>
  <c r="P15" i="976" s="1"/>
  <c r="AC15" i="976" s="1"/>
  <c r="O15" i="976"/>
  <c r="AF14" i="976"/>
  <c r="AB14" i="976"/>
  <c r="Q14" i="976"/>
  <c r="P14" i="976"/>
  <c r="AC14" i="976" s="1"/>
  <c r="O14" i="976"/>
  <c r="M14" i="976"/>
  <c r="AF13" i="976"/>
  <c r="Q13" i="976"/>
  <c r="P13" i="976"/>
  <c r="AC13" i="976" s="1"/>
  <c r="AF12" i="976"/>
  <c r="Q12" i="976"/>
  <c r="P12" i="976" s="1"/>
  <c r="AC12" i="976" s="1"/>
  <c r="O12" i="976"/>
  <c r="AF11" i="976"/>
  <c r="AB11" i="976"/>
  <c r="Q11" i="976"/>
  <c r="P11" i="976"/>
  <c r="AC11" i="976" s="1"/>
  <c r="O11" i="976"/>
  <c r="M11" i="976"/>
  <c r="K11" i="976"/>
  <c r="AF10" i="976"/>
  <c r="AB10" i="976"/>
  <c r="Q10" i="976"/>
  <c r="P10" i="976" s="1"/>
  <c r="AC10" i="976" s="1"/>
  <c r="AD10" i="976" s="1"/>
  <c r="N7" i="16" s="1"/>
  <c r="O10" i="976"/>
  <c r="M10" i="976"/>
  <c r="AF9" i="976"/>
  <c r="AB9" i="976"/>
  <c r="Q9" i="976"/>
  <c r="P9" i="976" s="1"/>
  <c r="AC9" i="976" s="1"/>
  <c r="O9" i="976"/>
  <c r="M9" i="976"/>
  <c r="AF8" i="976"/>
  <c r="Q8" i="976"/>
  <c r="P8" i="976" s="1"/>
  <c r="AC8" i="976" s="1"/>
  <c r="AF7" i="976"/>
  <c r="Q7" i="976"/>
  <c r="P7" i="976" s="1"/>
  <c r="AC7" i="976" s="1"/>
  <c r="L22" i="976"/>
  <c r="O22" i="976" s="1"/>
  <c r="AF6" i="976"/>
  <c r="AB6" i="976"/>
  <c r="Q6" i="976"/>
  <c r="P6" i="976"/>
  <c r="AC6" i="976" s="1"/>
  <c r="O6" i="976"/>
  <c r="M6" i="976"/>
  <c r="K6" i="976"/>
  <c r="AB16" i="976" l="1"/>
  <c r="AD16" i="976"/>
  <c r="M16" i="976"/>
  <c r="AD21" i="976"/>
  <c r="N17" i="16" s="1"/>
  <c r="AD9" i="976"/>
  <c r="N6" i="16" s="1"/>
  <c r="Q22" i="976"/>
  <c r="P22" i="976"/>
  <c r="AD11" i="976"/>
  <c r="N8" i="16" s="1"/>
  <c r="AD18" i="976"/>
  <c r="N14" i="16" s="1"/>
  <c r="AD14" i="976"/>
  <c r="N11" i="16" s="1"/>
  <c r="AD17" i="976"/>
  <c r="N13" i="16" s="1"/>
  <c r="AD19" i="976"/>
  <c r="N15" i="16" s="1"/>
  <c r="AC22" i="976"/>
  <c r="M20" i="976"/>
  <c r="AB20" i="976"/>
  <c r="M8" i="976"/>
  <c r="M13" i="976"/>
  <c r="AB13" i="976"/>
  <c r="M7" i="976"/>
  <c r="AB7" i="976"/>
  <c r="O8" i="976"/>
  <c r="M12" i="976"/>
  <c r="AB12" i="976"/>
  <c r="AD12" i="976" s="1"/>
  <c r="N9" i="16" s="1"/>
  <c r="O13" i="976"/>
  <c r="M15" i="976"/>
  <c r="AB15" i="976"/>
  <c r="AD15" i="976" s="1"/>
  <c r="N12" i="16" s="1"/>
  <c r="O20" i="976"/>
  <c r="AD6" i="976"/>
  <c r="N3" i="16" s="1"/>
  <c r="AB8" i="976"/>
  <c r="AD8" i="976" s="1"/>
  <c r="N5" i="16" s="1"/>
  <c r="O7" i="976"/>
  <c r="K22" i="97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K19" i="975"/>
  <c r="AF19" i="975"/>
  <c r="AB19" i="975"/>
  <c r="Q19" i="975"/>
  <c r="P19" i="975" s="1"/>
  <c r="AC19" i="975" s="1"/>
  <c r="O19" i="975"/>
  <c r="M19" i="975"/>
  <c r="L20" i="975"/>
  <c r="O20" i="975" s="1"/>
  <c r="AF20" i="975"/>
  <c r="AB20" i="975"/>
  <c r="Q20" i="975"/>
  <c r="P20" i="975" s="1"/>
  <c r="AC20" i="975" s="1"/>
  <c r="M20" i="975"/>
  <c r="K20" i="975"/>
  <c r="L15" i="975"/>
  <c r="L13" i="975"/>
  <c r="L12" i="975"/>
  <c r="L8" i="975"/>
  <c r="L7" i="975"/>
  <c r="K7" i="975" s="1"/>
  <c r="K18" i="975"/>
  <c r="K15" i="975"/>
  <c r="K13" i="975"/>
  <c r="K12" i="975"/>
  <c r="K9" i="975"/>
  <c r="K8" i="975"/>
  <c r="A75" i="975"/>
  <c r="A76" i="975" s="1"/>
  <c r="A77" i="975" s="1"/>
  <c r="A78" i="975" s="1"/>
  <c r="A79" i="975" s="1"/>
  <c r="A80" i="975" s="1"/>
  <c r="A81" i="975" s="1"/>
  <c r="A82" i="975" s="1"/>
  <c r="AF61" i="975"/>
  <c r="AF63" i="975" s="1"/>
  <c r="AF60" i="975"/>
  <c r="AA22" i="975"/>
  <c r="Z22" i="975"/>
  <c r="Y22" i="975"/>
  <c r="X22" i="975"/>
  <c r="W22" i="975"/>
  <c r="V22" i="975"/>
  <c r="U22" i="975"/>
  <c r="T22" i="975"/>
  <c r="S22" i="975"/>
  <c r="R22" i="975"/>
  <c r="N22" i="975"/>
  <c r="J22" i="975"/>
  <c r="I22" i="975"/>
  <c r="AF21" i="975"/>
  <c r="AB21" i="975"/>
  <c r="Q21" i="975"/>
  <c r="P21" i="975"/>
  <c r="AC21" i="975" s="1"/>
  <c r="AD21" i="975" s="1"/>
  <c r="O21" i="975"/>
  <c r="M21" i="975"/>
  <c r="K21" i="975"/>
  <c r="AF18" i="975"/>
  <c r="Q18" i="975"/>
  <c r="P18" i="975" s="1"/>
  <c r="AC18" i="975" s="1"/>
  <c r="O18" i="975"/>
  <c r="AF17" i="975"/>
  <c r="AB17" i="975"/>
  <c r="Q17" i="975"/>
  <c r="P17" i="975"/>
  <c r="AC17" i="975" s="1"/>
  <c r="O17" i="975"/>
  <c r="M17" i="975"/>
  <c r="K17" i="975"/>
  <c r="AF16" i="975"/>
  <c r="AB16" i="975"/>
  <c r="Q16" i="975"/>
  <c r="P16" i="975"/>
  <c r="AC16" i="975" s="1"/>
  <c r="AD16" i="975" s="1"/>
  <c r="O16" i="975"/>
  <c r="M16" i="975"/>
  <c r="K16" i="975"/>
  <c r="AF15" i="975"/>
  <c r="AB15" i="975"/>
  <c r="Q15" i="975"/>
  <c r="P15" i="975" s="1"/>
  <c r="AC15" i="975" s="1"/>
  <c r="O15" i="975"/>
  <c r="M15" i="975"/>
  <c r="AF14" i="975"/>
  <c r="AB14" i="975"/>
  <c r="Q14" i="975"/>
  <c r="P14" i="975"/>
  <c r="AC14" i="975" s="1"/>
  <c r="AD14" i="975" s="1"/>
  <c r="O14" i="975"/>
  <c r="M14" i="975"/>
  <c r="K14" i="975"/>
  <c r="AF13" i="975"/>
  <c r="Q13" i="975"/>
  <c r="O13" i="975"/>
  <c r="P13" i="975"/>
  <c r="AC13" i="975" s="1"/>
  <c r="AF12" i="975"/>
  <c r="AB12" i="975"/>
  <c r="Q12" i="975"/>
  <c r="P12" i="975" s="1"/>
  <c r="AC12" i="975" s="1"/>
  <c r="O12" i="975"/>
  <c r="M12" i="975"/>
  <c r="AF11" i="975"/>
  <c r="AB11" i="975"/>
  <c r="Q11" i="975"/>
  <c r="P11" i="975"/>
  <c r="AC11" i="975" s="1"/>
  <c r="AD11" i="975" s="1"/>
  <c r="O11" i="975"/>
  <c r="M11" i="975"/>
  <c r="K11" i="975"/>
  <c r="AF10" i="975"/>
  <c r="AB10" i="975"/>
  <c r="Q10" i="975"/>
  <c r="P10" i="975"/>
  <c r="AC10" i="975" s="1"/>
  <c r="AD10" i="975" s="1"/>
  <c r="O10" i="975"/>
  <c r="M10" i="975"/>
  <c r="K10" i="975"/>
  <c r="AF9" i="975"/>
  <c r="Q9" i="975"/>
  <c r="O9" i="975"/>
  <c r="AB9" i="975"/>
  <c r="AF8" i="975"/>
  <c r="AB8" i="975"/>
  <c r="Q8" i="975"/>
  <c r="L22" i="975"/>
  <c r="O22" i="975" s="1"/>
  <c r="AF7" i="975"/>
  <c r="Q7" i="975"/>
  <c r="AF6" i="975"/>
  <c r="AB6" i="975"/>
  <c r="Q6" i="975"/>
  <c r="P6" i="975"/>
  <c r="AC6" i="975" s="1"/>
  <c r="O6" i="975"/>
  <c r="M6" i="975"/>
  <c r="K6" i="975"/>
  <c r="M22" i="976" l="1"/>
  <c r="AB22" i="976"/>
  <c r="AD13" i="976"/>
  <c r="N10" i="16" s="1"/>
  <c r="AD20" i="976"/>
  <c r="N16" i="16" s="1"/>
  <c r="AD7" i="976"/>
  <c r="N4" i="16" s="1"/>
  <c r="AD19" i="975"/>
  <c r="AD20" i="975"/>
  <c r="AD12" i="975"/>
  <c r="P8" i="975"/>
  <c r="AC8" i="975" s="1"/>
  <c r="M8" i="975"/>
  <c r="Q22" i="975"/>
  <c r="P7" i="975"/>
  <c r="AC7" i="975" s="1"/>
  <c r="AD7" i="975" s="1"/>
  <c r="AB7" i="975"/>
  <c r="M7" i="975"/>
  <c r="O7" i="975"/>
  <c r="AD15" i="975"/>
  <c r="AD17" i="975"/>
  <c r="AD6" i="975"/>
  <c r="O8" i="975"/>
  <c r="AD8" i="975" s="1"/>
  <c r="K22" i="975"/>
  <c r="P9" i="975"/>
  <c r="AC9" i="975" s="1"/>
  <c r="AD9" i="975" s="1"/>
  <c r="M13" i="975"/>
  <c r="AB13" i="975"/>
  <c r="AD13" i="975" s="1"/>
  <c r="M18" i="975"/>
  <c r="AB18" i="975"/>
  <c r="AD18" i="975" s="1"/>
  <c r="M9" i="975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19" i="974"/>
  <c r="L18" i="974"/>
  <c r="K18" i="974" s="1"/>
  <c r="L15" i="974"/>
  <c r="K15" i="974" s="1"/>
  <c r="L13" i="974"/>
  <c r="K13" i="974" s="1"/>
  <c r="L12" i="974"/>
  <c r="L9" i="974"/>
  <c r="K9" i="974" s="1"/>
  <c r="L8" i="974"/>
  <c r="K8" i="974" s="1"/>
  <c r="K19" i="974"/>
  <c r="K14" i="974"/>
  <c r="K12" i="974"/>
  <c r="K10" i="974"/>
  <c r="A74" i="974"/>
  <c r="A75" i="974" s="1"/>
  <c r="A76" i="974" s="1"/>
  <c r="A77" i="974" s="1"/>
  <c r="A78" i="974" s="1"/>
  <c r="A79" i="974" s="1"/>
  <c r="A80" i="974" s="1"/>
  <c r="A81" i="974" s="1"/>
  <c r="AF60" i="974"/>
  <c r="AF62" i="974" s="1"/>
  <c r="AF59" i="974"/>
  <c r="AA21" i="974"/>
  <c r="Z21" i="974"/>
  <c r="Y21" i="974"/>
  <c r="X21" i="974"/>
  <c r="W21" i="974"/>
  <c r="V21" i="974"/>
  <c r="U21" i="974"/>
  <c r="T21" i="974"/>
  <c r="S21" i="974"/>
  <c r="R21" i="974"/>
  <c r="N21" i="974"/>
  <c r="J21" i="974"/>
  <c r="I21" i="974"/>
  <c r="AF20" i="974"/>
  <c r="AB20" i="974"/>
  <c r="Q20" i="974"/>
  <c r="P20" i="974"/>
  <c r="AC20" i="974" s="1"/>
  <c r="O20" i="974"/>
  <c r="M20" i="974"/>
  <c r="K20" i="974"/>
  <c r="AF19" i="974"/>
  <c r="Q19" i="974"/>
  <c r="P19" i="974" s="1"/>
  <c r="AC19" i="974" s="1"/>
  <c r="AF18" i="974"/>
  <c r="Q18" i="974"/>
  <c r="P18" i="974" s="1"/>
  <c r="AC18" i="974" s="1"/>
  <c r="AF17" i="974"/>
  <c r="AB17" i="974"/>
  <c r="Q17" i="974"/>
  <c r="P17" i="974"/>
  <c r="AC17" i="974" s="1"/>
  <c r="O17" i="974"/>
  <c r="M17" i="974"/>
  <c r="K17" i="974"/>
  <c r="AF16" i="974"/>
  <c r="AB16" i="974"/>
  <c r="Q16" i="974"/>
  <c r="P16" i="974"/>
  <c r="AC16" i="974" s="1"/>
  <c r="O16" i="974"/>
  <c r="M16" i="974"/>
  <c r="K16" i="974"/>
  <c r="AF15" i="974"/>
  <c r="AB15" i="974"/>
  <c r="Q15" i="974"/>
  <c r="P15" i="974" s="1"/>
  <c r="AC15" i="974" s="1"/>
  <c r="O15" i="974"/>
  <c r="M15" i="974"/>
  <c r="AF14" i="974"/>
  <c r="AB14" i="974"/>
  <c r="Q14" i="974"/>
  <c r="P14" i="974" s="1"/>
  <c r="AC14" i="974" s="1"/>
  <c r="AD14" i="974" s="1"/>
  <c r="O14" i="974"/>
  <c r="M14" i="974"/>
  <c r="AF13" i="974"/>
  <c r="AB13" i="974"/>
  <c r="Q13" i="974"/>
  <c r="P13" i="974" s="1"/>
  <c r="AC13" i="974" s="1"/>
  <c r="O13" i="974"/>
  <c r="M13" i="974"/>
  <c r="AF12" i="974"/>
  <c r="Q12" i="974"/>
  <c r="P12" i="974"/>
  <c r="AC12" i="974" s="1"/>
  <c r="O12" i="974"/>
  <c r="AF11" i="974"/>
  <c r="AB11" i="974"/>
  <c r="Q11" i="974"/>
  <c r="P11" i="974"/>
  <c r="AC11" i="974" s="1"/>
  <c r="AD11" i="974" s="1"/>
  <c r="O11" i="974"/>
  <c r="M11" i="974"/>
  <c r="K11" i="974"/>
  <c r="AF10" i="974"/>
  <c r="AB10" i="974"/>
  <c r="Q10" i="974"/>
  <c r="P10" i="974" s="1"/>
  <c r="AC10" i="974" s="1"/>
  <c r="O10" i="974"/>
  <c r="M10" i="974"/>
  <c r="AF9" i="974"/>
  <c r="Q9" i="974"/>
  <c r="M9" i="974"/>
  <c r="AF8" i="974"/>
  <c r="Q8" i="974"/>
  <c r="AF7" i="974"/>
  <c r="AB7" i="974"/>
  <c r="Q7" i="974"/>
  <c r="P7" i="974"/>
  <c r="AC7" i="974" s="1"/>
  <c r="O7" i="974"/>
  <c r="M7" i="974"/>
  <c r="K7" i="974"/>
  <c r="AF6" i="974"/>
  <c r="AB6" i="974"/>
  <c r="Q6" i="974"/>
  <c r="P6" i="974"/>
  <c r="AC6" i="974" s="1"/>
  <c r="O6" i="974"/>
  <c r="M6" i="974"/>
  <c r="K6" i="974"/>
  <c r="AD22" i="976" l="1"/>
  <c r="N18" i="16" s="1"/>
  <c r="M22" i="975"/>
  <c r="AD22" i="975"/>
  <c r="AB22" i="975"/>
  <c r="AC22" i="975"/>
  <c r="P22" i="975"/>
  <c r="AD17" i="974"/>
  <c r="O9" i="974"/>
  <c r="AB9" i="974"/>
  <c r="P9" i="974"/>
  <c r="AC9" i="974" s="1"/>
  <c r="Q21" i="974"/>
  <c r="L21" i="974"/>
  <c r="O21" i="974" s="1"/>
  <c r="AD10" i="974"/>
  <c r="AD13" i="974"/>
  <c r="AD15" i="974"/>
  <c r="AD7" i="974"/>
  <c r="AD16" i="974"/>
  <c r="AD20" i="974"/>
  <c r="AB8" i="974"/>
  <c r="M19" i="974"/>
  <c r="AB19" i="974"/>
  <c r="AD6" i="974"/>
  <c r="O8" i="974"/>
  <c r="M12" i="974"/>
  <c r="AB12" i="974"/>
  <c r="AD12" i="974" s="1"/>
  <c r="M18" i="974"/>
  <c r="AB18" i="974"/>
  <c r="O19" i="974"/>
  <c r="M8" i="974"/>
  <c r="K21" i="974"/>
  <c r="P8" i="974"/>
  <c r="AC8" i="974" s="1"/>
  <c r="O18" i="974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0" i="973"/>
  <c r="K20" i="973" s="1"/>
  <c r="L19" i="973"/>
  <c r="K14" i="973"/>
  <c r="AF14" i="973"/>
  <c r="Q14" i="973"/>
  <c r="AB14" i="973"/>
  <c r="L13" i="973"/>
  <c r="K13" i="973"/>
  <c r="L12" i="973"/>
  <c r="K10" i="973"/>
  <c r="L8" i="973"/>
  <c r="K19" i="973"/>
  <c r="K15" i="973"/>
  <c r="K12" i="973"/>
  <c r="K11" i="973"/>
  <c r="K9" i="973"/>
  <c r="K8" i="973"/>
  <c r="A75" i="973"/>
  <c r="A76" i="973" s="1"/>
  <c r="A77" i="973" s="1"/>
  <c r="A78" i="973" s="1"/>
  <c r="A79" i="973" s="1"/>
  <c r="A80" i="973" s="1"/>
  <c r="A81" i="973" s="1"/>
  <c r="A82" i="973" s="1"/>
  <c r="AF63" i="973"/>
  <c r="AF61" i="973"/>
  <c r="AF60" i="973"/>
  <c r="AA22" i="973"/>
  <c r="Z22" i="973"/>
  <c r="Y22" i="973"/>
  <c r="X22" i="973"/>
  <c r="W22" i="973"/>
  <c r="V22" i="973"/>
  <c r="U22" i="973"/>
  <c r="T22" i="973"/>
  <c r="S22" i="973"/>
  <c r="R22" i="973"/>
  <c r="N22" i="973"/>
  <c r="J22" i="973"/>
  <c r="I22" i="973"/>
  <c r="AF21" i="973"/>
  <c r="AB21" i="973"/>
  <c r="Q21" i="973"/>
  <c r="P21" i="973"/>
  <c r="AC21" i="973" s="1"/>
  <c r="AD21" i="973" s="1"/>
  <c r="O21" i="973"/>
  <c r="M21" i="973"/>
  <c r="K21" i="973"/>
  <c r="AF20" i="973"/>
  <c r="Q20" i="973"/>
  <c r="P20" i="973" s="1"/>
  <c r="AC20" i="973" s="1"/>
  <c r="M20" i="973"/>
  <c r="AF19" i="973"/>
  <c r="Q19" i="973"/>
  <c r="P19" i="973" s="1"/>
  <c r="AC19" i="973" s="1"/>
  <c r="AF18" i="973"/>
  <c r="AB18" i="973"/>
  <c r="Q18" i="973"/>
  <c r="P18" i="973"/>
  <c r="AC18" i="973" s="1"/>
  <c r="O18" i="973"/>
  <c r="M18" i="973"/>
  <c r="K18" i="973"/>
  <c r="AF17" i="973"/>
  <c r="AB17" i="973"/>
  <c r="Q17" i="973"/>
  <c r="P17" i="973"/>
  <c r="AC17" i="973" s="1"/>
  <c r="O17" i="973"/>
  <c r="M17" i="973"/>
  <c r="K17" i="973"/>
  <c r="AF16" i="973"/>
  <c r="AB16" i="973"/>
  <c r="Q16" i="973"/>
  <c r="P16" i="973"/>
  <c r="AC16" i="973" s="1"/>
  <c r="O16" i="973"/>
  <c r="M16" i="973"/>
  <c r="K16" i="973"/>
  <c r="AF15" i="973"/>
  <c r="AB15" i="973"/>
  <c r="Q15" i="973"/>
  <c r="P15" i="973" s="1"/>
  <c r="AC15" i="973" s="1"/>
  <c r="M15" i="973"/>
  <c r="AF13" i="973"/>
  <c r="Q13" i="973"/>
  <c r="P13" i="973" s="1"/>
  <c r="AC13" i="973" s="1"/>
  <c r="AF12" i="973"/>
  <c r="Q12" i="973"/>
  <c r="P12" i="973" s="1"/>
  <c r="AC12" i="973" s="1"/>
  <c r="O12" i="973"/>
  <c r="AB12" i="973"/>
  <c r="AF11" i="973"/>
  <c r="AB11" i="973"/>
  <c r="Q11" i="973"/>
  <c r="P11" i="973"/>
  <c r="AC11" i="973" s="1"/>
  <c r="O11" i="973"/>
  <c r="M11" i="973"/>
  <c r="AF10" i="973"/>
  <c r="AB10" i="973"/>
  <c r="Q10" i="973"/>
  <c r="P10" i="973" s="1"/>
  <c r="AC10" i="973" s="1"/>
  <c r="O10" i="973"/>
  <c r="M10" i="973"/>
  <c r="AF9" i="973"/>
  <c r="AB9" i="973"/>
  <c r="Q9" i="973"/>
  <c r="O9" i="973"/>
  <c r="M9" i="973"/>
  <c r="P9" i="973"/>
  <c r="AC9" i="973" s="1"/>
  <c r="AF8" i="973"/>
  <c r="AB8" i="973"/>
  <c r="Q8" i="973"/>
  <c r="M8" i="973"/>
  <c r="L22" i="973"/>
  <c r="O22" i="973" s="1"/>
  <c r="AF7" i="973"/>
  <c r="AB7" i="973"/>
  <c r="Q7" i="973"/>
  <c r="P7" i="973"/>
  <c r="AC7" i="973" s="1"/>
  <c r="O7" i="973"/>
  <c r="M7" i="973"/>
  <c r="K7" i="973"/>
  <c r="AF6" i="973"/>
  <c r="AC6" i="973"/>
  <c r="AB6" i="973"/>
  <c r="Q6" i="973"/>
  <c r="P6" i="973"/>
  <c r="O6" i="973"/>
  <c r="M6" i="973"/>
  <c r="K6" i="973"/>
  <c r="AE15" i="976" l="1"/>
  <c r="AE16" i="976"/>
  <c r="AE18" i="976"/>
  <c r="AE7" i="976"/>
  <c r="AE14" i="976"/>
  <c r="AE20" i="976"/>
  <c r="AE19" i="976"/>
  <c r="AE6" i="976"/>
  <c r="AE21" i="976"/>
  <c r="AE11" i="976"/>
  <c r="AE10" i="976"/>
  <c r="AE9" i="976"/>
  <c r="AE8" i="976"/>
  <c r="AE13" i="976"/>
  <c r="AE17" i="976"/>
  <c r="AE12" i="976"/>
  <c r="AE20" i="975"/>
  <c r="AE19" i="975"/>
  <c r="AE16" i="975"/>
  <c r="AE8" i="975"/>
  <c r="AE6" i="975"/>
  <c r="AE14" i="975"/>
  <c r="AE11" i="975"/>
  <c r="AE9" i="975"/>
  <c r="AE21" i="975"/>
  <c r="AE17" i="975"/>
  <c r="AE15" i="975"/>
  <c r="AE12" i="975"/>
  <c r="AE13" i="975"/>
  <c r="AE18" i="975"/>
  <c r="AE10" i="975"/>
  <c r="AE7" i="975"/>
  <c r="AD9" i="974"/>
  <c r="AD19" i="974"/>
  <c r="AB21" i="974"/>
  <c r="M21" i="974"/>
  <c r="AD8" i="974"/>
  <c r="AD18" i="974"/>
  <c r="AC21" i="974"/>
  <c r="P21" i="974"/>
  <c r="Q22" i="973"/>
  <c r="O14" i="973"/>
  <c r="AD7" i="973"/>
  <c r="P14" i="973"/>
  <c r="AC14" i="973" s="1"/>
  <c r="AD9" i="973"/>
  <c r="M14" i="973"/>
  <c r="AD10" i="973"/>
  <c r="AD11" i="973"/>
  <c r="AD12" i="973"/>
  <c r="AD18" i="973"/>
  <c r="AD17" i="973"/>
  <c r="AD16" i="973"/>
  <c r="AB20" i="973"/>
  <c r="AD6" i="973"/>
  <c r="O8" i="973"/>
  <c r="M13" i="973"/>
  <c r="AB13" i="973"/>
  <c r="O15" i="973"/>
  <c r="AD15" i="973" s="1"/>
  <c r="M19" i="973"/>
  <c r="AB19" i="973"/>
  <c r="O20" i="973"/>
  <c r="K22" i="973"/>
  <c r="P8" i="973"/>
  <c r="AC8" i="973" s="1"/>
  <c r="M12" i="973"/>
  <c r="O13" i="973"/>
  <c r="O19" i="973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19" i="972"/>
  <c r="L18" i="972"/>
  <c r="L14" i="972"/>
  <c r="L13" i="972"/>
  <c r="L12" i="972"/>
  <c r="K11" i="972"/>
  <c r="L9" i="972"/>
  <c r="L8" i="972"/>
  <c r="AD21" i="974" l="1"/>
  <c r="AE19" i="974" s="1"/>
  <c r="AC22" i="973"/>
  <c r="AD14" i="973"/>
  <c r="AD20" i="973"/>
  <c r="AD13" i="973"/>
  <c r="M22" i="973"/>
  <c r="AB22" i="973"/>
  <c r="P22" i="973"/>
  <c r="AD19" i="973"/>
  <c r="AD8" i="973"/>
  <c r="K19" i="972"/>
  <c r="K18" i="972"/>
  <c r="K16" i="972"/>
  <c r="K14" i="972"/>
  <c r="K13" i="972"/>
  <c r="K12" i="972"/>
  <c r="K10" i="972"/>
  <c r="K8" i="972"/>
  <c r="A74" i="972"/>
  <c r="A75" i="972" s="1"/>
  <c r="A76" i="972" s="1"/>
  <c r="A77" i="972" s="1"/>
  <c r="A78" i="972" s="1"/>
  <c r="A79" i="972" s="1"/>
  <c r="A80" i="972" s="1"/>
  <c r="A81" i="972" s="1"/>
  <c r="AF60" i="972"/>
  <c r="AF59" i="972"/>
  <c r="AF62" i="972" s="1"/>
  <c r="AA21" i="972"/>
  <c r="Z21" i="972"/>
  <c r="Y21" i="972"/>
  <c r="X21" i="972"/>
  <c r="W21" i="972"/>
  <c r="V21" i="972"/>
  <c r="U21" i="972"/>
  <c r="T21" i="972"/>
  <c r="S21" i="972"/>
  <c r="R21" i="972"/>
  <c r="N21" i="972"/>
  <c r="J21" i="972"/>
  <c r="I21" i="972"/>
  <c r="AF20" i="972"/>
  <c r="AB20" i="972"/>
  <c r="Q20" i="972"/>
  <c r="P20" i="972"/>
  <c r="AC20" i="972" s="1"/>
  <c r="O20" i="972"/>
  <c r="M20" i="972"/>
  <c r="K20" i="972"/>
  <c r="AF19" i="972"/>
  <c r="AB19" i="972"/>
  <c r="Q19" i="972"/>
  <c r="P19" i="972" s="1"/>
  <c r="AC19" i="972" s="1"/>
  <c r="AD19" i="972" s="1"/>
  <c r="O19" i="972"/>
  <c r="M19" i="972"/>
  <c r="AF18" i="972"/>
  <c r="Q18" i="972"/>
  <c r="P18" i="972" s="1"/>
  <c r="AC18" i="972" s="1"/>
  <c r="O18" i="972"/>
  <c r="AB18" i="972"/>
  <c r="AF17" i="972"/>
  <c r="AB17" i="972"/>
  <c r="Q17" i="972"/>
  <c r="P17" i="972"/>
  <c r="AC17" i="972" s="1"/>
  <c r="O17" i="972"/>
  <c r="M17" i="972"/>
  <c r="K17" i="972"/>
  <c r="AF16" i="972"/>
  <c r="Q16" i="972"/>
  <c r="P16" i="972"/>
  <c r="AC16" i="972" s="1"/>
  <c r="O16" i="972"/>
  <c r="AF15" i="972"/>
  <c r="AC15" i="972"/>
  <c r="AB15" i="972"/>
  <c r="Q15" i="972"/>
  <c r="P15" i="972"/>
  <c r="O15" i="972"/>
  <c r="M15" i="972"/>
  <c r="K15" i="972"/>
  <c r="AF14" i="972"/>
  <c r="Q14" i="972"/>
  <c r="P14" i="972" s="1"/>
  <c r="AC14" i="972" s="1"/>
  <c r="AF13" i="972"/>
  <c r="Q13" i="972"/>
  <c r="P13" i="972"/>
  <c r="AC13" i="972" s="1"/>
  <c r="O13" i="972"/>
  <c r="AF12" i="972"/>
  <c r="Q12" i="972"/>
  <c r="P12" i="972"/>
  <c r="AC12" i="972" s="1"/>
  <c r="O12" i="972"/>
  <c r="AB12" i="972"/>
  <c r="AF11" i="972"/>
  <c r="AB11" i="972"/>
  <c r="Q11" i="972"/>
  <c r="P11" i="972" s="1"/>
  <c r="AC11" i="972" s="1"/>
  <c r="O11" i="972"/>
  <c r="M11" i="972"/>
  <c r="AF10" i="972"/>
  <c r="AB10" i="972"/>
  <c r="Q10" i="972"/>
  <c r="P10" i="972"/>
  <c r="AC10" i="972" s="1"/>
  <c r="O10" i="972"/>
  <c r="M10" i="972"/>
  <c r="AF9" i="972"/>
  <c r="AB9" i="972"/>
  <c r="Q9" i="972"/>
  <c r="P9" i="972" s="1"/>
  <c r="AC9" i="972" s="1"/>
  <c r="O9" i="972"/>
  <c r="M9" i="972"/>
  <c r="K9" i="972"/>
  <c r="AF8" i="972"/>
  <c r="Q8" i="972"/>
  <c r="P8" i="972" s="1"/>
  <c r="AC8" i="972" s="1"/>
  <c r="L21" i="972"/>
  <c r="O21" i="972" s="1"/>
  <c r="AF7" i="972"/>
  <c r="AB7" i="972"/>
  <c r="Q7" i="972"/>
  <c r="P7" i="972"/>
  <c r="AC7" i="972" s="1"/>
  <c r="O7" i="972"/>
  <c r="M7" i="972"/>
  <c r="K7" i="972"/>
  <c r="AF6" i="972"/>
  <c r="AB6" i="972"/>
  <c r="Q6" i="972"/>
  <c r="P6" i="972"/>
  <c r="O6" i="972"/>
  <c r="M6" i="972"/>
  <c r="K6" i="972"/>
  <c r="AE12" i="974" l="1"/>
  <c r="AE11" i="974"/>
  <c r="AE20" i="974"/>
  <c r="AE14" i="974"/>
  <c r="AE10" i="974"/>
  <c r="AE17" i="974"/>
  <c r="AE18" i="974"/>
  <c r="AE13" i="974"/>
  <c r="AE8" i="974"/>
  <c r="AE16" i="974"/>
  <c r="AE9" i="974"/>
  <c r="AE7" i="974"/>
  <c r="AE15" i="974"/>
  <c r="AE6" i="974"/>
  <c r="AD22" i="973"/>
  <c r="AD7" i="972"/>
  <c r="AD17" i="972"/>
  <c r="Q21" i="972"/>
  <c r="AD9" i="972"/>
  <c r="AD15" i="972"/>
  <c r="AD11" i="972"/>
  <c r="AD10" i="972"/>
  <c r="P21" i="972"/>
  <c r="AD20" i="972"/>
  <c r="AD12" i="972"/>
  <c r="AD18" i="972"/>
  <c r="M14" i="972"/>
  <c r="AC6" i="972"/>
  <c r="M8" i="972"/>
  <c r="AB8" i="972"/>
  <c r="M13" i="972"/>
  <c r="AB13" i="972"/>
  <c r="O14" i="972"/>
  <c r="M16" i="972"/>
  <c r="AB16" i="972"/>
  <c r="AD16" i="972" s="1"/>
  <c r="AB14" i="972"/>
  <c r="O8" i="972"/>
  <c r="M12" i="972"/>
  <c r="K21" i="972"/>
  <c r="M18" i="972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K21" i="971"/>
  <c r="AF20" i="971"/>
  <c r="AB20" i="971"/>
  <c r="Q20" i="971"/>
  <c r="P20" i="971" s="1"/>
  <c r="AC20" i="971" s="1"/>
  <c r="O20" i="971"/>
  <c r="M20" i="971"/>
  <c r="K20" i="971"/>
  <c r="AF21" i="971"/>
  <c r="AB21" i="971"/>
  <c r="Q21" i="971"/>
  <c r="P21" i="971" s="1"/>
  <c r="AC21" i="971" s="1"/>
  <c r="O21" i="971"/>
  <c r="M21" i="971"/>
  <c r="L18" i="971"/>
  <c r="L16" i="971"/>
  <c r="K16" i="971" s="1"/>
  <c r="L14" i="971"/>
  <c r="K14" i="971" s="1"/>
  <c r="L13" i="971"/>
  <c r="K13" i="971" s="1"/>
  <c r="L12" i="971"/>
  <c r="K12" i="971" s="1"/>
  <c r="K10" i="971"/>
  <c r="L8" i="971"/>
  <c r="K8" i="971" s="1"/>
  <c r="K19" i="971"/>
  <c r="K18" i="971"/>
  <c r="A76" i="971"/>
  <c r="A77" i="971" s="1"/>
  <c r="A78" i="971" s="1"/>
  <c r="A79" i="971" s="1"/>
  <c r="A80" i="971" s="1"/>
  <c r="A81" i="971" s="1"/>
  <c r="A82" i="971" s="1"/>
  <c r="A83" i="971" s="1"/>
  <c r="AF62" i="971"/>
  <c r="AF61" i="971"/>
  <c r="AF64" i="971" s="1"/>
  <c r="AA23" i="971"/>
  <c r="Z23" i="971"/>
  <c r="Y23" i="971"/>
  <c r="X23" i="971"/>
  <c r="W23" i="971"/>
  <c r="V23" i="971"/>
  <c r="U23" i="971"/>
  <c r="T23" i="971"/>
  <c r="S23" i="971"/>
  <c r="R23" i="971"/>
  <c r="N23" i="971"/>
  <c r="J23" i="971"/>
  <c r="I23" i="971"/>
  <c r="AF22" i="971"/>
  <c r="AB22" i="971"/>
  <c r="Q22" i="971"/>
  <c r="P22" i="971"/>
  <c r="AC22" i="971" s="1"/>
  <c r="O22" i="971"/>
  <c r="M22" i="971"/>
  <c r="K22" i="971"/>
  <c r="AF19" i="971"/>
  <c r="Q19" i="971"/>
  <c r="P19" i="971" s="1"/>
  <c r="AC19" i="971" s="1"/>
  <c r="AF18" i="971"/>
  <c r="Q18" i="971"/>
  <c r="P18" i="971" s="1"/>
  <c r="AC18" i="971" s="1"/>
  <c r="AF17" i="971"/>
  <c r="AB17" i="971"/>
  <c r="Q17" i="971"/>
  <c r="P17" i="971"/>
  <c r="AC17" i="971" s="1"/>
  <c r="O17" i="971"/>
  <c r="M17" i="971"/>
  <c r="K17" i="971"/>
  <c r="AF16" i="971"/>
  <c r="Q16" i="971"/>
  <c r="P16" i="971" s="1"/>
  <c r="AC16" i="971" s="1"/>
  <c r="AF15" i="971"/>
  <c r="AB15" i="971"/>
  <c r="Q15" i="971"/>
  <c r="P15" i="971"/>
  <c r="AC15" i="971" s="1"/>
  <c r="O15" i="971"/>
  <c r="M15" i="971"/>
  <c r="K15" i="971"/>
  <c r="AF14" i="971"/>
  <c r="Q14" i="971"/>
  <c r="AF13" i="971"/>
  <c r="Q13" i="971"/>
  <c r="AF12" i="971"/>
  <c r="Q12" i="971"/>
  <c r="P12" i="971" s="1"/>
  <c r="AC12" i="971" s="1"/>
  <c r="AB12" i="971"/>
  <c r="AF11" i="971"/>
  <c r="AB11" i="971"/>
  <c r="Q11" i="971"/>
  <c r="P11" i="971"/>
  <c r="AC11" i="971" s="1"/>
  <c r="O11" i="971"/>
  <c r="M11" i="971"/>
  <c r="K11" i="971"/>
  <c r="AF10" i="971"/>
  <c r="Q10" i="971"/>
  <c r="P10" i="971" s="1"/>
  <c r="AC10" i="971" s="1"/>
  <c r="O10" i="971"/>
  <c r="AF9" i="971"/>
  <c r="AB9" i="971"/>
  <c r="Q9" i="971"/>
  <c r="P9" i="971"/>
  <c r="AC9" i="971" s="1"/>
  <c r="O9" i="971"/>
  <c r="M9" i="971"/>
  <c r="K9" i="971"/>
  <c r="AF8" i="971"/>
  <c r="Q8" i="971"/>
  <c r="AF7" i="971"/>
  <c r="AB7" i="971"/>
  <c r="Q7" i="971"/>
  <c r="P7" i="971"/>
  <c r="AC7" i="971" s="1"/>
  <c r="O7" i="971"/>
  <c r="M7" i="971"/>
  <c r="K7" i="971"/>
  <c r="AF6" i="971"/>
  <c r="AB6" i="971"/>
  <c r="Q6" i="971"/>
  <c r="P6" i="971"/>
  <c r="AC6" i="971" s="1"/>
  <c r="O6" i="971"/>
  <c r="M6" i="971"/>
  <c r="K6" i="971"/>
  <c r="AE20" i="973" l="1"/>
  <c r="AE14" i="973"/>
  <c r="AE13" i="973"/>
  <c r="AE18" i="973"/>
  <c r="AE6" i="973"/>
  <c r="AE15" i="973"/>
  <c r="AE8" i="973"/>
  <c r="AE19" i="973"/>
  <c r="AE21" i="973"/>
  <c r="AE9" i="973"/>
  <c r="AE17" i="973"/>
  <c r="AE16" i="973"/>
  <c r="AE10" i="973"/>
  <c r="AE12" i="973"/>
  <c r="AE7" i="973"/>
  <c r="AE11" i="973"/>
  <c r="M21" i="972"/>
  <c r="AB21" i="972"/>
  <c r="AD14" i="972"/>
  <c r="AD8" i="972"/>
  <c r="AC21" i="972"/>
  <c r="AD6" i="972"/>
  <c r="AD13" i="972"/>
  <c r="AD20" i="971"/>
  <c r="O12" i="971"/>
  <c r="AD21" i="971"/>
  <c r="AD22" i="971"/>
  <c r="AD17" i="971"/>
  <c r="Q23" i="971"/>
  <c r="AD11" i="971"/>
  <c r="AD15" i="971"/>
  <c r="P14" i="971"/>
  <c r="AC14" i="971" s="1"/>
  <c r="O13" i="971"/>
  <c r="P13" i="971"/>
  <c r="AC13" i="971" s="1"/>
  <c r="L23" i="971"/>
  <c r="O23" i="971" s="1"/>
  <c r="AD7" i="971"/>
  <c r="AD9" i="971"/>
  <c r="AD12" i="971"/>
  <c r="M14" i="971"/>
  <c r="AB14" i="971"/>
  <c r="M16" i="971"/>
  <c r="AB16" i="971"/>
  <c r="M19" i="971"/>
  <c r="AB19" i="971"/>
  <c r="AB8" i="971"/>
  <c r="AD6" i="971"/>
  <c r="O8" i="971"/>
  <c r="M10" i="971"/>
  <c r="AB10" i="971"/>
  <c r="AD10" i="971" s="1"/>
  <c r="M13" i="971"/>
  <c r="AB13" i="971"/>
  <c r="O14" i="971"/>
  <c r="O16" i="971"/>
  <c r="M18" i="971"/>
  <c r="AB18" i="971"/>
  <c r="O19" i="971"/>
  <c r="M8" i="971"/>
  <c r="K23" i="971"/>
  <c r="P8" i="971"/>
  <c r="AC8" i="971" s="1"/>
  <c r="AD8" i="971" s="1"/>
  <c r="M12" i="971"/>
  <c r="O18" i="971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0" i="970"/>
  <c r="K20" i="970" s="1"/>
  <c r="L19" i="970"/>
  <c r="K19" i="970" s="1"/>
  <c r="L17" i="970"/>
  <c r="K17" i="970" s="1"/>
  <c r="AF17" i="970"/>
  <c r="AB17" i="970"/>
  <c r="Q17" i="970"/>
  <c r="M17" i="970"/>
  <c r="L16" i="970"/>
  <c r="K16" i="970" s="1"/>
  <c r="L14" i="970"/>
  <c r="L13" i="970"/>
  <c r="L12" i="970"/>
  <c r="L10" i="970"/>
  <c r="K10" i="970" s="1"/>
  <c r="L8" i="970"/>
  <c r="M8" i="970" s="1"/>
  <c r="K15" i="970"/>
  <c r="K14" i="970"/>
  <c r="K13" i="970"/>
  <c r="K12" i="970"/>
  <c r="K9" i="970"/>
  <c r="A75" i="970"/>
  <c r="A76" i="970" s="1"/>
  <c r="A77" i="970" s="1"/>
  <c r="A78" i="970" s="1"/>
  <c r="A79" i="970" s="1"/>
  <c r="A80" i="970" s="1"/>
  <c r="A81" i="970" s="1"/>
  <c r="A82" i="970" s="1"/>
  <c r="AF63" i="970"/>
  <c r="AF61" i="970"/>
  <c r="AF60" i="970"/>
  <c r="AA22" i="970"/>
  <c r="Z22" i="970"/>
  <c r="Y22" i="970"/>
  <c r="X22" i="970"/>
  <c r="W22" i="970"/>
  <c r="V22" i="970"/>
  <c r="U22" i="970"/>
  <c r="T22" i="970"/>
  <c r="S22" i="970"/>
  <c r="R22" i="970"/>
  <c r="N22" i="970"/>
  <c r="J22" i="970"/>
  <c r="I22" i="970"/>
  <c r="AF21" i="970"/>
  <c r="AB21" i="970"/>
  <c r="Q21" i="970"/>
  <c r="P21" i="970"/>
  <c r="AC21" i="970" s="1"/>
  <c r="O21" i="970"/>
  <c r="M21" i="970"/>
  <c r="K21" i="970"/>
  <c r="AF20" i="970"/>
  <c r="AB20" i="970"/>
  <c r="Q20" i="970"/>
  <c r="AF19" i="970"/>
  <c r="AB19" i="970"/>
  <c r="Q19" i="970"/>
  <c r="P19" i="970" s="1"/>
  <c r="AC19" i="970" s="1"/>
  <c r="AF18" i="970"/>
  <c r="AB18" i="970"/>
  <c r="Q18" i="970"/>
  <c r="P18" i="970"/>
  <c r="AC18" i="970" s="1"/>
  <c r="O18" i="970"/>
  <c r="M18" i="970"/>
  <c r="K18" i="970"/>
  <c r="AF16" i="970"/>
  <c r="AB16" i="970"/>
  <c r="Q16" i="970"/>
  <c r="P16" i="970" s="1"/>
  <c r="AC16" i="970" s="1"/>
  <c r="O16" i="970"/>
  <c r="M16" i="970"/>
  <c r="AF15" i="970"/>
  <c r="AB15" i="970"/>
  <c r="Q15" i="970"/>
  <c r="M15" i="970"/>
  <c r="P15" i="970"/>
  <c r="AC15" i="970" s="1"/>
  <c r="AF14" i="970"/>
  <c r="AB14" i="970"/>
  <c r="Q14" i="970"/>
  <c r="P14" i="970" s="1"/>
  <c r="AC14" i="970" s="1"/>
  <c r="O14" i="970"/>
  <c r="M14" i="970"/>
  <c r="AF13" i="970"/>
  <c r="Q13" i="970"/>
  <c r="P13" i="970" s="1"/>
  <c r="AC13" i="970" s="1"/>
  <c r="AF12" i="970"/>
  <c r="AB12" i="970"/>
  <c r="Q12" i="970"/>
  <c r="P12" i="970" s="1"/>
  <c r="AC12" i="970" s="1"/>
  <c r="O12" i="970"/>
  <c r="M12" i="970"/>
  <c r="AF11" i="970"/>
  <c r="AB11" i="970"/>
  <c r="Q11" i="970"/>
  <c r="P11" i="970"/>
  <c r="AC11" i="970" s="1"/>
  <c r="O11" i="970"/>
  <c r="M11" i="970"/>
  <c r="K11" i="970"/>
  <c r="AF10" i="970"/>
  <c r="AB10" i="970"/>
  <c r="Q10" i="970"/>
  <c r="P10" i="970" s="1"/>
  <c r="AC10" i="970" s="1"/>
  <c r="O10" i="970"/>
  <c r="M10" i="970"/>
  <c r="AF9" i="970"/>
  <c r="AB9" i="970"/>
  <c r="Q9" i="970"/>
  <c r="O9" i="970"/>
  <c r="M9" i="970"/>
  <c r="P9" i="970"/>
  <c r="AC9" i="970" s="1"/>
  <c r="AD9" i="970" s="1"/>
  <c r="AF8" i="970"/>
  <c r="Q8" i="970"/>
  <c r="AF7" i="970"/>
  <c r="AB7" i="970"/>
  <c r="Q7" i="970"/>
  <c r="P7" i="970"/>
  <c r="AC7" i="970" s="1"/>
  <c r="O7" i="970"/>
  <c r="M7" i="970"/>
  <c r="K7" i="970"/>
  <c r="AF6" i="970"/>
  <c r="AB6" i="970"/>
  <c r="Q6" i="970"/>
  <c r="P6" i="970"/>
  <c r="AC6" i="970" s="1"/>
  <c r="O6" i="970"/>
  <c r="M6" i="970"/>
  <c r="K6" i="970"/>
  <c r="AD21" i="972" l="1"/>
  <c r="AE11" i="972" s="1"/>
  <c r="AD13" i="971"/>
  <c r="AD19" i="971"/>
  <c r="AD18" i="971"/>
  <c r="AB23" i="971"/>
  <c r="M23" i="971"/>
  <c r="AD14" i="971"/>
  <c r="AD16" i="971"/>
  <c r="AC23" i="971"/>
  <c r="P23" i="971"/>
  <c r="M19" i="970"/>
  <c r="K8" i="970"/>
  <c r="K22" i="970" s="1"/>
  <c r="M20" i="970"/>
  <c r="O20" i="970"/>
  <c r="P20" i="970"/>
  <c r="AC20" i="970" s="1"/>
  <c r="P17" i="970"/>
  <c r="AC17" i="970" s="1"/>
  <c r="O17" i="970"/>
  <c r="AD11" i="970"/>
  <c r="AD16" i="970"/>
  <c r="Q22" i="970"/>
  <c r="AB8" i="970"/>
  <c r="L22" i="970"/>
  <c r="O22" i="970" s="1"/>
  <c r="AD14" i="970"/>
  <c r="AD18" i="970"/>
  <c r="AD7" i="970"/>
  <c r="AD12" i="970"/>
  <c r="AD10" i="970"/>
  <c r="AD21" i="970"/>
  <c r="AD6" i="970"/>
  <c r="O8" i="970"/>
  <c r="M13" i="970"/>
  <c r="AB13" i="970"/>
  <c r="O15" i="970"/>
  <c r="AD15" i="970" s="1"/>
  <c r="O19" i="970"/>
  <c r="AD19" i="970" s="1"/>
  <c r="P8" i="970"/>
  <c r="AC8" i="970" s="1"/>
  <c r="O13" i="970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K15" i="969"/>
  <c r="AF15" i="969"/>
  <c r="AB15" i="969"/>
  <c r="Q15" i="969"/>
  <c r="P15" i="969" s="1"/>
  <c r="AC15" i="969" s="1"/>
  <c r="O15" i="969"/>
  <c r="M15" i="969"/>
  <c r="K21" i="969"/>
  <c r="AF21" i="969"/>
  <c r="AB21" i="969"/>
  <c r="Q21" i="969"/>
  <c r="P21" i="969" s="1"/>
  <c r="AC21" i="969" s="1"/>
  <c r="M21" i="969"/>
  <c r="L20" i="969"/>
  <c r="K20" i="969" s="1"/>
  <c r="L19" i="969"/>
  <c r="K19" i="969" s="1"/>
  <c r="L17" i="969"/>
  <c r="L16" i="969"/>
  <c r="K16" i="969" s="1"/>
  <c r="K14" i="969"/>
  <c r="L13" i="969"/>
  <c r="K13" i="969" s="1"/>
  <c r="L12" i="969"/>
  <c r="L9" i="969"/>
  <c r="K9" i="969"/>
  <c r="L8" i="969"/>
  <c r="K12" i="969"/>
  <c r="K10" i="969"/>
  <c r="K8" i="969"/>
  <c r="K7" i="969"/>
  <c r="A76" i="969"/>
  <c r="A77" i="969" s="1"/>
  <c r="A78" i="969" s="1"/>
  <c r="A79" i="969" s="1"/>
  <c r="A80" i="969" s="1"/>
  <c r="A81" i="969" s="1"/>
  <c r="A82" i="969" s="1"/>
  <c r="A83" i="969" s="1"/>
  <c r="AF64" i="969"/>
  <c r="AF62" i="969"/>
  <c r="AF61" i="969"/>
  <c r="AA23" i="969"/>
  <c r="Z23" i="969"/>
  <c r="Y23" i="969"/>
  <c r="X23" i="969"/>
  <c r="W23" i="969"/>
  <c r="V23" i="969"/>
  <c r="U23" i="969"/>
  <c r="T23" i="969"/>
  <c r="S23" i="969"/>
  <c r="R23" i="969"/>
  <c r="N23" i="969"/>
  <c r="J23" i="969"/>
  <c r="I23" i="969"/>
  <c r="AF22" i="969"/>
  <c r="AB22" i="969"/>
  <c r="Q22" i="969"/>
  <c r="P22" i="969"/>
  <c r="AC22" i="969" s="1"/>
  <c r="AD22" i="969" s="1"/>
  <c r="O22" i="969"/>
  <c r="M22" i="969"/>
  <c r="K22" i="969"/>
  <c r="AF20" i="969"/>
  <c r="Q20" i="969"/>
  <c r="AF19" i="969"/>
  <c r="Q19" i="969"/>
  <c r="P19" i="969"/>
  <c r="AC19" i="969" s="1"/>
  <c r="O19" i="969"/>
  <c r="AF18" i="969"/>
  <c r="AB18" i="969"/>
  <c r="Q18" i="969"/>
  <c r="P18" i="969"/>
  <c r="AC18" i="969" s="1"/>
  <c r="AD18" i="969" s="1"/>
  <c r="O18" i="969"/>
  <c r="M18" i="969"/>
  <c r="K18" i="969"/>
  <c r="AF17" i="969"/>
  <c r="Q17" i="969"/>
  <c r="AF16" i="969"/>
  <c r="Q16" i="969"/>
  <c r="P16" i="969" s="1"/>
  <c r="AC16" i="969" s="1"/>
  <c r="O16" i="969"/>
  <c r="AF14" i="969"/>
  <c r="AB14" i="969"/>
  <c r="Q14" i="969"/>
  <c r="P14" i="969" s="1"/>
  <c r="AC14" i="969" s="1"/>
  <c r="O14" i="969"/>
  <c r="M14" i="969"/>
  <c r="AF13" i="969"/>
  <c r="Q13" i="969"/>
  <c r="P13" i="969" s="1"/>
  <c r="AC13" i="969" s="1"/>
  <c r="O13" i="969"/>
  <c r="AB13" i="969"/>
  <c r="AF12" i="969"/>
  <c r="AB12" i="969"/>
  <c r="Q12" i="969"/>
  <c r="P12" i="969" s="1"/>
  <c r="AC12" i="969" s="1"/>
  <c r="O12" i="969"/>
  <c r="M12" i="969"/>
  <c r="AF11" i="969"/>
  <c r="AB11" i="969"/>
  <c r="Q11" i="969"/>
  <c r="P11" i="969"/>
  <c r="AC11" i="969" s="1"/>
  <c r="O11" i="969"/>
  <c r="M11" i="969"/>
  <c r="K11" i="969"/>
  <c r="AF10" i="969"/>
  <c r="Q10" i="969"/>
  <c r="P10" i="969"/>
  <c r="AC10" i="969" s="1"/>
  <c r="O10" i="969"/>
  <c r="AB10" i="969"/>
  <c r="AF9" i="969"/>
  <c r="AB9" i="969"/>
  <c r="Q9" i="969"/>
  <c r="P9" i="969" s="1"/>
  <c r="AC9" i="969" s="1"/>
  <c r="O9" i="969"/>
  <c r="M9" i="969"/>
  <c r="AF8" i="969"/>
  <c r="Q8" i="969"/>
  <c r="P8" i="969" s="1"/>
  <c r="AC8" i="969" s="1"/>
  <c r="AF7" i="969"/>
  <c r="Q7" i="969"/>
  <c r="P7" i="969"/>
  <c r="AC7" i="969" s="1"/>
  <c r="L23" i="969"/>
  <c r="O23" i="969" s="1"/>
  <c r="AF6" i="969"/>
  <c r="AB6" i="969"/>
  <c r="Q6" i="969"/>
  <c r="P6" i="969"/>
  <c r="AC6" i="969" s="1"/>
  <c r="O6" i="969"/>
  <c r="M6" i="969"/>
  <c r="K6" i="969"/>
  <c r="AE18" i="972" l="1"/>
  <c r="AE19" i="972"/>
  <c r="AE16" i="972"/>
  <c r="AE17" i="972"/>
  <c r="AE10" i="972"/>
  <c r="AE12" i="972"/>
  <c r="AE20" i="972"/>
  <c r="AE9" i="972"/>
  <c r="AE6" i="972"/>
  <c r="AE7" i="972"/>
  <c r="AE8" i="972"/>
  <c r="AE13" i="972"/>
  <c r="AE15" i="972"/>
  <c r="AE14" i="972"/>
  <c r="AD23" i="971"/>
  <c r="AB22" i="970"/>
  <c r="AD20" i="970"/>
  <c r="M22" i="970"/>
  <c r="AD17" i="970"/>
  <c r="AD8" i="970"/>
  <c r="AD13" i="970"/>
  <c r="AC22" i="970"/>
  <c r="P22" i="970"/>
  <c r="AD15" i="969"/>
  <c r="AD12" i="969"/>
  <c r="AD11" i="969"/>
  <c r="O21" i="969"/>
  <c r="AD21" i="969" s="1"/>
  <c r="P17" i="969"/>
  <c r="AC17" i="969" s="1"/>
  <c r="P20" i="969"/>
  <c r="AC20" i="969" s="1"/>
  <c r="K17" i="969"/>
  <c r="K23" i="969" s="1"/>
  <c r="Q23" i="969"/>
  <c r="AD9" i="969"/>
  <c r="AD14" i="969"/>
  <c r="AD10" i="969"/>
  <c r="AD13" i="969"/>
  <c r="M8" i="969"/>
  <c r="M17" i="969"/>
  <c r="AB17" i="969"/>
  <c r="M20" i="969"/>
  <c r="AB20" i="969"/>
  <c r="AD6" i="969"/>
  <c r="AB8" i="969"/>
  <c r="M7" i="969"/>
  <c r="AB7" i="969"/>
  <c r="O8" i="969"/>
  <c r="M16" i="969"/>
  <c r="AB16" i="969"/>
  <c r="AD16" i="969" s="1"/>
  <c r="O17" i="969"/>
  <c r="M19" i="969"/>
  <c r="AB19" i="969"/>
  <c r="AD19" i="969" s="1"/>
  <c r="O20" i="969"/>
  <c r="O7" i="969"/>
  <c r="M10" i="969"/>
  <c r="M13" i="969"/>
  <c r="E18" i="16"/>
  <c r="E17" i="16"/>
  <c r="E16" i="16"/>
  <c r="E15" i="16"/>
  <c r="E14" i="16"/>
  <c r="E13" i="16"/>
  <c r="E12" i="16"/>
  <c r="E10" i="16"/>
  <c r="E9" i="16"/>
  <c r="E8" i="16"/>
  <c r="E7" i="16"/>
  <c r="E6" i="16"/>
  <c r="E5" i="16"/>
  <c r="E4" i="16"/>
  <c r="E3" i="16"/>
  <c r="L20" i="968"/>
  <c r="L19" i="968"/>
  <c r="L17" i="968"/>
  <c r="L16" i="968"/>
  <c r="K16" i="968" s="1"/>
  <c r="K15" i="968"/>
  <c r="AF15" i="968"/>
  <c r="AB15" i="968"/>
  <c r="Q15" i="968"/>
  <c r="P15" i="968" s="1"/>
  <c r="AC15" i="968" s="1"/>
  <c r="O15" i="968"/>
  <c r="M15" i="968"/>
  <c r="L13" i="968"/>
  <c r="K13" i="968" s="1"/>
  <c r="L12" i="968"/>
  <c r="K12" i="968" s="1"/>
  <c r="L10" i="968"/>
  <c r="K10" i="968" s="1"/>
  <c r="L9" i="968"/>
  <c r="L8" i="968"/>
  <c r="L7" i="968"/>
  <c r="K20" i="968"/>
  <c r="K19" i="968"/>
  <c r="K17" i="968"/>
  <c r="K9" i="968"/>
  <c r="K7" i="968"/>
  <c r="A75" i="968"/>
  <c r="A76" i="968" s="1"/>
  <c r="A77" i="968" s="1"/>
  <c r="A78" i="968" s="1"/>
  <c r="A79" i="968" s="1"/>
  <c r="A80" i="968" s="1"/>
  <c r="A81" i="968" s="1"/>
  <c r="A82" i="968" s="1"/>
  <c r="AF63" i="968"/>
  <c r="AF61" i="968"/>
  <c r="AF60" i="968"/>
  <c r="AA22" i="968"/>
  <c r="Z22" i="968"/>
  <c r="Y22" i="968"/>
  <c r="X22" i="968"/>
  <c r="W22" i="968"/>
  <c r="V22" i="968"/>
  <c r="U22" i="968"/>
  <c r="T22" i="968"/>
  <c r="S22" i="968"/>
  <c r="R22" i="968"/>
  <c r="N22" i="968"/>
  <c r="J22" i="968"/>
  <c r="I22" i="968"/>
  <c r="AF21" i="968"/>
  <c r="AB21" i="968"/>
  <c r="Q21" i="968"/>
  <c r="P21" i="968"/>
  <c r="AC21" i="968" s="1"/>
  <c r="AD21" i="968" s="1"/>
  <c r="O21" i="968"/>
  <c r="M21" i="968"/>
  <c r="K21" i="968"/>
  <c r="AF20" i="968"/>
  <c r="AB20" i="968"/>
  <c r="Q20" i="968"/>
  <c r="P20" i="968" s="1"/>
  <c r="AC20" i="968" s="1"/>
  <c r="M20" i="968"/>
  <c r="AF19" i="968"/>
  <c r="Q19" i="968"/>
  <c r="P19" i="968"/>
  <c r="AC19" i="968" s="1"/>
  <c r="AF18" i="968"/>
  <c r="AB18" i="968"/>
  <c r="Q18" i="968"/>
  <c r="P18" i="968"/>
  <c r="AC18" i="968" s="1"/>
  <c r="O18" i="968"/>
  <c r="M18" i="968"/>
  <c r="K18" i="968"/>
  <c r="AF17" i="968"/>
  <c r="AB17" i="968"/>
  <c r="Q17" i="968"/>
  <c r="P17" i="968" s="1"/>
  <c r="AC17" i="968" s="1"/>
  <c r="M17" i="968"/>
  <c r="O17" i="968"/>
  <c r="AF16" i="968"/>
  <c r="AB16" i="968"/>
  <c r="Q16" i="968"/>
  <c r="P16" i="968" s="1"/>
  <c r="AC16" i="968" s="1"/>
  <c r="O16" i="968"/>
  <c r="M16" i="968"/>
  <c r="AF14" i="968"/>
  <c r="AB14" i="968"/>
  <c r="Q14" i="968"/>
  <c r="P14" i="968" s="1"/>
  <c r="AC14" i="968" s="1"/>
  <c r="O14" i="968"/>
  <c r="M14" i="968"/>
  <c r="K14" i="968"/>
  <c r="AF13" i="968"/>
  <c r="Q13" i="968"/>
  <c r="P13" i="968" s="1"/>
  <c r="AC13" i="968" s="1"/>
  <c r="O13" i="968"/>
  <c r="AF12" i="968"/>
  <c r="Q12" i="968"/>
  <c r="AF11" i="968"/>
  <c r="AC11" i="968"/>
  <c r="AB11" i="968"/>
  <c r="Q11" i="968"/>
  <c r="P11" i="968"/>
  <c r="O11" i="968"/>
  <c r="M11" i="968"/>
  <c r="K11" i="968"/>
  <c r="AF10" i="968"/>
  <c r="Q10" i="968"/>
  <c r="AF9" i="968"/>
  <c r="AB9" i="968"/>
  <c r="Q9" i="968"/>
  <c r="P9" i="968" s="1"/>
  <c r="AC9" i="968" s="1"/>
  <c r="O9" i="968"/>
  <c r="M9" i="968"/>
  <c r="AF8" i="968"/>
  <c r="AB8" i="968"/>
  <c r="Q8" i="968"/>
  <c r="P8" i="968" s="1"/>
  <c r="AC8" i="968" s="1"/>
  <c r="O8" i="968"/>
  <c r="M8" i="968"/>
  <c r="K8" i="968"/>
  <c r="AF7" i="968"/>
  <c r="Q7" i="968"/>
  <c r="P7" i="968" s="1"/>
  <c r="AC7" i="968" s="1"/>
  <c r="AF6" i="968"/>
  <c r="AB6" i="968"/>
  <c r="Q6" i="968"/>
  <c r="P6" i="968"/>
  <c r="AC6" i="968" s="1"/>
  <c r="O6" i="968"/>
  <c r="M6" i="968"/>
  <c r="K6" i="968"/>
  <c r="AE8" i="971" l="1"/>
  <c r="AE20" i="971"/>
  <c r="AE17" i="971"/>
  <c r="AE13" i="971"/>
  <c r="AE10" i="971"/>
  <c r="AE22" i="971"/>
  <c r="AE9" i="971"/>
  <c r="AE11" i="971"/>
  <c r="AE7" i="971"/>
  <c r="AE18" i="971"/>
  <c r="AE15" i="971"/>
  <c r="AE19" i="971"/>
  <c r="AE21" i="971"/>
  <c r="AE16" i="971"/>
  <c r="AE14" i="971"/>
  <c r="AE12" i="971"/>
  <c r="AE6" i="971"/>
  <c r="AD22" i="970"/>
  <c r="AD8" i="969"/>
  <c r="P23" i="969"/>
  <c r="AC23" i="969"/>
  <c r="AD20" i="969"/>
  <c r="M23" i="969"/>
  <c r="AD7" i="969"/>
  <c r="AD17" i="969"/>
  <c r="AB23" i="969"/>
  <c r="AD15" i="968"/>
  <c r="AD8" i="968"/>
  <c r="AD11" i="968"/>
  <c r="Q22" i="968"/>
  <c r="M12" i="968"/>
  <c r="AB12" i="968"/>
  <c r="O12" i="968"/>
  <c r="P12" i="968"/>
  <c r="AC12" i="968" s="1"/>
  <c r="P10" i="968"/>
  <c r="AC10" i="968" s="1"/>
  <c r="AD14" i="968"/>
  <c r="E11" i="16" s="1"/>
  <c r="AD16" i="968"/>
  <c r="AD9" i="968"/>
  <c r="AD18" i="968"/>
  <c r="AD17" i="968"/>
  <c r="AD6" i="968"/>
  <c r="M7" i="968"/>
  <c r="AB7" i="968"/>
  <c r="M10" i="968"/>
  <c r="AB10" i="968"/>
  <c r="M13" i="968"/>
  <c r="AB13" i="968"/>
  <c r="AD13" i="968" s="1"/>
  <c r="M19" i="968"/>
  <c r="AB19" i="968"/>
  <c r="O20" i="968"/>
  <c r="AD20" i="968" s="1"/>
  <c r="O19" i="968"/>
  <c r="L22" i="968"/>
  <c r="O22" i="968" s="1"/>
  <c r="O7" i="968"/>
  <c r="O10" i="968"/>
  <c r="K22" i="968"/>
  <c r="P64" i="967"/>
  <c r="AE18" i="970" l="1"/>
  <c r="AE17" i="970"/>
  <c r="AE9" i="970"/>
  <c r="AE15" i="970"/>
  <c r="AE7" i="970"/>
  <c r="AE11" i="970"/>
  <c r="AE21" i="970"/>
  <c r="AE19" i="970"/>
  <c r="AE12" i="970"/>
  <c r="AE20" i="970"/>
  <c r="AE10" i="970"/>
  <c r="AE13" i="970"/>
  <c r="AE6" i="970"/>
  <c r="AE16" i="970"/>
  <c r="AE8" i="970"/>
  <c r="AE14" i="970"/>
  <c r="AD23" i="969"/>
  <c r="AE15" i="969" s="1"/>
  <c r="AD7" i="968"/>
  <c r="AD12" i="968"/>
  <c r="AC22" i="968"/>
  <c r="P22" i="968"/>
  <c r="AD19" i="968"/>
  <c r="AB22" i="968"/>
  <c r="M22" i="968"/>
  <c r="AD10" i="968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19" i="967"/>
  <c r="K19" i="967"/>
  <c r="L18" i="967"/>
  <c r="L16" i="967"/>
  <c r="K16" i="967" s="1"/>
  <c r="L13" i="967"/>
  <c r="K13" i="967" s="1"/>
  <c r="L12" i="967"/>
  <c r="K12" i="967" s="1"/>
  <c r="L10" i="967"/>
  <c r="K10" i="967" s="1"/>
  <c r="L9" i="967"/>
  <c r="K9" i="967" s="1"/>
  <c r="L7" i="967"/>
  <c r="K7" i="967"/>
  <c r="K20" i="967"/>
  <c r="K18" i="967"/>
  <c r="K14" i="967"/>
  <c r="K11" i="967"/>
  <c r="A74" i="967"/>
  <c r="A75" i="967" s="1"/>
  <c r="A76" i="967" s="1"/>
  <c r="A77" i="967" s="1"/>
  <c r="A78" i="967" s="1"/>
  <c r="A79" i="967" s="1"/>
  <c r="A80" i="967" s="1"/>
  <c r="A81" i="967" s="1"/>
  <c r="AF62" i="967"/>
  <c r="AF60" i="967"/>
  <c r="AF59" i="967"/>
  <c r="AA21" i="967"/>
  <c r="Z21" i="967"/>
  <c r="Y21" i="967"/>
  <c r="X21" i="967"/>
  <c r="W21" i="967"/>
  <c r="V21" i="967"/>
  <c r="U21" i="967"/>
  <c r="T21" i="967"/>
  <c r="S21" i="967"/>
  <c r="R21" i="967"/>
  <c r="N21" i="967"/>
  <c r="J21" i="967"/>
  <c r="I21" i="967"/>
  <c r="AF20" i="967"/>
  <c r="AB20" i="967"/>
  <c r="Q20" i="967"/>
  <c r="M20" i="967"/>
  <c r="O20" i="967"/>
  <c r="AF19" i="967"/>
  <c r="AB19" i="967"/>
  <c r="Q19" i="967"/>
  <c r="P19" i="967" s="1"/>
  <c r="AC19" i="967" s="1"/>
  <c r="O19" i="967"/>
  <c r="M19" i="967"/>
  <c r="AF18" i="967"/>
  <c r="AB18" i="967"/>
  <c r="Q18" i="967"/>
  <c r="P18" i="967" s="1"/>
  <c r="AC18" i="967" s="1"/>
  <c r="AD18" i="967" s="1"/>
  <c r="O18" i="967"/>
  <c r="M18" i="967"/>
  <c r="AF17" i="967"/>
  <c r="AB17" i="967"/>
  <c r="Q17" i="967"/>
  <c r="P17" i="967"/>
  <c r="AC17" i="967" s="1"/>
  <c r="AD17" i="967" s="1"/>
  <c r="O17" i="967"/>
  <c r="M17" i="967"/>
  <c r="K17" i="967"/>
  <c r="AF16" i="967"/>
  <c r="AB16" i="967"/>
  <c r="Q16" i="967"/>
  <c r="P16" i="967" s="1"/>
  <c r="AC16" i="967" s="1"/>
  <c r="O16" i="967"/>
  <c r="M16" i="967"/>
  <c r="AF15" i="967"/>
  <c r="AB15" i="967"/>
  <c r="Q15" i="967"/>
  <c r="P15" i="967"/>
  <c r="AC15" i="967" s="1"/>
  <c r="O15" i="967"/>
  <c r="M15" i="967"/>
  <c r="K15" i="967"/>
  <c r="AF14" i="967"/>
  <c r="AB14" i="967"/>
  <c r="Q14" i="967"/>
  <c r="P14" i="967" s="1"/>
  <c r="AC14" i="967" s="1"/>
  <c r="AD14" i="967" s="1"/>
  <c r="O14" i="967"/>
  <c r="M14" i="967"/>
  <c r="AF13" i="967"/>
  <c r="AB13" i="967"/>
  <c r="Q13" i="967"/>
  <c r="P13" i="967" s="1"/>
  <c r="AC13" i="967" s="1"/>
  <c r="O13" i="967"/>
  <c r="M13" i="967"/>
  <c r="AF12" i="967"/>
  <c r="AB12" i="967"/>
  <c r="Q12" i="967"/>
  <c r="P12" i="967" s="1"/>
  <c r="AC12" i="967" s="1"/>
  <c r="O12" i="967"/>
  <c r="M12" i="967"/>
  <c r="AF11" i="967"/>
  <c r="AB11" i="967"/>
  <c r="Q11" i="967"/>
  <c r="P11" i="967"/>
  <c r="AC11" i="967" s="1"/>
  <c r="O11" i="967"/>
  <c r="M11" i="967"/>
  <c r="AF10" i="967"/>
  <c r="AB10" i="967"/>
  <c r="Q10" i="967"/>
  <c r="P10" i="967" s="1"/>
  <c r="AC10" i="967" s="1"/>
  <c r="O10" i="967"/>
  <c r="M10" i="967"/>
  <c r="AF9" i="967"/>
  <c r="AB9" i="967"/>
  <c r="Q9" i="967"/>
  <c r="P9" i="967"/>
  <c r="AC9" i="967" s="1"/>
  <c r="O9" i="967"/>
  <c r="M9" i="967"/>
  <c r="AF8" i="967"/>
  <c r="AB8" i="967"/>
  <c r="Q8" i="967"/>
  <c r="P8" i="967"/>
  <c r="AC8" i="967" s="1"/>
  <c r="O8" i="967"/>
  <c r="M8" i="967"/>
  <c r="K8" i="967"/>
  <c r="AF7" i="967"/>
  <c r="AB7" i="967"/>
  <c r="Q7" i="967"/>
  <c r="P7" i="967" s="1"/>
  <c r="AC7" i="967" s="1"/>
  <c r="O7" i="967"/>
  <c r="M7" i="967"/>
  <c r="AF6" i="967"/>
  <c r="AB6" i="967"/>
  <c r="Q6" i="967"/>
  <c r="P6" i="967"/>
  <c r="O6" i="967"/>
  <c r="M6" i="967"/>
  <c r="K6" i="967"/>
  <c r="AE17" i="969" l="1"/>
  <c r="AE21" i="969"/>
  <c r="AE16" i="969"/>
  <c r="AE13" i="969"/>
  <c r="AE20" i="969"/>
  <c r="AE10" i="969"/>
  <c r="AE19" i="969"/>
  <c r="AE9" i="969"/>
  <c r="AE14" i="969"/>
  <c r="AE11" i="969"/>
  <c r="AE22" i="969"/>
  <c r="AE12" i="969"/>
  <c r="AE8" i="969"/>
  <c r="AE6" i="969"/>
  <c r="AE18" i="969"/>
  <c r="AE7" i="969"/>
  <c r="AD22" i="968"/>
  <c r="AE15" i="968" s="1"/>
  <c r="AD19" i="967"/>
  <c r="Q21" i="967"/>
  <c r="AD10" i="967"/>
  <c r="AD12" i="967"/>
  <c r="AD16" i="967"/>
  <c r="AD13" i="967"/>
  <c r="AD15" i="967"/>
  <c r="AD7" i="967"/>
  <c r="AD9" i="967"/>
  <c r="M21" i="967"/>
  <c r="AB21" i="967"/>
  <c r="AD8" i="967"/>
  <c r="AD11" i="967"/>
  <c r="K21" i="967"/>
  <c r="P20" i="967"/>
  <c r="AC20" i="967" s="1"/>
  <c r="AD20" i="967" s="1"/>
  <c r="AC6" i="967"/>
  <c r="L21" i="967"/>
  <c r="O21" i="967" s="1"/>
  <c r="B18" i="16"/>
  <c r="B17" i="16"/>
  <c r="B16" i="16"/>
  <c r="AG16" i="16" s="1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AG18" i="16"/>
  <c r="AG17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  <c r="L20" i="966"/>
  <c r="K20" i="966" s="1"/>
  <c r="K18" i="966"/>
  <c r="K16" i="966"/>
  <c r="K13" i="966"/>
  <c r="K12" i="966"/>
  <c r="K11" i="966"/>
  <c r="K10" i="966"/>
  <c r="K8" i="966"/>
  <c r="K7" i="966"/>
  <c r="AE18" i="968" l="1"/>
  <c r="AE20" i="968"/>
  <c r="AE6" i="968"/>
  <c r="AE21" i="968"/>
  <c r="AE11" i="968"/>
  <c r="AE16" i="968"/>
  <c r="AE12" i="968"/>
  <c r="AE10" i="968"/>
  <c r="AE17" i="968"/>
  <c r="AE13" i="968"/>
  <c r="AE8" i="968"/>
  <c r="AE9" i="968"/>
  <c r="AE7" i="968"/>
  <c r="AE14" i="968"/>
  <c r="AE19" i="968"/>
  <c r="AC21" i="967"/>
  <c r="AD6" i="967"/>
  <c r="AD21" i="967" s="1"/>
  <c r="P21" i="967"/>
  <c r="AF10" i="966"/>
  <c r="AB10" i="966"/>
  <c r="Q10" i="966"/>
  <c r="P10" i="966" s="1"/>
  <c r="AC10" i="966" s="1"/>
  <c r="AD10" i="966" s="1"/>
  <c r="O10" i="966"/>
  <c r="M10" i="966"/>
  <c r="O16" i="966"/>
  <c r="AB12" i="966"/>
  <c r="K19" i="966"/>
  <c r="A74" i="966"/>
  <c r="A75" i="966" s="1"/>
  <c r="A76" i="966" s="1"/>
  <c r="A77" i="966" s="1"/>
  <c r="A78" i="966" s="1"/>
  <c r="A79" i="966" s="1"/>
  <c r="A80" i="966" s="1"/>
  <c r="A81" i="966" s="1"/>
  <c r="AF60" i="966"/>
  <c r="AF59" i="966"/>
  <c r="AF62" i="966" s="1"/>
  <c r="AA21" i="966"/>
  <c r="Z21" i="966"/>
  <c r="Y21" i="966"/>
  <c r="X21" i="966"/>
  <c r="W21" i="966"/>
  <c r="V21" i="966"/>
  <c r="U21" i="966"/>
  <c r="T21" i="966"/>
  <c r="S21" i="966"/>
  <c r="R21" i="966"/>
  <c r="N21" i="966"/>
  <c r="J21" i="966"/>
  <c r="I21" i="966"/>
  <c r="AF20" i="966"/>
  <c r="Q20" i="966"/>
  <c r="AF19" i="966"/>
  <c r="AB19" i="966"/>
  <c r="Q19" i="966"/>
  <c r="P19" i="966"/>
  <c r="AC19" i="966" s="1"/>
  <c r="O19" i="966"/>
  <c r="M19" i="966"/>
  <c r="AF18" i="966"/>
  <c r="Q18" i="966"/>
  <c r="P18" i="966" s="1"/>
  <c r="AC18" i="966" s="1"/>
  <c r="M18" i="966"/>
  <c r="AB18" i="966"/>
  <c r="AF17" i="966"/>
  <c r="AB17" i="966"/>
  <c r="Q17" i="966"/>
  <c r="P17" i="966"/>
  <c r="AC17" i="966" s="1"/>
  <c r="O17" i="966"/>
  <c r="M17" i="966"/>
  <c r="K17" i="966"/>
  <c r="AF16" i="966"/>
  <c r="Q16" i="966"/>
  <c r="AF15" i="966"/>
  <c r="AB15" i="966"/>
  <c r="Q15" i="966"/>
  <c r="P15" i="966"/>
  <c r="AC15" i="966" s="1"/>
  <c r="O15" i="966"/>
  <c r="M15" i="966"/>
  <c r="K15" i="966"/>
  <c r="AF14" i="966"/>
  <c r="AB14" i="966"/>
  <c r="Q14" i="966"/>
  <c r="P14" i="966" s="1"/>
  <c r="AC14" i="966" s="1"/>
  <c r="O14" i="966"/>
  <c r="M14" i="966"/>
  <c r="K14" i="966"/>
  <c r="AF13" i="966"/>
  <c r="Q13" i="966"/>
  <c r="AB13" i="966"/>
  <c r="AF12" i="966"/>
  <c r="Q12" i="966"/>
  <c r="AF11" i="966"/>
  <c r="Q11" i="966"/>
  <c r="AB11" i="966"/>
  <c r="AF9" i="966"/>
  <c r="AB9" i="966"/>
  <c r="Q9" i="966"/>
  <c r="P9" i="966"/>
  <c r="AC9" i="966" s="1"/>
  <c r="O9" i="966"/>
  <c r="M9" i="966"/>
  <c r="K9" i="966"/>
  <c r="AF8" i="966"/>
  <c r="Q8" i="966"/>
  <c r="AB8" i="966"/>
  <c r="AF7" i="966"/>
  <c r="AB7" i="966"/>
  <c r="Q7" i="966"/>
  <c r="P7" i="966" s="1"/>
  <c r="AC7" i="966" s="1"/>
  <c r="O7" i="966"/>
  <c r="M7" i="966"/>
  <c r="AF6" i="966"/>
  <c r="AB6" i="966"/>
  <c r="Q6" i="966"/>
  <c r="P6" i="966"/>
  <c r="AC6" i="966" s="1"/>
  <c r="O6" i="966"/>
  <c r="M6" i="966"/>
  <c r="K6" i="966"/>
  <c r="AE19" i="967" l="1"/>
  <c r="AE17" i="967"/>
  <c r="AE15" i="967"/>
  <c r="AE13" i="967"/>
  <c r="AE11" i="967"/>
  <c r="AE9" i="967"/>
  <c r="AE7" i="967"/>
  <c r="AE6" i="967"/>
  <c r="AE20" i="967"/>
  <c r="AE18" i="967"/>
  <c r="AE16" i="967"/>
  <c r="AE14" i="967"/>
  <c r="AE12" i="967"/>
  <c r="AE10" i="967"/>
  <c r="AE8" i="967"/>
  <c r="AD19" i="966"/>
  <c r="AD17" i="966"/>
  <c r="O20" i="966"/>
  <c r="M16" i="966"/>
  <c r="M13" i="966"/>
  <c r="O13" i="966"/>
  <c r="P13" i="966"/>
  <c r="AC13" i="966" s="1"/>
  <c r="P12" i="966"/>
  <c r="AC12" i="966" s="1"/>
  <c r="O12" i="966"/>
  <c r="K21" i="966"/>
  <c r="L21" i="966"/>
  <c r="O21" i="966" s="1"/>
  <c r="M12" i="966"/>
  <c r="Q21" i="966"/>
  <c r="AD9" i="966"/>
  <c r="AD14" i="966"/>
  <c r="AD7" i="966"/>
  <c r="AD15" i="966"/>
  <c r="O8" i="966"/>
  <c r="O11" i="966"/>
  <c r="P16" i="966"/>
  <c r="AC16" i="966" s="1"/>
  <c r="O18" i="966"/>
  <c r="AD18" i="966" s="1"/>
  <c r="P20" i="966"/>
  <c r="AC20" i="966" s="1"/>
  <c r="P8" i="966"/>
  <c r="AC8" i="966" s="1"/>
  <c r="P11" i="966"/>
  <c r="AC11" i="966" s="1"/>
  <c r="AB16" i="966"/>
  <c r="M20" i="966"/>
  <c r="AB20" i="966"/>
  <c r="AD6" i="966"/>
  <c r="M8" i="966"/>
  <c r="M11" i="966"/>
  <c r="AD8" i="966" l="1"/>
  <c r="AD11" i="966"/>
  <c r="AD13" i="966"/>
  <c r="AD12" i="966"/>
  <c r="M21" i="966"/>
  <c r="AB21" i="966"/>
  <c r="AC21" i="966"/>
  <c r="AD16" i="966"/>
  <c r="P21" i="966"/>
  <c r="AD20" i="966"/>
  <c r="AD21" i="966" l="1"/>
  <c r="AE17" i="966" l="1"/>
  <c r="AE10" i="966"/>
  <c r="AE6" i="966"/>
  <c r="AE8" i="966"/>
  <c r="AE18" i="966"/>
  <c r="AE13" i="966"/>
  <c r="AE9" i="966"/>
  <c r="AE14" i="966"/>
  <c r="AE19" i="966"/>
  <c r="AE15" i="966"/>
  <c r="AE11" i="966"/>
  <c r="AE20" i="966"/>
  <c r="AE12" i="966"/>
  <c r="AE16" i="966"/>
  <c r="AE7" i="966"/>
</calcChain>
</file>

<file path=xl/sharedStrings.xml><?xml version="1.0" encoding="utf-8"?>
<sst xmlns="http://schemas.openxmlformats.org/spreadsheetml/2006/main" count="5573" uniqueCount="1133">
  <si>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</si>
  <si>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</si>
  <si>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</si>
  <si>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</si>
  <si>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</si>
  <si>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</si>
  <si>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</si>
  <si>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</si>
  <si>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</si>
  <si>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</si>
  <si>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</si>
  <si>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</si>
  <si>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</si>
  <si>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</si>
  <si>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</si>
  <si>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</si>
  <si>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</si>
  <si>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</si>
  <si>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</si>
  <si>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</si>
  <si>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</si>
  <si>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</si>
  <si>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</si>
  <si>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</si>
  <si>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</si>
  <si>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</si>
  <si>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</si>
  <si>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</si>
  <si>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</si>
  <si>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</si>
  <si>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</si>
  <si>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</si>
  <si>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</si>
  <si>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</si>
  <si>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</si>
  <si>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</si>
  <si>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</si>
  <si>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순위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</si>
  <si>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</si>
  <si>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</si>
  <si>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</si>
  <si>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</si>
  <si>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</si>
  <si>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</si>
  <si>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</si>
  <si>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</si>
  <si>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</si>
  <si>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</si>
  <si>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</si>
  <si>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</si>
  <si>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</si>
  <si>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</si>
  <si>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</si>
  <si>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</si>
  <si>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</si>
  <si>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</si>
  <si>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</si>
  <si>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</si>
  <si>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BASE</t>
    <phoneticPr fontId="2" type="noConversion"/>
  </si>
  <si>
    <t>발주</t>
    <phoneticPr fontId="2" type="noConversion"/>
  </si>
  <si>
    <t>불량 내역</t>
    <phoneticPr fontId="2" type="noConversion"/>
  </si>
  <si>
    <t xml:space="preserve"> 세척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</si>
  <si>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</si>
  <si>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</si>
  <si>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</si>
  <si>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</si>
  <si>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</si>
  <si>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</si>
  <si>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</si>
  <si>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</si>
  <si>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</si>
  <si>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</si>
  <si>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</si>
  <si>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</si>
  <si>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</si>
  <si>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</si>
  <si>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</si>
  <si>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</si>
  <si>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</si>
  <si>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</si>
  <si>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</si>
  <si>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</si>
  <si>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</si>
  <si>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</si>
  <si>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</si>
  <si>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</si>
  <si>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</si>
  <si>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</si>
  <si>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</si>
  <si>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</si>
  <si>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</si>
  <si>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</si>
  <si>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</si>
  <si>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</si>
  <si>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</si>
  <si>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</si>
  <si>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</si>
  <si>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</si>
  <si>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</si>
  <si>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</si>
  <si>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</si>
  <si>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</si>
  <si>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</si>
  <si>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</si>
  <si>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</si>
  <si>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</si>
  <si>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</si>
  <si>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</si>
  <si>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</si>
  <si>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</si>
  <si>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</si>
  <si>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</si>
  <si>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</si>
  <si>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</si>
  <si>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</si>
  <si>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</si>
  <si>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</si>
  <si>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DI</t>
    <phoneticPr fontId="2" type="noConversion"/>
  </si>
  <si>
    <t>PA46</t>
    <phoneticPr fontId="2" type="noConversion"/>
  </si>
  <si>
    <t>MCS</t>
    <phoneticPr fontId="2" type="noConversion"/>
  </si>
  <si>
    <t>SST</t>
    <phoneticPr fontId="2" type="noConversion"/>
  </si>
  <si>
    <t xml:space="preserve"> 코아파손</t>
    <phoneticPr fontId="2" type="noConversion"/>
  </si>
  <si>
    <t>ACTUATOR</t>
    <phoneticPr fontId="2" type="noConversion"/>
  </si>
  <si>
    <t>BODY</t>
    <phoneticPr fontId="2" type="noConversion"/>
  </si>
  <si>
    <t>IC GUIDE</t>
    <phoneticPr fontId="2" type="noConversion"/>
  </si>
  <si>
    <t>AMB07H9A-KAA-R1</t>
    <phoneticPr fontId="2" type="noConversion"/>
  </si>
  <si>
    <t xml:space="preserve"> 미성형,단차</t>
    <phoneticPr fontId="2" type="noConversion"/>
  </si>
  <si>
    <t>38P</t>
    <phoneticPr fontId="2" type="noConversion"/>
  </si>
  <si>
    <t>AM0164A-A</t>
    <phoneticPr fontId="2" type="noConversion"/>
  </si>
  <si>
    <t>F/ADAPTER</t>
    <phoneticPr fontId="2" type="noConversion"/>
  </si>
  <si>
    <t>SF2255</t>
    <phoneticPr fontId="2" type="noConversion"/>
  </si>
  <si>
    <t>SF2255</t>
    <phoneticPr fontId="2" type="noConversion"/>
  </si>
  <si>
    <t>SST</t>
    <phoneticPr fontId="2" type="noConversion"/>
  </si>
  <si>
    <t>수리후양산</t>
    <phoneticPr fontId="2" type="noConversion"/>
  </si>
  <si>
    <t>LEAD GUIDE</t>
    <phoneticPr fontId="2" type="noConversion"/>
  </si>
  <si>
    <t>STOPPER</t>
    <phoneticPr fontId="2" type="noConversion"/>
  </si>
  <si>
    <t>MCS</t>
    <phoneticPr fontId="2" type="noConversion"/>
  </si>
  <si>
    <t>AMB1901D-JAA-R2</t>
    <phoneticPr fontId="2" type="noConversion"/>
  </si>
  <si>
    <t>수정</t>
    <phoneticPr fontId="2" type="noConversion"/>
  </si>
  <si>
    <t>AMB0114E-JAA-R2</t>
    <phoneticPr fontId="2" type="noConversion"/>
  </si>
  <si>
    <t>테스트</t>
    <phoneticPr fontId="2" type="noConversion"/>
  </si>
  <si>
    <t>LOWER PLATE</t>
    <phoneticPr fontId="2" type="noConversion"/>
  </si>
  <si>
    <t>스테츠</t>
    <phoneticPr fontId="2" type="noConversion"/>
  </si>
  <si>
    <t>LCD LID</t>
    <phoneticPr fontId="2" type="noConversion"/>
  </si>
  <si>
    <t>LID-0084</t>
    <phoneticPr fontId="2" type="noConversion"/>
  </si>
  <si>
    <t>S475 N/P</t>
    <phoneticPr fontId="2" type="noConversion"/>
  </si>
  <si>
    <t>KR6197-F841UA</t>
    <phoneticPr fontId="2" type="noConversion"/>
  </si>
  <si>
    <t>7</t>
    <phoneticPr fontId="2" type="noConversion"/>
  </si>
  <si>
    <t>KR6197AC841TA</t>
    <phoneticPr fontId="2" type="noConversion"/>
  </si>
  <si>
    <t>자동시 형폐안됨</t>
    <phoneticPr fontId="2" type="noConversion"/>
  </si>
  <si>
    <t>입출력카드교환</t>
    <phoneticPr fontId="2" type="noConversion"/>
  </si>
  <si>
    <t>키트</t>
    <phoneticPr fontId="2" type="noConversion"/>
  </si>
  <si>
    <t>대기중</t>
    <phoneticPr fontId="2" type="noConversion"/>
  </si>
  <si>
    <t>GUIDE</t>
    <phoneticPr fontId="2" type="noConversion"/>
  </si>
  <si>
    <t>9</t>
    <phoneticPr fontId="2" type="noConversion"/>
  </si>
  <si>
    <t xml:space="preserve">SGF2030 </t>
    <phoneticPr fontId="2" type="noConversion"/>
  </si>
  <si>
    <t>AM0241A-K</t>
    <phoneticPr fontId="2" type="noConversion"/>
  </si>
  <si>
    <t>AMB07P6A-KAA-R2</t>
    <phoneticPr fontId="2" type="noConversion"/>
  </si>
  <si>
    <t>BASE</t>
    <phoneticPr fontId="2" type="noConversion"/>
  </si>
  <si>
    <t>BODY</t>
    <phoneticPr fontId="2" type="noConversion"/>
  </si>
  <si>
    <t>수리후양산</t>
    <phoneticPr fontId="2" type="noConversion"/>
  </si>
  <si>
    <t>AMM0822A-KAB-R1</t>
    <phoneticPr fontId="2" type="noConversion"/>
  </si>
  <si>
    <t>모터 안켜짐</t>
    <phoneticPr fontId="2" type="noConversion"/>
  </si>
  <si>
    <t>형체드라이브 불량으로 수리</t>
    <phoneticPr fontId="2" type="noConversion"/>
  </si>
  <si>
    <t>MET</t>
    <phoneticPr fontId="2" type="noConversion"/>
  </si>
  <si>
    <t>SAM</t>
    <phoneticPr fontId="2" type="noConversion"/>
  </si>
  <si>
    <t>AM0610B-J</t>
    <phoneticPr fontId="2" type="noConversion"/>
  </si>
  <si>
    <t>COVER</t>
    <phoneticPr fontId="2" type="noConversion"/>
  </si>
  <si>
    <t>JD4901</t>
    <phoneticPr fontId="2" type="noConversion"/>
  </si>
  <si>
    <t>STOPPER</t>
    <phoneticPr fontId="2" type="noConversion"/>
  </si>
  <si>
    <t>KR6197-D841PB</t>
    <phoneticPr fontId="2" type="noConversion"/>
  </si>
  <si>
    <t>PPS</t>
    <phoneticPr fontId="2" type="noConversion"/>
  </si>
  <si>
    <t>26P(4P)</t>
    <phoneticPr fontId="2" type="noConversion"/>
  </si>
  <si>
    <t>BODY</t>
    <phoneticPr fontId="2" type="noConversion"/>
  </si>
  <si>
    <t>AMB2071A-KAA-R2</t>
    <phoneticPr fontId="2" type="noConversion"/>
  </si>
  <si>
    <t>AM0148E-K-R2</t>
    <phoneticPr fontId="2" type="noConversion"/>
  </si>
  <si>
    <t>수리중</t>
    <phoneticPr fontId="2" type="noConversion"/>
  </si>
  <si>
    <r>
      <t>2017년 07월 01일(주간) 일일생산현황</t>
    </r>
    <r>
      <rPr>
        <b/>
        <sz val="14"/>
        <color indexed="8"/>
        <rFont val="굴림체"/>
        <family val="3"/>
        <charset val="129"/>
      </rPr>
      <t>(03일(월) 09시 현재)</t>
    </r>
    <phoneticPr fontId="2" type="noConversion"/>
  </si>
  <si>
    <t>07월 호기별 가동현황</t>
    <phoneticPr fontId="2" type="noConversion"/>
  </si>
  <si>
    <t>전일 ISSUE 사항(01일)</t>
    <phoneticPr fontId="2" type="noConversion"/>
  </si>
  <si>
    <t>BURR 정지</t>
    <phoneticPr fontId="2" type="noConversion"/>
  </si>
  <si>
    <t>9</t>
    <phoneticPr fontId="2" type="noConversion"/>
  </si>
  <si>
    <t>BASE</t>
    <phoneticPr fontId="2" type="noConversion"/>
  </si>
  <si>
    <t>AMM0822A-KAB-R1</t>
    <phoneticPr fontId="2" type="noConversion"/>
  </si>
  <si>
    <t>코아파손정지</t>
    <phoneticPr fontId="2" type="noConversion"/>
  </si>
  <si>
    <t>당일 진행 사항(03일)</t>
    <phoneticPr fontId="2" type="noConversion"/>
  </si>
  <si>
    <t>SST</t>
    <phoneticPr fontId="2" type="noConversion"/>
  </si>
  <si>
    <t>2</t>
    <phoneticPr fontId="2" type="noConversion"/>
  </si>
  <si>
    <t>COVER</t>
    <phoneticPr fontId="2" type="noConversion"/>
  </si>
  <si>
    <t>KR6197-C841TA</t>
    <phoneticPr fontId="2" type="noConversion"/>
  </si>
  <si>
    <t>코아변경후양산</t>
    <phoneticPr fontId="2" type="noConversion"/>
  </si>
  <si>
    <t>SST</t>
    <phoneticPr fontId="2" type="noConversion"/>
  </si>
  <si>
    <t>3</t>
    <phoneticPr fontId="2" type="noConversion"/>
  </si>
  <si>
    <t>STOPPER</t>
    <phoneticPr fontId="2" type="noConversion"/>
  </si>
  <si>
    <t>KR6197-D841PB</t>
    <phoneticPr fontId="2" type="noConversion"/>
  </si>
  <si>
    <t>KR6197-06KA</t>
    <phoneticPr fontId="2" type="noConversion"/>
  </si>
  <si>
    <t>4</t>
    <phoneticPr fontId="2" type="noConversion"/>
  </si>
  <si>
    <t>SHAFT</t>
    <phoneticPr fontId="2" type="noConversion"/>
  </si>
  <si>
    <t>발주분양산</t>
    <phoneticPr fontId="2" type="noConversion"/>
  </si>
  <si>
    <t>AMB1904D-KAA-R2</t>
    <phoneticPr fontId="2" type="noConversion"/>
  </si>
  <si>
    <t>6</t>
    <phoneticPr fontId="2" type="noConversion"/>
  </si>
  <si>
    <t>ACTUATOR</t>
    <phoneticPr fontId="2" type="noConversion"/>
  </si>
  <si>
    <t>7</t>
    <phoneticPr fontId="2" type="noConversion"/>
  </si>
  <si>
    <t>BODY</t>
    <phoneticPr fontId="2" type="noConversion"/>
  </si>
  <si>
    <t>AMB0114E-JAA-R2</t>
    <phoneticPr fontId="2" type="noConversion"/>
  </si>
  <si>
    <t>8</t>
    <phoneticPr fontId="2" type="noConversion"/>
  </si>
  <si>
    <t>SEPARATOR</t>
    <phoneticPr fontId="2" type="noConversion"/>
  </si>
  <si>
    <t>AMB39C3A-KAA-R1</t>
    <phoneticPr fontId="2" type="noConversion"/>
  </si>
  <si>
    <t>발주분양산</t>
    <phoneticPr fontId="2" type="noConversion"/>
  </si>
  <si>
    <t>11</t>
    <phoneticPr fontId="2" type="noConversion"/>
  </si>
  <si>
    <t>SPAECR L,R</t>
    <phoneticPr fontId="2" type="noConversion"/>
  </si>
  <si>
    <t>AMB39C4A/C5-KAA-R1</t>
    <phoneticPr fontId="2" type="noConversion"/>
  </si>
  <si>
    <t>13</t>
    <phoneticPr fontId="2" type="noConversion"/>
  </si>
  <si>
    <t>AMB1901D-JAA-R2</t>
    <phoneticPr fontId="2" type="noConversion"/>
  </si>
  <si>
    <t>세척후양산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</si>
  <si>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</si>
  <si>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</si>
  <si>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</si>
  <si>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SAMPLE 진행 사항(01일)</t>
    <phoneticPr fontId="2" type="noConversion"/>
  </si>
  <si>
    <t>STOPPER</t>
    <phoneticPr fontId="2" type="noConversion"/>
  </si>
  <si>
    <t>AMB0201A-JAA-R2</t>
    <phoneticPr fontId="2" type="noConversion"/>
  </si>
  <si>
    <t>SF2255</t>
    <phoneticPr fontId="2" type="noConversion"/>
  </si>
  <si>
    <t>코아파손</t>
    <phoneticPr fontId="2" type="noConversion"/>
  </si>
  <si>
    <t>F/ADAPTER</t>
    <phoneticPr fontId="2" type="noConversion"/>
  </si>
  <si>
    <t>AMB2044A-KAA-R1</t>
    <phoneticPr fontId="2" type="noConversion"/>
  </si>
  <si>
    <t>SGF2033 N/P</t>
    <phoneticPr fontId="2" type="noConversion"/>
  </si>
  <si>
    <t>요청</t>
    <phoneticPr fontId="2" type="noConversion"/>
  </si>
  <si>
    <t>금형 수리 내역(01일)</t>
    <phoneticPr fontId="2" type="noConversion"/>
  </si>
  <si>
    <t>BASE</t>
    <phoneticPr fontId="2" type="noConversion"/>
  </si>
  <si>
    <t>KR6197AB841CA</t>
    <phoneticPr fontId="2" type="noConversion"/>
  </si>
  <si>
    <t>STOPPER</t>
    <phoneticPr fontId="2" type="noConversion"/>
  </si>
  <si>
    <t xml:space="preserve"> BURR</t>
    <phoneticPr fontId="2" type="noConversion"/>
  </si>
  <si>
    <t>LEAD GUIDE</t>
    <phoneticPr fontId="2" type="noConversion"/>
  </si>
  <si>
    <t>KR6197-F841UA</t>
    <phoneticPr fontId="2" type="noConversion"/>
  </si>
  <si>
    <t xml:space="preserve"> 런너 부식</t>
    <phoneticPr fontId="2" type="noConversion"/>
  </si>
  <si>
    <t xml:space="preserve"> 세척</t>
    <phoneticPr fontId="2" type="noConversion"/>
  </si>
  <si>
    <t>설비 점검 내역(01일)</t>
    <phoneticPr fontId="2" type="noConversion"/>
  </si>
  <si>
    <r>
      <t>2017년 07월 03일 일일생산현황</t>
    </r>
    <r>
      <rPr>
        <b/>
        <sz val="14"/>
        <color indexed="8"/>
        <rFont val="굴림체"/>
        <family val="3"/>
        <charset val="129"/>
      </rPr>
      <t>(04일(화) 09시 현재)</t>
    </r>
    <phoneticPr fontId="2" type="noConversion"/>
  </si>
  <si>
    <t>KR6197-C841TA</t>
    <phoneticPr fontId="2" type="noConversion"/>
  </si>
  <si>
    <t>SST</t>
    <phoneticPr fontId="2" type="noConversion"/>
  </si>
  <si>
    <t>SHAFT</t>
    <phoneticPr fontId="2" type="noConversion"/>
  </si>
  <si>
    <t>KR6197-06KA</t>
    <phoneticPr fontId="2" type="noConversion"/>
  </si>
  <si>
    <t>JCL3030</t>
    <phoneticPr fontId="2" type="noConversion"/>
  </si>
  <si>
    <t>F/ADAPTER</t>
    <phoneticPr fontId="2" type="noConversion"/>
  </si>
  <si>
    <t>AMB20A2A-KAA-R1</t>
    <phoneticPr fontId="2" type="noConversion"/>
  </si>
  <si>
    <t>SEPARATOR</t>
    <phoneticPr fontId="2" type="noConversion"/>
  </si>
  <si>
    <t>AMB39C3A-KAA-R1</t>
    <phoneticPr fontId="2" type="noConversion"/>
  </si>
  <si>
    <t>MCS</t>
    <phoneticPr fontId="2" type="noConversion"/>
  </si>
  <si>
    <t>SPACER L,R</t>
    <phoneticPr fontId="2" type="noConversion"/>
  </si>
  <si>
    <t>AMB39C4A/5A-KAA-R1</t>
    <phoneticPr fontId="2" type="noConversion"/>
  </si>
  <si>
    <t>2*1</t>
    <phoneticPr fontId="2" type="noConversion"/>
  </si>
  <si>
    <t>KR6197AB841CA</t>
    <phoneticPr fontId="2" type="noConversion"/>
  </si>
  <si>
    <t>SGF2033</t>
    <phoneticPr fontId="2" type="noConversion"/>
  </si>
  <si>
    <t>전일 ISSUE 사항(03일)</t>
    <phoneticPr fontId="2" type="noConversion"/>
  </si>
  <si>
    <t>SST</t>
    <phoneticPr fontId="2" type="noConversion"/>
  </si>
  <si>
    <t>2</t>
    <phoneticPr fontId="2" type="noConversion"/>
  </si>
  <si>
    <t>COVER</t>
    <phoneticPr fontId="2" type="noConversion"/>
  </si>
  <si>
    <t>발주분양산</t>
    <phoneticPr fontId="2" type="noConversion"/>
  </si>
  <si>
    <t>노즐이상정지</t>
    <phoneticPr fontId="2" type="noConversion"/>
  </si>
  <si>
    <t>SST</t>
    <phoneticPr fontId="2" type="noConversion"/>
  </si>
  <si>
    <t>4</t>
    <phoneticPr fontId="2" type="noConversion"/>
  </si>
  <si>
    <t>SHAFT</t>
    <phoneticPr fontId="2" type="noConversion"/>
  </si>
  <si>
    <t>발주분양산</t>
    <phoneticPr fontId="2" type="noConversion"/>
  </si>
  <si>
    <t>5</t>
    <phoneticPr fontId="2" type="noConversion"/>
  </si>
  <si>
    <t>F/ADAPTER</t>
    <phoneticPr fontId="2" type="noConversion"/>
  </si>
  <si>
    <t>6</t>
    <phoneticPr fontId="2" type="noConversion"/>
  </si>
  <si>
    <t>ACTUATOR</t>
    <phoneticPr fontId="2" type="noConversion"/>
  </si>
  <si>
    <t>AMB1904D-KAA-R2</t>
    <phoneticPr fontId="2" type="noConversion"/>
  </si>
  <si>
    <t>원료이상정지</t>
    <phoneticPr fontId="2" type="noConversion"/>
  </si>
  <si>
    <t>7</t>
    <phoneticPr fontId="2" type="noConversion"/>
  </si>
  <si>
    <t>AMB0114E-JAA-R2</t>
    <phoneticPr fontId="2" type="noConversion"/>
  </si>
  <si>
    <t>수리후양산</t>
    <phoneticPr fontId="2" type="noConversion"/>
  </si>
  <si>
    <t>8</t>
    <phoneticPr fontId="2" type="noConversion"/>
  </si>
  <si>
    <t>발주분양산-&gt;미성형정지</t>
    <phoneticPr fontId="2" type="noConversion"/>
  </si>
  <si>
    <t>11</t>
    <phoneticPr fontId="2" type="noConversion"/>
  </si>
  <si>
    <t>AMB39C4/5A-KAA-R1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</si>
  <si>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</si>
  <si>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</si>
  <si>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</si>
  <si>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세척후양산</t>
    <phoneticPr fontId="2" type="noConversion"/>
  </si>
  <si>
    <t>13</t>
    <phoneticPr fontId="2" type="noConversion"/>
  </si>
  <si>
    <t>AMB1901D-JAA-R2</t>
    <phoneticPr fontId="2" type="noConversion"/>
  </si>
  <si>
    <t>당일 진행 사항(04일)</t>
    <phoneticPr fontId="2" type="noConversion"/>
  </si>
  <si>
    <t>수리후양산</t>
    <phoneticPr fontId="2" type="noConversion"/>
  </si>
  <si>
    <t>SAMPLE 진행 사항(03일)</t>
    <phoneticPr fontId="2" type="noConversion"/>
  </si>
  <si>
    <t>스테츠</t>
    <phoneticPr fontId="2" type="noConversion"/>
  </si>
  <si>
    <t>LID-0084</t>
    <phoneticPr fontId="2" type="noConversion"/>
  </si>
  <si>
    <t>S475 N/P</t>
    <phoneticPr fontId="2" type="noConversion"/>
  </si>
  <si>
    <t>수정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</si>
  <si>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</si>
  <si>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</si>
  <si>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2017년 07월 04일 일일생산현황</t>
    </r>
    <r>
      <rPr>
        <b/>
        <sz val="14"/>
        <color indexed="8"/>
        <rFont val="굴림체"/>
        <family val="3"/>
        <charset val="129"/>
      </rPr>
      <t>(05일(수) 09시 현재)</t>
    </r>
    <phoneticPr fontId="2" type="noConversion"/>
  </si>
  <si>
    <t>SST</t>
    <phoneticPr fontId="2" type="noConversion"/>
  </si>
  <si>
    <t>ADAPTER</t>
    <phoneticPr fontId="2" type="noConversion"/>
  </si>
  <si>
    <t>KR6414-GA414QA</t>
    <phoneticPr fontId="2" type="noConversion"/>
  </si>
  <si>
    <t>SF2255 I/V</t>
    <phoneticPr fontId="2" type="noConversion"/>
  </si>
  <si>
    <t>AMM0821A-KAA-R3</t>
    <phoneticPr fontId="2" type="noConversion"/>
  </si>
  <si>
    <t>7301</t>
    <phoneticPr fontId="2" type="noConversion"/>
  </si>
  <si>
    <t>전일 ISSUE 사항(04일)</t>
    <phoneticPr fontId="2" type="noConversion"/>
  </si>
  <si>
    <t>3</t>
    <phoneticPr fontId="2" type="noConversion"/>
  </si>
  <si>
    <t>STOPPER</t>
    <phoneticPr fontId="2" type="noConversion"/>
  </si>
  <si>
    <t>KR6197-D841PB</t>
    <phoneticPr fontId="2" type="noConversion"/>
  </si>
  <si>
    <t>수리후양산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</si>
  <si>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</si>
  <si>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</si>
  <si>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</si>
  <si>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5</t>
    <phoneticPr fontId="2" type="noConversion"/>
  </si>
  <si>
    <t>당일 진행 사항(05일)</t>
    <phoneticPr fontId="2" type="noConversion"/>
  </si>
  <si>
    <t>2</t>
    <phoneticPr fontId="2" type="noConversion"/>
  </si>
  <si>
    <t>COVER</t>
    <phoneticPr fontId="2" type="noConversion"/>
  </si>
  <si>
    <t>KR6414-C414TA</t>
    <phoneticPr fontId="2" type="noConversion"/>
  </si>
  <si>
    <t>발주분양산</t>
    <phoneticPr fontId="2" type="noConversion"/>
  </si>
  <si>
    <t>4</t>
    <phoneticPr fontId="2" type="noConversion"/>
  </si>
  <si>
    <t>SLIDER</t>
    <phoneticPr fontId="2" type="noConversion"/>
  </si>
  <si>
    <t>KR6156FA841YA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</si>
  <si>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</si>
  <si>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</si>
  <si>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</si>
  <si>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세척후양산</t>
    <phoneticPr fontId="2" type="noConversion"/>
  </si>
  <si>
    <t>LATCH</t>
    <phoneticPr fontId="2" type="noConversion"/>
  </si>
  <si>
    <t>KR6190-E02TA</t>
    <phoneticPr fontId="2" type="noConversion"/>
  </si>
  <si>
    <t>KR6156AC841TA</t>
    <phoneticPr fontId="2" type="noConversion"/>
  </si>
  <si>
    <t>SAMPLE 진행 사항(04일)</t>
    <phoneticPr fontId="2" type="noConversion"/>
  </si>
  <si>
    <t>ADAPTER</t>
    <phoneticPr fontId="2" type="noConversion"/>
  </si>
  <si>
    <t>AMB07N3A-KAA-R1</t>
    <phoneticPr fontId="2" type="noConversion"/>
  </si>
  <si>
    <t>SGF2050 N/P</t>
    <phoneticPr fontId="2" type="noConversion"/>
  </si>
  <si>
    <t>치수NG</t>
    <phoneticPr fontId="2" type="noConversion"/>
  </si>
  <si>
    <t>금형 수리 내역(04일)</t>
    <phoneticPr fontId="2" type="noConversion"/>
  </si>
  <si>
    <t>ACTUATOR</t>
    <phoneticPr fontId="2" type="noConversion"/>
  </si>
  <si>
    <t>AMB1901D-JAA-R2</t>
    <phoneticPr fontId="2" type="noConversion"/>
  </si>
  <si>
    <t xml:space="preserve"> 세척</t>
    <phoneticPr fontId="2" type="noConversion"/>
  </si>
  <si>
    <t xml:space="preserve"> BURR</t>
    <phoneticPr fontId="2" type="noConversion"/>
  </si>
  <si>
    <t>설비 점검 내역(04일)</t>
    <phoneticPr fontId="2" type="noConversion"/>
  </si>
  <si>
    <r>
      <t>2017년 07월 05일 일일생산현황</t>
    </r>
    <r>
      <rPr>
        <b/>
        <sz val="14"/>
        <color indexed="8"/>
        <rFont val="굴림체"/>
        <family val="3"/>
        <charset val="129"/>
      </rPr>
      <t>(06일(목) 09시 현재)</t>
    </r>
    <phoneticPr fontId="2" type="noConversion"/>
  </si>
  <si>
    <t>SLIDER</t>
    <phoneticPr fontId="2" type="noConversion"/>
  </si>
  <si>
    <t>KR6156FA841YA</t>
    <phoneticPr fontId="2" type="noConversion"/>
  </si>
  <si>
    <t>SGF2050</t>
    <phoneticPr fontId="2" type="noConversion"/>
  </si>
  <si>
    <t>KR6414-C414TA</t>
    <phoneticPr fontId="2" type="noConversion"/>
  </si>
  <si>
    <t>JD4901</t>
    <phoneticPr fontId="2" type="noConversion"/>
  </si>
  <si>
    <t>KR6156DB841CA</t>
    <phoneticPr fontId="2" type="noConversion"/>
  </si>
  <si>
    <t>KR6156AC841TA</t>
    <phoneticPr fontId="2" type="noConversion"/>
  </si>
  <si>
    <t>전일 ISSUE 사항(05일)</t>
    <phoneticPr fontId="2" type="noConversion"/>
  </si>
  <si>
    <t>COVER</t>
    <phoneticPr fontId="2" type="noConversion"/>
  </si>
  <si>
    <t>발주분양산-&gt;설비고장이동 9호기 양산</t>
    <phoneticPr fontId="2" type="noConversion"/>
  </si>
  <si>
    <t>SST</t>
    <phoneticPr fontId="2" type="noConversion"/>
  </si>
  <si>
    <t>KR6156AC841TA</t>
    <phoneticPr fontId="2" type="noConversion"/>
  </si>
  <si>
    <t>발주분양산</t>
    <phoneticPr fontId="2" type="noConversion"/>
  </si>
  <si>
    <t>발주분양산-&gt;가스정지</t>
    <phoneticPr fontId="2" type="noConversion"/>
  </si>
  <si>
    <t>미성형정지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</si>
  <si>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</si>
  <si>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</si>
  <si>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</si>
  <si>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세척후양산</t>
    <phoneticPr fontId="2" type="noConversion"/>
  </si>
  <si>
    <t>14</t>
    <phoneticPr fontId="2" type="noConversion"/>
  </si>
  <si>
    <t>BASE</t>
    <phoneticPr fontId="2" type="noConversion"/>
  </si>
  <si>
    <t>당일 진행 사항(06일)</t>
    <phoneticPr fontId="2" type="noConversion"/>
  </si>
  <si>
    <t>수리후양산</t>
    <phoneticPr fontId="2" type="noConversion"/>
  </si>
  <si>
    <t>11</t>
    <phoneticPr fontId="2" type="noConversion"/>
  </si>
  <si>
    <t>KR6156-D841PA</t>
    <phoneticPr fontId="2" type="noConversion"/>
  </si>
  <si>
    <t>3</t>
    <phoneticPr fontId="2" type="noConversion"/>
  </si>
  <si>
    <t>STOPPER</t>
    <phoneticPr fontId="2" type="noConversion"/>
  </si>
  <si>
    <t>AMB0125A-KAA-R1</t>
    <phoneticPr fontId="2" type="noConversion"/>
  </si>
  <si>
    <t>MCS</t>
    <phoneticPr fontId="2" type="noConversion"/>
  </si>
  <si>
    <t>5</t>
    <phoneticPr fontId="2" type="noConversion"/>
  </si>
  <si>
    <t>BODY</t>
    <phoneticPr fontId="2" type="noConversion"/>
  </si>
  <si>
    <t>AMB39C3A-KAA-R1</t>
    <phoneticPr fontId="2" type="noConversion"/>
  </si>
  <si>
    <t>8</t>
    <phoneticPr fontId="2" type="noConversion"/>
  </si>
  <si>
    <t>SEPARATOR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</si>
  <si>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</si>
  <si>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</si>
  <si>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</si>
  <si>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t>KR6197AB841CA</t>
    <phoneticPr fontId="2" type="noConversion"/>
  </si>
  <si>
    <r>
      <t>2017년 07월 06일 일일생산현황</t>
    </r>
    <r>
      <rPr>
        <b/>
        <sz val="14"/>
        <color indexed="8"/>
        <rFont val="굴림체"/>
        <family val="3"/>
        <charset val="129"/>
      </rPr>
      <t>(07일(금) 09시 현재)</t>
    </r>
    <phoneticPr fontId="2" type="noConversion"/>
  </si>
  <si>
    <t>KR6156-D841PA</t>
    <phoneticPr fontId="2" type="noConversion"/>
  </si>
  <si>
    <t>BODY</t>
    <phoneticPr fontId="2" type="noConversion"/>
  </si>
  <si>
    <t>AMB0125A-KAA-R1</t>
    <phoneticPr fontId="2" type="noConversion"/>
  </si>
  <si>
    <t>LATCH</t>
    <phoneticPr fontId="2" type="noConversion"/>
  </si>
  <si>
    <t>KR6190-E02TA</t>
    <phoneticPr fontId="2" type="noConversion"/>
  </si>
  <si>
    <t>JD4901</t>
    <phoneticPr fontId="2" type="noConversion"/>
  </si>
  <si>
    <t>메카텍</t>
    <phoneticPr fontId="2" type="noConversion"/>
  </si>
  <si>
    <t>BASE HINGE</t>
    <phoneticPr fontId="2" type="noConversion"/>
  </si>
  <si>
    <t>전일 ISSUE 사항(06일)</t>
    <phoneticPr fontId="2" type="noConversion"/>
  </si>
  <si>
    <t>3</t>
    <phoneticPr fontId="2" type="noConversion"/>
  </si>
  <si>
    <t>KR6156-D841PA</t>
    <phoneticPr fontId="2" type="noConversion"/>
  </si>
  <si>
    <t>발주분양산</t>
    <phoneticPr fontId="2" type="noConversion"/>
  </si>
  <si>
    <t>오조립2회정지</t>
    <phoneticPr fontId="2" type="noConversion"/>
  </si>
  <si>
    <t>수리후양산</t>
    <phoneticPr fontId="2" type="noConversion"/>
  </si>
  <si>
    <t>5</t>
    <phoneticPr fontId="2" type="noConversion"/>
  </si>
  <si>
    <t>11</t>
    <phoneticPr fontId="2" type="noConversion"/>
  </si>
  <si>
    <t>BASE HINGE</t>
    <phoneticPr fontId="2" type="noConversion"/>
  </si>
  <si>
    <t>7</t>
    <phoneticPr fontId="2" type="noConversion"/>
  </si>
  <si>
    <t>AMB0114E-JAA-R2</t>
    <phoneticPr fontId="2" type="noConversion"/>
  </si>
  <si>
    <t>수리후양산</t>
    <phoneticPr fontId="2" type="noConversion"/>
  </si>
  <si>
    <t>당일 진행 사항(07일)</t>
    <phoneticPr fontId="2" type="noConversion"/>
  </si>
  <si>
    <t>AMB0221A-KAA-R1</t>
    <phoneticPr fontId="2" type="noConversion"/>
  </si>
  <si>
    <t>14</t>
    <phoneticPr fontId="2" type="noConversion"/>
  </si>
  <si>
    <t>STOPPER</t>
    <phoneticPr fontId="2" type="noConversion"/>
  </si>
  <si>
    <t>ACTUATOR</t>
    <phoneticPr fontId="2" type="noConversion"/>
  </si>
  <si>
    <t>AMB1914A-KAA-R1</t>
    <phoneticPr fontId="2" type="noConversion"/>
  </si>
  <si>
    <t>BURR수리후양산</t>
    <phoneticPr fontId="2" type="noConversion"/>
  </si>
  <si>
    <t>LEVER BRACKET</t>
    <phoneticPr fontId="2" type="noConversion"/>
  </si>
  <si>
    <t>SAMPLE 진행 사항(06일)</t>
    <phoneticPr fontId="2" type="noConversion"/>
  </si>
  <si>
    <t>케미텍</t>
    <phoneticPr fontId="2" type="noConversion"/>
  </si>
  <si>
    <t>Z280MM</t>
    <phoneticPr fontId="2" type="noConversion"/>
  </si>
  <si>
    <t>Z280-M10</t>
    <phoneticPr fontId="2" type="noConversion"/>
  </si>
  <si>
    <t>E473i</t>
    <phoneticPr fontId="2" type="noConversion"/>
  </si>
  <si>
    <t>수정</t>
    <phoneticPr fontId="2" type="noConversion"/>
  </si>
  <si>
    <t>Z280-ASSY</t>
    <phoneticPr fontId="2" type="noConversion"/>
  </si>
  <si>
    <t>Z280-F40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</si>
  <si>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</si>
  <si>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</si>
  <si>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2017년 07월 07일 일일생산현황</t>
    </r>
    <r>
      <rPr>
        <b/>
        <sz val="14"/>
        <color indexed="8"/>
        <rFont val="굴림체"/>
        <family val="3"/>
        <charset val="129"/>
      </rPr>
      <t>(08일(토) 09시 현재)</t>
    </r>
    <phoneticPr fontId="2" type="noConversion"/>
  </si>
  <si>
    <t>ACTUATOR</t>
    <phoneticPr fontId="2" type="noConversion"/>
  </si>
  <si>
    <t>AMB1914A-KAA-R1</t>
    <phoneticPr fontId="2" type="noConversion"/>
  </si>
  <si>
    <t>JD4901 N/P</t>
    <phoneticPr fontId="2" type="noConversion"/>
  </si>
  <si>
    <t>LEVER HINGE</t>
    <phoneticPr fontId="2" type="noConversion"/>
  </si>
  <si>
    <t>STOPPER</t>
    <phoneticPr fontId="2" type="noConversion"/>
  </si>
  <si>
    <t>AMB0221A-KAA-R1</t>
    <phoneticPr fontId="2" type="noConversion"/>
  </si>
  <si>
    <t>BASE</t>
    <phoneticPr fontId="2" type="noConversion"/>
  </si>
  <si>
    <t>K-JR01918-B484AWA</t>
    <phoneticPr fontId="2" type="noConversion"/>
  </si>
  <si>
    <t xml:space="preserve">SGF2030 </t>
    <phoneticPr fontId="2" type="noConversion"/>
  </si>
  <si>
    <t>전일 ISSUE 사항(07일)</t>
    <phoneticPr fontId="2" type="noConversion"/>
  </si>
  <si>
    <t>5</t>
    <phoneticPr fontId="2" type="noConversion"/>
  </si>
  <si>
    <t>AMB1914A-KAA-R1</t>
    <phoneticPr fontId="2" type="noConversion"/>
  </si>
  <si>
    <t>수리후양산</t>
    <phoneticPr fontId="2" type="noConversion"/>
  </si>
  <si>
    <t>14</t>
    <phoneticPr fontId="2" type="noConversion"/>
  </si>
  <si>
    <t>STOPPER</t>
    <phoneticPr fontId="2" type="noConversion"/>
  </si>
  <si>
    <t>AMB0221A-KAA-R1</t>
    <phoneticPr fontId="2" type="noConversion"/>
  </si>
  <si>
    <t>LEVER BRACKET</t>
    <phoneticPr fontId="2" type="noConversion"/>
  </si>
  <si>
    <t>BURR2회수리후양산</t>
    <phoneticPr fontId="2" type="noConversion"/>
  </si>
  <si>
    <t>SST</t>
    <phoneticPr fontId="2" type="noConversion"/>
  </si>
  <si>
    <t>발주분양산-&gt;칼퀴파손정지</t>
    <phoneticPr fontId="2" type="noConversion"/>
  </si>
  <si>
    <t>당일 진행 사항(08일)</t>
    <phoneticPr fontId="2" type="noConversion"/>
  </si>
  <si>
    <t>6</t>
    <phoneticPr fontId="2" type="noConversion"/>
  </si>
  <si>
    <t>AMB1904D-KAA-R2</t>
    <phoneticPr fontId="2" type="noConversion"/>
  </si>
  <si>
    <t>원재료 변경 양산</t>
    <phoneticPr fontId="2" type="noConversion"/>
  </si>
  <si>
    <t>수리후양산</t>
    <phoneticPr fontId="2" type="noConversion"/>
  </si>
  <si>
    <t>SAMPLE 진행 사항(07일)</t>
    <phoneticPr fontId="2" type="noConversion"/>
  </si>
  <si>
    <t>Z280FGP</t>
    <phoneticPr fontId="2" type="noConversion"/>
  </si>
  <si>
    <t>Z280-F30</t>
    <phoneticPr fontId="2" type="noConversion"/>
  </si>
  <si>
    <t>스테츠</t>
    <phoneticPr fontId="2" type="noConversion"/>
  </si>
  <si>
    <t>3.3*5.8</t>
    <phoneticPr fontId="2" type="noConversion"/>
  </si>
  <si>
    <t>S475 N/P</t>
    <phoneticPr fontId="2" type="noConversion"/>
  </si>
  <si>
    <t>신작</t>
    <phoneticPr fontId="2" type="noConversion"/>
  </si>
  <si>
    <t>F/ADAPTER</t>
    <phoneticPr fontId="2" type="noConversion"/>
  </si>
  <si>
    <t>AMB20A2A-KAA-R2</t>
    <phoneticPr fontId="2" type="noConversion"/>
  </si>
  <si>
    <t>수정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</si>
  <si>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</si>
  <si>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</si>
  <si>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2017년 07월 08일 일일생산현황</t>
    </r>
    <r>
      <rPr>
        <b/>
        <sz val="14"/>
        <color indexed="8"/>
        <rFont val="굴림체"/>
        <family val="3"/>
        <charset val="129"/>
      </rPr>
      <t>(09일(일) 09시 현재)</t>
    </r>
    <phoneticPr fontId="2" type="noConversion"/>
  </si>
  <si>
    <t>AMB1904D-KAA-R2</t>
    <phoneticPr fontId="2" type="noConversion"/>
  </si>
  <si>
    <t>SGF2050 N/P</t>
    <phoneticPr fontId="2" type="noConversion"/>
  </si>
  <si>
    <t>전일 ISSUE 사항(08일)</t>
    <phoneticPr fontId="2" type="noConversion"/>
  </si>
  <si>
    <t>원재료변경 양산</t>
    <phoneticPr fontId="2" type="noConversion"/>
  </si>
  <si>
    <t>SST</t>
    <phoneticPr fontId="2" type="noConversion"/>
  </si>
  <si>
    <t>SLIDER</t>
    <phoneticPr fontId="2" type="noConversion"/>
  </si>
  <si>
    <t>KR6156FA841YA</t>
    <phoneticPr fontId="2" type="noConversion"/>
  </si>
  <si>
    <t>발주분양산-&gt;BURR정지</t>
    <phoneticPr fontId="2" type="noConversion"/>
  </si>
  <si>
    <t>수리후양산</t>
    <phoneticPr fontId="2" type="noConversion"/>
  </si>
  <si>
    <t>당일 진행 사항(10일)</t>
    <phoneticPr fontId="2" type="noConversion"/>
  </si>
  <si>
    <t>AYE</t>
    <phoneticPr fontId="2" type="noConversion"/>
  </si>
  <si>
    <t>14</t>
    <phoneticPr fontId="2" type="noConversion"/>
  </si>
  <si>
    <t>BASE</t>
    <phoneticPr fontId="2" type="noConversion"/>
  </si>
  <si>
    <t>NP614-110-001#IN-B</t>
    <phoneticPr fontId="2" type="noConversion"/>
  </si>
  <si>
    <t>발주분양산</t>
    <phoneticPr fontId="2" type="noConversion"/>
  </si>
  <si>
    <t>OKINS</t>
    <phoneticPr fontId="2" type="noConversion"/>
  </si>
  <si>
    <t>BASE</t>
    <phoneticPr fontId="2" type="noConversion"/>
  </si>
  <si>
    <t>204F51M-B047D</t>
    <phoneticPr fontId="2" type="noConversion"/>
  </si>
  <si>
    <t>SAMPLE 진행 사항(08일)</t>
    <phoneticPr fontId="2" type="noConversion"/>
  </si>
  <si>
    <t>SLIDER</t>
    <phoneticPr fontId="2" type="noConversion"/>
  </si>
  <si>
    <t>KR6182-A308WA</t>
    <phoneticPr fontId="2" type="noConversion"/>
  </si>
  <si>
    <t>SGF2030</t>
    <phoneticPr fontId="2" type="noConversion"/>
  </si>
  <si>
    <t>요청</t>
    <phoneticPr fontId="2" type="noConversion"/>
  </si>
  <si>
    <t>금형 수리 내역(08일)</t>
    <phoneticPr fontId="2" type="noConversion"/>
  </si>
  <si>
    <t>KR6197AB841CA</t>
    <phoneticPr fontId="2" type="noConversion"/>
  </si>
  <si>
    <t>BASE</t>
    <phoneticPr fontId="2" type="noConversion"/>
  </si>
  <si>
    <t>KR6156DB841CA</t>
    <phoneticPr fontId="2" type="noConversion"/>
  </si>
  <si>
    <t>설비 점검 내역(08일)</t>
    <phoneticPr fontId="2" type="noConversion"/>
  </si>
  <si>
    <r>
      <t>2017년 07월 10일 일일생산현황</t>
    </r>
    <r>
      <rPr>
        <b/>
        <sz val="14"/>
        <color indexed="8"/>
        <rFont val="굴림체"/>
        <family val="3"/>
        <charset val="129"/>
      </rPr>
      <t>(11일(화) 09시 현재)</t>
    </r>
    <phoneticPr fontId="2" type="noConversion"/>
  </si>
  <si>
    <t>F/ADAPTER</t>
    <phoneticPr fontId="2" type="noConversion"/>
  </si>
  <si>
    <t>AMB20A2A-KAA-R2</t>
    <phoneticPr fontId="2" type="noConversion"/>
  </si>
  <si>
    <t>OKINS</t>
    <phoneticPr fontId="2" type="noConversion"/>
  </si>
  <si>
    <t>BASE</t>
    <phoneticPr fontId="2" type="noConversion"/>
  </si>
  <si>
    <t>204F51M-B047D</t>
    <phoneticPr fontId="2" type="noConversion"/>
  </si>
  <si>
    <t>PA9T</t>
    <phoneticPr fontId="2" type="noConversion"/>
  </si>
  <si>
    <t>KR6156DB841CA</t>
    <phoneticPr fontId="2" type="noConversion"/>
  </si>
  <si>
    <t>SGF2033</t>
    <phoneticPr fontId="2" type="noConversion"/>
  </si>
  <si>
    <t>AYE</t>
    <phoneticPr fontId="2" type="noConversion"/>
  </si>
  <si>
    <t>NP614-110-001#IN-B</t>
    <phoneticPr fontId="2" type="noConversion"/>
  </si>
  <si>
    <t>SGP2030R</t>
    <phoneticPr fontId="2" type="noConversion"/>
  </si>
  <si>
    <t>전일 ISSUE 사항(10일)</t>
    <phoneticPr fontId="2" type="noConversion"/>
  </si>
  <si>
    <t>13</t>
    <phoneticPr fontId="2" type="noConversion"/>
  </si>
  <si>
    <t>AMB1901D-JAA-R2</t>
    <phoneticPr fontId="2" type="noConversion"/>
  </si>
  <si>
    <t>세척후양산</t>
    <phoneticPr fontId="2" type="noConversion"/>
  </si>
  <si>
    <t>OKINS</t>
    <phoneticPr fontId="2" type="noConversion"/>
  </si>
  <si>
    <t>8</t>
    <phoneticPr fontId="2" type="noConversion"/>
  </si>
  <si>
    <t>발주분양산</t>
    <phoneticPr fontId="2" type="noConversion"/>
  </si>
  <si>
    <t>KR6156DB841CA</t>
    <phoneticPr fontId="2" type="noConversion"/>
  </si>
  <si>
    <t>14</t>
    <phoneticPr fontId="2" type="noConversion"/>
  </si>
  <si>
    <t>AMB20A2A-KAA-R2</t>
    <phoneticPr fontId="2" type="noConversion"/>
  </si>
  <si>
    <t>AMB0114E-JAA-R2</t>
    <phoneticPr fontId="2" type="noConversion"/>
  </si>
  <si>
    <t>밀핀파손수리후양산</t>
    <phoneticPr fontId="2" type="noConversion"/>
  </si>
  <si>
    <t>9</t>
    <phoneticPr fontId="2" type="noConversion"/>
  </si>
  <si>
    <t>COVER</t>
    <phoneticPr fontId="2" type="noConversion"/>
  </si>
  <si>
    <t>KR6156AC841TA</t>
    <phoneticPr fontId="2" type="noConversion"/>
  </si>
  <si>
    <t>BURR정지</t>
    <phoneticPr fontId="2" type="noConversion"/>
  </si>
  <si>
    <t>당일 진행 사항(11일)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</si>
  <si>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</si>
  <si>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</si>
  <si>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</si>
  <si>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KR6156FA841YA</t>
    <phoneticPr fontId="2" type="noConversion"/>
  </si>
  <si>
    <t>수리후양산</t>
    <phoneticPr fontId="2" type="noConversion"/>
  </si>
  <si>
    <t>3</t>
    <phoneticPr fontId="2" type="noConversion"/>
  </si>
  <si>
    <t>STOPPER</t>
    <phoneticPr fontId="2" type="noConversion"/>
  </si>
  <si>
    <t>KR6156-D841PA</t>
    <phoneticPr fontId="2" type="noConversion"/>
  </si>
  <si>
    <t>KI</t>
    <phoneticPr fontId="2" type="noConversion"/>
  </si>
  <si>
    <t>10</t>
    <phoneticPr fontId="2" type="noConversion"/>
  </si>
  <si>
    <t>60P</t>
    <phoneticPr fontId="2" type="noConversion"/>
  </si>
  <si>
    <t>발주분양산</t>
    <phoneticPr fontId="2" type="noConversion"/>
  </si>
  <si>
    <t>SAMPLE 진행 사항(10일)</t>
    <phoneticPr fontId="2" type="noConversion"/>
  </si>
  <si>
    <t>ADAPTER</t>
    <phoneticPr fontId="2" type="noConversion"/>
  </si>
  <si>
    <t>NP620-464-001#LB</t>
    <phoneticPr fontId="2" type="noConversion"/>
  </si>
  <si>
    <t>SGP2030R N/P</t>
    <phoneticPr fontId="2" type="noConversion"/>
  </si>
  <si>
    <t>신작</t>
    <phoneticPr fontId="2" type="noConversion"/>
  </si>
  <si>
    <t>NP620-464-001#LB-1</t>
    <phoneticPr fontId="2" type="noConversion"/>
  </si>
  <si>
    <t>신작,옵션</t>
    <phoneticPr fontId="2" type="noConversion"/>
  </si>
  <si>
    <t>AYE</t>
    <phoneticPr fontId="2" type="noConversion"/>
  </si>
  <si>
    <t>SPACER A,B</t>
    <phoneticPr fontId="2" type="noConversion"/>
  </si>
  <si>
    <t>NP620-464-001#SP-A /B</t>
    <phoneticPr fontId="2" type="noConversion"/>
  </si>
  <si>
    <t>SGP2030R</t>
    <phoneticPr fontId="2" type="noConversion"/>
  </si>
  <si>
    <t>COVER</t>
    <phoneticPr fontId="2" type="noConversion"/>
  </si>
  <si>
    <t>NP620-464-001#CV</t>
    <phoneticPr fontId="2" type="noConversion"/>
  </si>
  <si>
    <t>SGF2030</t>
    <phoneticPr fontId="2" type="noConversion"/>
  </si>
  <si>
    <t>신작</t>
    <phoneticPr fontId="2" type="noConversion"/>
  </si>
  <si>
    <t>HICON</t>
    <phoneticPr fontId="2" type="noConversion"/>
  </si>
  <si>
    <t>SLIDER</t>
    <phoneticPr fontId="2" type="noConversion"/>
  </si>
  <si>
    <t>HSA08-M02A1</t>
    <phoneticPr fontId="2" type="noConversion"/>
  </si>
  <si>
    <t>SF2255 I/V</t>
    <phoneticPr fontId="2" type="noConversion"/>
  </si>
  <si>
    <t>증작</t>
    <phoneticPr fontId="2" type="noConversion"/>
  </si>
  <si>
    <t>STOPPER</t>
    <phoneticPr fontId="2" type="noConversion"/>
  </si>
  <si>
    <t>HSA08-M04A1</t>
    <phoneticPr fontId="2" type="noConversion"/>
  </si>
  <si>
    <t>SST</t>
    <phoneticPr fontId="2" type="noConversion"/>
  </si>
  <si>
    <t>SLIDER</t>
    <phoneticPr fontId="2" type="noConversion"/>
  </si>
  <si>
    <t>KR6414-A166YA</t>
    <phoneticPr fontId="2" type="noConversion"/>
  </si>
  <si>
    <t>SGF2050</t>
    <phoneticPr fontId="2" type="noConversion"/>
  </si>
  <si>
    <t>수정</t>
    <phoneticPr fontId="2" type="noConversion"/>
  </si>
  <si>
    <t>금형 수리 내역(10일)</t>
    <phoneticPr fontId="2" type="noConversion"/>
  </si>
  <si>
    <t xml:space="preserve"> BURR</t>
    <phoneticPr fontId="2" type="noConversion"/>
  </si>
  <si>
    <t>설비 점검 내역(10일)</t>
    <phoneticPr fontId="2" type="noConversion"/>
  </si>
  <si>
    <r>
      <t>2017년 07월 11일 일일생산현황</t>
    </r>
    <r>
      <rPr>
        <b/>
        <sz val="14"/>
        <color indexed="8"/>
        <rFont val="굴림체"/>
        <family val="3"/>
        <charset val="129"/>
      </rPr>
      <t>(12일(수) 09시 현재)</t>
    </r>
    <phoneticPr fontId="2" type="noConversion"/>
  </si>
  <si>
    <t>KI</t>
    <phoneticPr fontId="2" type="noConversion"/>
  </si>
  <si>
    <t>60P</t>
    <phoneticPr fontId="2" type="noConversion"/>
  </si>
  <si>
    <t>PC15% W/T</t>
    <phoneticPr fontId="2" type="noConversion"/>
  </si>
  <si>
    <t>전일 ISSUE 사항(11일)</t>
    <phoneticPr fontId="2" type="noConversion"/>
  </si>
  <si>
    <t>가스빼기 추가후양산</t>
    <phoneticPr fontId="2" type="noConversion"/>
  </si>
  <si>
    <t>KI</t>
    <phoneticPr fontId="2" type="noConversion"/>
  </si>
  <si>
    <t>10</t>
    <phoneticPr fontId="2" type="noConversion"/>
  </si>
  <si>
    <t>60P</t>
    <phoneticPr fontId="2" type="noConversion"/>
  </si>
  <si>
    <t>발주분양산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</si>
  <si>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</si>
  <si>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</si>
  <si>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</si>
  <si>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KR6156FA841YA</t>
    <phoneticPr fontId="2" type="noConversion"/>
  </si>
  <si>
    <t>수리후양산-&gt;하측박힘정지</t>
    <phoneticPr fontId="2" type="noConversion"/>
  </si>
  <si>
    <t>당일 진행 사항(12일)</t>
    <phoneticPr fontId="2" type="noConversion"/>
  </si>
  <si>
    <t>3</t>
    <phoneticPr fontId="2" type="noConversion"/>
  </si>
  <si>
    <t>STOPPER</t>
    <phoneticPr fontId="2" type="noConversion"/>
  </si>
  <si>
    <t>KR6156-D841PA</t>
    <phoneticPr fontId="2" type="noConversion"/>
  </si>
  <si>
    <t>세척후양산</t>
    <phoneticPr fontId="2" type="noConversion"/>
  </si>
  <si>
    <t>KR6156-F841UA</t>
    <phoneticPr fontId="2" type="noConversion"/>
  </si>
  <si>
    <t>11</t>
    <phoneticPr fontId="2" type="noConversion"/>
  </si>
  <si>
    <t>LEAD GUIDE</t>
    <phoneticPr fontId="2" type="noConversion"/>
  </si>
  <si>
    <t>SAMPLE 진행 사항(11일)</t>
    <phoneticPr fontId="2" type="noConversion"/>
  </si>
  <si>
    <t>COVER</t>
    <phoneticPr fontId="2" type="noConversion"/>
  </si>
  <si>
    <t>HSA08-M03A1</t>
    <phoneticPr fontId="2" type="noConversion"/>
  </si>
  <si>
    <t>JD4901</t>
    <phoneticPr fontId="2" type="noConversion"/>
  </si>
  <si>
    <t>HICON</t>
    <phoneticPr fontId="2" type="noConversion"/>
  </si>
  <si>
    <t>BASE</t>
    <phoneticPr fontId="2" type="noConversion"/>
  </si>
  <si>
    <t>HSA08-M01A1</t>
    <phoneticPr fontId="2" type="noConversion"/>
  </si>
  <si>
    <t>SF2255</t>
    <phoneticPr fontId="2" type="noConversion"/>
  </si>
  <si>
    <t>상측박힘3회작업안됨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</si>
  <si>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</si>
  <si>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</si>
  <si>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t xml:space="preserve"> 하측박힘</t>
    <phoneticPr fontId="2" type="noConversion"/>
  </si>
  <si>
    <r>
      <t>2017년 07월 12일 일일생산현황</t>
    </r>
    <r>
      <rPr>
        <b/>
        <sz val="14"/>
        <color indexed="8"/>
        <rFont val="굴림체"/>
        <family val="3"/>
        <charset val="129"/>
      </rPr>
      <t>(13일(목) 09시 현재)</t>
    </r>
    <phoneticPr fontId="2" type="noConversion"/>
  </si>
  <si>
    <t>ODT</t>
    <phoneticPr fontId="2" type="noConversion"/>
  </si>
  <si>
    <t>201T</t>
    <phoneticPr fontId="2" type="noConversion"/>
  </si>
  <si>
    <t>SW-003066</t>
    <phoneticPr fontId="2" type="noConversion"/>
  </si>
  <si>
    <t>PC B/K</t>
    <phoneticPr fontId="2" type="noConversion"/>
  </si>
  <si>
    <t>BASE</t>
    <phoneticPr fontId="2" type="noConversion"/>
  </si>
  <si>
    <t>AMB0151A-KAA-R2</t>
    <phoneticPr fontId="2" type="noConversion"/>
  </si>
  <si>
    <t>전일 ISSUE 사항(12일)</t>
    <phoneticPr fontId="2" type="noConversion"/>
  </si>
  <si>
    <t>BURR수리후양산</t>
    <phoneticPr fontId="2" type="noConversion"/>
  </si>
  <si>
    <t>수리후양산-&gt;코아파손정지</t>
    <phoneticPr fontId="2" type="noConversion"/>
  </si>
  <si>
    <t>11</t>
    <phoneticPr fontId="2" type="noConversion"/>
  </si>
  <si>
    <t>LEAD GUIDE</t>
    <phoneticPr fontId="2" type="noConversion"/>
  </si>
  <si>
    <t>KR6156-F841UA</t>
    <phoneticPr fontId="2" type="noConversion"/>
  </si>
  <si>
    <t>발주분양산</t>
    <phoneticPr fontId="2" type="noConversion"/>
  </si>
  <si>
    <t>MCS</t>
    <phoneticPr fontId="2" type="noConversion"/>
  </si>
  <si>
    <t>13</t>
    <phoneticPr fontId="2" type="noConversion"/>
  </si>
  <si>
    <t>BASE</t>
    <phoneticPr fontId="2" type="noConversion"/>
  </si>
  <si>
    <t>발주분양산</t>
    <phoneticPr fontId="2" type="noConversion"/>
  </si>
  <si>
    <t>2</t>
    <phoneticPr fontId="2" type="noConversion"/>
  </si>
  <si>
    <t>201T</t>
    <phoneticPr fontId="2" type="noConversion"/>
  </si>
  <si>
    <t>14</t>
    <phoneticPr fontId="2" type="noConversion"/>
  </si>
  <si>
    <t>COVER</t>
    <phoneticPr fontId="2" type="noConversion"/>
  </si>
  <si>
    <t>KR6156AC841TA</t>
    <phoneticPr fontId="2" type="noConversion"/>
  </si>
  <si>
    <t>재고분양산-&gt;노즐막힘정지</t>
    <phoneticPr fontId="2" type="noConversion"/>
  </si>
  <si>
    <t>당일 진행 사항(13일)</t>
    <phoneticPr fontId="2" type="noConversion"/>
  </si>
  <si>
    <t>NP571-178-025#LB</t>
    <phoneticPr fontId="2" type="noConversion"/>
  </si>
  <si>
    <t>AYE</t>
    <phoneticPr fontId="2" type="noConversion"/>
  </si>
  <si>
    <t>5</t>
    <phoneticPr fontId="2" type="noConversion"/>
  </si>
  <si>
    <t>AAM0818B-KAB-R3</t>
    <phoneticPr fontId="2" type="noConversion"/>
  </si>
  <si>
    <t>MCS</t>
    <phoneticPr fontId="2" type="noConversion"/>
  </si>
  <si>
    <t>9</t>
    <phoneticPr fontId="2" type="noConversion"/>
  </si>
  <si>
    <t>SAMPLE 진행 사항(12일)</t>
    <phoneticPr fontId="2" type="noConversion"/>
  </si>
  <si>
    <t>금형 수리 내역(12일)</t>
    <phoneticPr fontId="2" type="noConversion"/>
  </si>
  <si>
    <t xml:space="preserve"> 코아파손</t>
    <phoneticPr fontId="2" type="noConversion"/>
  </si>
  <si>
    <t>설비 점검 내역(12일)</t>
    <phoneticPr fontId="2" type="noConversion"/>
  </si>
  <si>
    <r>
      <t>2017년 07월 13일 일일생산현황</t>
    </r>
    <r>
      <rPr>
        <b/>
        <sz val="14"/>
        <color indexed="8"/>
        <rFont val="굴림체"/>
        <family val="3"/>
        <charset val="129"/>
      </rPr>
      <t>(14일(금) 09시 현재)</t>
    </r>
    <phoneticPr fontId="2" type="noConversion"/>
  </si>
  <si>
    <t>AYE</t>
    <phoneticPr fontId="2" type="noConversion"/>
  </si>
  <si>
    <t>ADAPTER</t>
    <phoneticPr fontId="2" type="noConversion"/>
  </si>
  <si>
    <t>NP571-178-025#LB</t>
    <phoneticPr fontId="2" type="noConversion"/>
  </si>
  <si>
    <t>SGP2030R N/P</t>
    <phoneticPr fontId="2" type="noConversion"/>
  </si>
  <si>
    <t>BASE</t>
    <phoneticPr fontId="2" type="noConversion"/>
  </si>
  <si>
    <t>AAM0818B-KAB-R3</t>
    <phoneticPr fontId="2" type="noConversion"/>
  </si>
  <si>
    <t>PA9T</t>
    <phoneticPr fontId="2" type="noConversion"/>
  </si>
  <si>
    <t>LEAD GUIDE</t>
    <phoneticPr fontId="2" type="noConversion"/>
  </si>
  <si>
    <t>KR6156-F841UA</t>
    <phoneticPr fontId="2" type="noConversion"/>
  </si>
  <si>
    <t>OKINS</t>
    <phoneticPr fontId="2" type="noConversion"/>
  </si>
  <si>
    <t>ADAPTER</t>
    <phoneticPr fontId="2" type="noConversion"/>
  </si>
  <si>
    <t>56T1-05-T2-AA-1</t>
    <phoneticPr fontId="2" type="noConversion"/>
  </si>
  <si>
    <t>전일 ISSUE 사항(13일)</t>
    <phoneticPr fontId="2" type="noConversion"/>
  </si>
  <si>
    <t>코아파손정지</t>
    <phoneticPr fontId="2" type="noConversion"/>
  </si>
  <si>
    <t>11</t>
    <phoneticPr fontId="2" type="noConversion"/>
  </si>
  <si>
    <t>LATCH</t>
    <phoneticPr fontId="2" type="noConversion"/>
  </si>
  <si>
    <t>KR6180-E02TA</t>
    <phoneticPr fontId="2" type="noConversion"/>
  </si>
  <si>
    <t>NP571-178-025#LB</t>
    <phoneticPr fontId="2" type="noConversion"/>
  </si>
  <si>
    <t>10</t>
    <phoneticPr fontId="2" type="noConversion"/>
  </si>
  <si>
    <t>단차정지</t>
    <phoneticPr fontId="2" type="noConversion"/>
  </si>
  <si>
    <t>당일 진행 사항(14일)</t>
    <phoneticPr fontId="2" type="noConversion"/>
  </si>
  <si>
    <t>AAM0818B-KAB-R3</t>
    <phoneticPr fontId="2" type="noConversion"/>
  </si>
  <si>
    <t>AAM0818B-KAB-R3</t>
    <phoneticPr fontId="2" type="noConversion"/>
  </si>
  <si>
    <t>9</t>
    <phoneticPr fontId="2" type="noConversion"/>
  </si>
  <si>
    <t>뜯김정지</t>
    <phoneticPr fontId="2" type="noConversion"/>
  </si>
  <si>
    <t>수리후양산</t>
    <phoneticPr fontId="2" type="noConversion"/>
  </si>
  <si>
    <t>AMB0114E-JAA-R2</t>
    <phoneticPr fontId="2" type="noConversion"/>
  </si>
  <si>
    <t>SAMPLE 진행 사항(13일)</t>
    <phoneticPr fontId="2" type="noConversion"/>
  </si>
  <si>
    <t>AMB07P7A-KAA-R1</t>
    <phoneticPr fontId="2" type="noConversion"/>
  </si>
  <si>
    <t>SF2255 I/V,8301</t>
    <phoneticPr fontId="2" type="noConversion"/>
  </si>
  <si>
    <t>신작</t>
    <phoneticPr fontId="2" type="noConversion"/>
  </si>
  <si>
    <t>성형안됨</t>
    <phoneticPr fontId="2" type="noConversion"/>
  </si>
  <si>
    <t>AMB1921A-KAA-R1</t>
    <phoneticPr fontId="2" type="noConversion"/>
  </si>
  <si>
    <t>ACTUATOR</t>
    <phoneticPr fontId="2" type="noConversion"/>
  </si>
  <si>
    <t>SGF2050 N/P</t>
    <phoneticPr fontId="2" type="noConversion"/>
  </si>
  <si>
    <t>AMB0229A-KAA-R1</t>
    <phoneticPr fontId="2" type="noConversion"/>
  </si>
  <si>
    <t>STOPPER</t>
    <phoneticPr fontId="2" type="noConversion"/>
  </si>
  <si>
    <t>SF2255</t>
    <phoneticPr fontId="2" type="noConversion"/>
  </si>
  <si>
    <t>56T1-05-T2-AA-1</t>
    <phoneticPr fontId="2" type="noConversion"/>
  </si>
  <si>
    <t>OKINS</t>
    <phoneticPr fontId="2" type="noConversion"/>
  </si>
  <si>
    <t>13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</si>
  <si>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</si>
  <si>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</si>
  <si>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2017년 07월 14일(주간) 일일생산현황</t>
    </r>
    <r>
      <rPr>
        <b/>
        <sz val="14"/>
        <color indexed="8"/>
        <rFont val="굴림체"/>
        <family val="3"/>
        <charset val="129"/>
      </rPr>
      <t>(15일(토) 09시 현재)</t>
    </r>
    <phoneticPr fontId="2" type="noConversion"/>
  </si>
  <si>
    <t>KR6197-D841PB</t>
    <phoneticPr fontId="2" type="noConversion"/>
  </si>
  <si>
    <t>LATCH</t>
    <phoneticPr fontId="2" type="noConversion"/>
  </si>
  <si>
    <t>JD4901</t>
    <phoneticPr fontId="2" type="noConversion"/>
  </si>
  <si>
    <t>전일 ISSUE 사항(14일)</t>
    <phoneticPr fontId="2" type="noConversion"/>
  </si>
  <si>
    <t>당일 진행 사항(17일)</t>
    <phoneticPr fontId="2" type="noConversion"/>
  </si>
  <si>
    <t>HOOK박힘정지</t>
    <phoneticPr fontId="2" type="noConversion"/>
  </si>
  <si>
    <t>세척후양산</t>
    <phoneticPr fontId="2" type="noConversion"/>
  </si>
  <si>
    <t>14</t>
    <phoneticPr fontId="2" type="noConversion"/>
  </si>
  <si>
    <t>AMB07P7A-KAA-R1</t>
    <phoneticPr fontId="2" type="noConversion"/>
  </si>
  <si>
    <t>AMB1921A-KAA-R1</t>
    <phoneticPr fontId="2" type="noConversion"/>
  </si>
  <si>
    <t>AMB0229A-KAA-R1</t>
    <phoneticPr fontId="2" type="noConversion"/>
  </si>
  <si>
    <t>AMB0159A-KAA-R1</t>
    <phoneticPr fontId="2" type="noConversion"/>
  </si>
  <si>
    <t>COVER</t>
    <phoneticPr fontId="2" type="noConversion"/>
  </si>
  <si>
    <t>AMB0343A-KAA-R1</t>
    <phoneticPr fontId="2" type="noConversion"/>
  </si>
  <si>
    <t>승인후양산</t>
    <phoneticPr fontId="2" type="noConversion"/>
  </si>
  <si>
    <t>발주분양산</t>
    <phoneticPr fontId="2" type="noConversion"/>
  </si>
  <si>
    <t>10</t>
    <phoneticPr fontId="2" type="noConversion"/>
  </si>
  <si>
    <t>SAMPLE 진행 사항(14일)</t>
    <phoneticPr fontId="2" type="noConversion"/>
  </si>
  <si>
    <t>JD4901</t>
    <phoneticPr fontId="2" type="noConversion"/>
  </si>
  <si>
    <t>SF2255 I/V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</si>
  <si>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</si>
  <si>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</si>
  <si>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2017년 07월 17일 일일생산현황</t>
    </r>
    <r>
      <rPr>
        <b/>
        <sz val="14"/>
        <color indexed="8"/>
        <rFont val="굴림체"/>
        <family val="3"/>
        <charset val="129"/>
      </rPr>
      <t>(18일(화) 09시 현재)</t>
    </r>
    <phoneticPr fontId="2" type="noConversion"/>
  </si>
  <si>
    <t>BASE</t>
    <phoneticPr fontId="2" type="noConversion"/>
  </si>
  <si>
    <t>K-JR01918-B484AWA</t>
    <phoneticPr fontId="2" type="noConversion"/>
  </si>
  <si>
    <t>SGF2030</t>
    <phoneticPr fontId="2" type="noConversion"/>
  </si>
  <si>
    <t>AMB07P7A-KAA-R1</t>
    <phoneticPr fontId="2" type="noConversion"/>
  </si>
  <si>
    <t>SF2255 I/V</t>
    <phoneticPr fontId="2" type="noConversion"/>
  </si>
  <si>
    <t>AMB1921A-KAA-R1</t>
    <phoneticPr fontId="2" type="noConversion"/>
  </si>
  <si>
    <t>SGF2050 N/P</t>
    <phoneticPr fontId="2" type="noConversion"/>
  </si>
  <si>
    <t>STOPPER</t>
    <phoneticPr fontId="2" type="noConversion"/>
  </si>
  <si>
    <t>AMB0229A-KAA-R1</t>
    <phoneticPr fontId="2" type="noConversion"/>
  </si>
  <si>
    <t>SF2255</t>
    <phoneticPr fontId="2" type="noConversion"/>
  </si>
  <si>
    <t>NP595-350-008#LB</t>
    <phoneticPr fontId="2" type="noConversion"/>
  </si>
  <si>
    <t>AMB0159A-KAA-R1</t>
    <phoneticPr fontId="2" type="noConversion"/>
  </si>
  <si>
    <t>SF2255</t>
    <phoneticPr fontId="2" type="noConversion"/>
  </si>
  <si>
    <t>AMB0343A-KAA-R1</t>
    <phoneticPr fontId="2" type="noConversion"/>
  </si>
  <si>
    <t>전일 ISSUE 사항(17일)</t>
    <phoneticPr fontId="2" type="noConversion"/>
  </si>
  <si>
    <t>세척후양산</t>
    <phoneticPr fontId="2" type="noConversion"/>
  </si>
  <si>
    <t>발주분양산</t>
    <phoneticPr fontId="2" type="noConversion"/>
  </si>
  <si>
    <t>6</t>
    <phoneticPr fontId="2" type="noConversion"/>
  </si>
  <si>
    <t>ACTUATOR</t>
    <phoneticPr fontId="2" type="noConversion"/>
  </si>
  <si>
    <t>AMB1921A-KAA-R1</t>
    <phoneticPr fontId="2" type="noConversion"/>
  </si>
  <si>
    <t>발주분양산</t>
    <phoneticPr fontId="2" type="noConversion"/>
  </si>
  <si>
    <t>8</t>
    <phoneticPr fontId="2" type="noConversion"/>
  </si>
  <si>
    <t>STOPPER</t>
    <phoneticPr fontId="2" type="noConversion"/>
  </si>
  <si>
    <t>발주분양산-&gt;가스수리</t>
    <phoneticPr fontId="2" type="noConversion"/>
  </si>
  <si>
    <t>13</t>
    <phoneticPr fontId="2" type="noConversion"/>
  </si>
  <si>
    <t>발주분양산-&gt;뜯김정지</t>
    <phoneticPr fontId="2" type="noConversion"/>
  </si>
  <si>
    <t>14</t>
    <phoneticPr fontId="2" type="noConversion"/>
  </si>
  <si>
    <t>COVER</t>
    <phoneticPr fontId="2" type="noConversion"/>
  </si>
  <si>
    <t>AMB0343A-KAA-R1</t>
    <phoneticPr fontId="2" type="noConversion"/>
  </si>
  <si>
    <t>발주분양산-&gt;코아파손정지</t>
    <phoneticPr fontId="2" type="noConversion"/>
  </si>
  <si>
    <t>5</t>
    <phoneticPr fontId="2" type="noConversion"/>
  </si>
  <si>
    <t>ADAPTER</t>
    <phoneticPr fontId="2" type="noConversion"/>
  </si>
  <si>
    <t>AMB07P7A-KAA-R1</t>
    <phoneticPr fontId="2" type="noConversion"/>
  </si>
  <si>
    <t>발주분양산-&gt;미성형정지</t>
    <phoneticPr fontId="2" type="noConversion"/>
  </si>
  <si>
    <t>AYE</t>
    <phoneticPr fontId="2" type="noConversion"/>
  </si>
  <si>
    <t>10</t>
    <phoneticPr fontId="2" type="noConversion"/>
  </si>
  <si>
    <t>당일 진행 사항(18일)</t>
    <phoneticPr fontId="2" type="noConversion"/>
  </si>
  <si>
    <t>수리후양산</t>
    <phoneticPr fontId="2" type="noConversion"/>
  </si>
  <si>
    <t>NP595-350-008#LB</t>
    <phoneticPr fontId="2" type="noConversion"/>
  </si>
  <si>
    <t>NP595-350-008#LB</t>
    <phoneticPr fontId="2" type="noConversion"/>
  </si>
  <si>
    <t>AYE</t>
    <phoneticPr fontId="2" type="noConversion"/>
  </si>
  <si>
    <t>수리후양산</t>
    <phoneticPr fontId="2" type="noConversion"/>
  </si>
  <si>
    <t>SAMPLE 진행 사항(17일)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</si>
  <si>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</si>
  <si>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</si>
  <si>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t>MCS</t>
    <phoneticPr fontId="2" type="noConversion"/>
  </si>
  <si>
    <t>SAM</t>
    <phoneticPr fontId="2" type="noConversion"/>
  </si>
  <si>
    <t>AM0610B-J</t>
    <phoneticPr fontId="2" type="noConversion"/>
  </si>
  <si>
    <t>COVER</t>
    <phoneticPr fontId="2" type="noConversion"/>
  </si>
  <si>
    <t>AM0340A-K</t>
    <phoneticPr fontId="2" type="noConversion"/>
  </si>
  <si>
    <t>AYE</t>
    <phoneticPr fontId="2" type="noConversion"/>
  </si>
  <si>
    <t>LEAD GUIDE</t>
    <phoneticPr fontId="2" type="noConversion"/>
  </si>
  <si>
    <t>NP614-110-001#LO</t>
    <phoneticPr fontId="2" type="noConversion"/>
  </si>
  <si>
    <t>SGP2030R</t>
    <phoneticPr fontId="2" type="noConversion"/>
  </si>
  <si>
    <t>전일 ISSUE 사항(18일)</t>
    <phoneticPr fontId="2" type="noConversion"/>
  </si>
  <si>
    <t>SST</t>
    <phoneticPr fontId="2" type="noConversion"/>
  </si>
  <si>
    <t>3</t>
    <phoneticPr fontId="2" type="noConversion"/>
  </si>
  <si>
    <t>STOPPER</t>
    <phoneticPr fontId="2" type="noConversion"/>
  </si>
  <si>
    <t>KR6197-D841PB</t>
    <phoneticPr fontId="2" type="noConversion"/>
  </si>
  <si>
    <t>코아파손수리후양산</t>
    <phoneticPr fontId="2" type="noConversion"/>
  </si>
  <si>
    <t>11</t>
    <phoneticPr fontId="2" type="noConversion"/>
  </si>
  <si>
    <t>발주분양산</t>
    <phoneticPr fontId="2" type="noConversion"/>
  </si>
  <si>
    <t>10</t>
    <phoneticPr fontId="2" type="noConversion"/>
  </si>
  <si>
    <t>8</t>
    <phoneticPr fontId="2" type="noConversion"/>
  </si>
  <si>
    <t>수리후양산</t>
    <phoneticPr fontId="2" type="noConversion"/>
  </si>
  <si>
    <t>수리후양산-&gt;하측박힘정지</t>
    <phoneticPr fontId="2" type="noConversion"/>
  </si>
  <si>
    <t>수리후양산-&gt;가스수리후양산</t>
    <phoneticPr fontId="2" type="noConversion"/>
  </si>
  <si>
    <t>6</t>
    <phoneticPr fontId="2" type="noConversion"/>
  </si>
  <si>
    <t>13</t>
    <phoneticPr fontId="2" type="noConversion"/>
  </si>
  <si>
    <t>MESH수정후양산</t>
    <phoneticPr fontId="2" type="noConversion"/>
  </si>
  <si>
    <t>당일 진행 사항(19일)</t>
    <phoneticPr fontId="2" type="noConversion"/>
  </si>
  <si>
    <t>BODY</t>
    <phoneticPr fontId="2" type="noConversion"/>
  </si>
  <si>
    <t>AM0149A-K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</si>
  <si>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</si>
  <si>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</si>
  <si>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</si>
  <si>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재고분양산</t>
    <phoneticPr fontId="2" type="noConversion"/>
  </si>
  <si>
    <t>SST</t>
    <phoneticPr fontId="2" type="noConversion"/>
  </si>
  <si>
    <t>11</t>
    <phoneticPr fontId="2" type="noConversion"/>
  </si>
  <si>
    <t>KR6197-F841UA</t>
    <phoneticPr fontId="2" type="noConversion"/>
  </si>
  <si>
    <t>72P</t>
    <phoneticPr fontId="2" type="noConversion"/>
  </si>
  <si>
    <t>DI</t>
    <phoneticPr fontId="2" type="noConversion"/>
  </si>
  <si>
    <t>15</t>
    <phoneticPr fontId="2" type="noConversion"/>
  </si>
  <si>
    <t>발주분양산</t>
    <phoneticPr fontId="2" type="noConversion"/>
  </si>
  <si>
    <t>SAMPLE 진행 사항(18일)</t>
    <phoneticPr fontId="2" type="noConversion"/>
  </si>
  <si>
    <t>ADAPTER</t>
    <phoneticPr fontId="2" type="noConversion"/>
  </si>
  <si>
    <t>KR6197BGF254QA</t>
    <phoneticPr fontId="2" type="noConversion"/>
  </si>
  <si>
    <t>SF2255 I/V</t>
    <phoneticPr fontId="2" type="noConversion"/>
  </si>
  <si>
    <t>증작</t>
    <phoneticPr fontId="2" type="noConversion"/>
  </si>
  <si>
    <t>KR6197AGH254QA</t>
    <phoneticPr fontId="2" type="noConversion"/>
  </si>
  <si>
    <t>케미텍</t>
    <phoneticPr fontId="2" type="noConversion"/>
  </si>
  <si>
    <t>Z280FPGD</t>
    <phoneticPr fontId="2" type="noConversion"/>
  </si>
  <si>
    <t>Z280-F30</t>
    <phoneticPr fontId="2" type="noConversion"/>
  </si>
  <si>
    <t>E473i</t>
    <phoneticPr fontId="2" type="noConversion"/>
  </si>
  <si>
    <t>수정</t>
    <phoneticPr fontId="2" type="noConversion"/>
  </si>
  <si>
    <t>Z280MM</t>
    <phoneticPr fontId="2" type="noConversion"/>
  </si>
  <si>
    <t>Z280-M10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</si>
  <si>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</si>
  <si>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</si>
  <si>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2017년 07월 19일 일일생산현황</t>
    </r>
    <r>
      <rPr>
        <b/>
        <sz val="14"/>
        <color indexed="8"/>
        <rFont val="굴림체"/>
        <family val="3"/>
        <charset val="129"/>
      </rPr>
      <t>(20일(목) 09시 현재)</t>
    </r>
    <phoneticPr fontId="2" type="noConversion"/>
  </si>
  <si>
    <r>
      <t>2017년 07월 18일 일일생산현황</t>
    </r>
    <r>
      <rPr>
        <b/>
        <sz val="14"/>
        <color indexed="8"/>
        <rFont val="굴림체"/>
        <family val="3"/>
        <charset val="129"/>
      </rPr>
      <t>(19일(수) 09시 현재)</t>
    </r>
    <phoneticPr fontId="2" type="noConversion"/>
  </si>
  <si>
    <t>MCS</t>
    <phoneticPr fontId="2" type="noConversion"/>
  </si>
  <si>
    <t>AMB0129A-KAA-R3</t>
    <phoneticPr fontId="2" type="noConversion"/>
  </si>
  <si>
    <t>SGF2050</t>
    <phoneticPr fontId="2" type="noConversion"/>
  </si>
  <si>
    <t>BODY</t>
    <phoneticPr fontId="2" type="noConversion"/>
  </si>
  <si>
    <t>AM0149A-K</t>
    <phoneticPr fontId="2" type="noConversion"/>
  </si>
  <si>
    <t>72P</t>
    <phoneticPr fontId="2" type="noConversion"/>
  </si>
  <si>
    <t>전일 ISSUE 사항(19일)</t>
    <phoneticPr fontId="2" type="noConversion"/>
  </si>
  <si>
    <t>SST</t>
    <phoneticPr fontId="2" type="noConversion"/>
  </si>
  <si>
    <t>SST</t>
    <phoneticPr fontId="2" type="noConversion"/>
  </si>
  <si>
    <t>LEAD GUIDE</t>
    <phoneticPr fontId="2" type="noConversion"/>
  </si>
  <si>
    <t>11</t>
    <phoneticPr fontId="2" type="noConversion"/>
  </si>
  <si>
    <t>KR6197-F841UA</t>
    <phoneticPr fontId="2" type="noConversion"/>
  </si>
  <si>
    <t>발주분양산-&gt;BURR정지</t>
    <phoneticPr fontId="2" type="noConversion"/>
  </si>
  <si>
    <t>4</t>
    <phoneticPr fontId="2" type="noConversion"/>
  </si>
  <si>
    <t>발주분양산</t>
    <phoneticPr fontId="2" type="noConversion"/>
  </si>
  <si>
    <t>수리후양산</t>
    <phoneticPr fontId="2" type="noConversion"/>
  </si>
  <si>
    <t>세척후양산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</si>
  <si>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</si>
  <si>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</si>
  <si>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</si>
  <si>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발주분양산-&gt;하측박힘정지</t>
    <phoneticPr fontId="2" type="noConversion"/>
  </si>
  <si>
    <t>SAMPLE 진행 사항(19일)</t>
    <phoneticPr fontId="2" type="noConversion"/>
  </si>
  <si>
    <t>BASE</t>
    <phoneticPr fontId="2" type="noConversion"/>
  </si>
  <si>
    <t>AMM0822A-KAB-R1</t>
    <phoneticPr fontId="2" type="noConversion"/>
  </si>
  <si>
    <t>SF2255</t>
    <phoneticPr fontId="2" type="noConversion"/>
  </si>
  <si>
    <t>수정</t>
    <phoneticPr fontId="2" type="noConversion"/>
  </si>
  <si>
    <t>당일 진행 사항(20일)</t>
    <phoneticPr fontId="2" type="noConversion"/>
  </si>
  <si>
    <t>BASE</t>
    <phoneticPr fontId="2" type="noConversion"/>
  </si>
  <si>
    <t>KR6197AB841CA</t>
    <phoneticPr fontId="2" type="noConversion"/>
  </si>
  <si>
    <t>수리후양산</t>
    <phoneticPr fontId="2" type="noConversion"/>
  </si>
  <si>
    <t>DI</t>
    <phoneticPr fontId="2" type="noConversion"/>
  </si>
  <si>
    <t>15</t>
    <phoneticPr fontId="2" type="noConversion"/>
  </si>
  <si>
    <t>72P</t>
    <phoneticPr fontId="2" type="noConversion"/>
  </si>
  <si>
    <t>발주분양산</t>
    <phoneticPr fontId="2" type="noConversion"/>
  </si>
  <si>
    <t>AMB0114E-JAA-R2</t>
    <phoneticPr fontId="2" type="noConversion"/>
  </si>
  <si>
    <t>MCS</t>
    <phoneticPr fontId="2" type="noConversion"/>
  </si>
  <si>
    <t>7</t>
    <phoneticPr fontId="2" type="noConversion"/>
  </si>
  <si>
    <t>BODY</t>
    <phoneticPr fontId="2" type="noConversion"/>
  </si>
  <si>
    <t>세척후양산</t>
    <phoneticPr fontId="2" type="noConversion"/>
  </si>
  <si>
    <t>금형 수리 내역(19일)</t>
    <phoneticPr fontId="2" type="noConversion"/>
  </si>
  <si>
    <t>AMB0114E-JAA-R2</t>
    <phoneticPr fontId="2" type="noConversion"/>
  </si>
  <si>
    <t xml:space="preserve"> 세척</t>
    <phoneticPr fontId="2" type="noConversion"/>
  </si>
  <si>
    <t>설비 점검 내역(19일)</t>
    <phoneticPr fontId="2" type="noConversion"/>
  </si>
  <si>
    <r>
      <t>2017년 07월 20일 일일생산현황</t>
    </r>
    <r>
      <rPr>
        <b/>
        <sz val="14"/>
        <color indexed="8"/>
        <rFont val="굴림체"/>
        <family val="3"/>
        <charset val="129"/>
      </rPr>
      <t>(21일(금) 09시 현재)</t>
    </r>
    <phoneticPr fontId="2" type="noConversion"/>
  </si>
  <si>
    <t>ADAPTER</t>
    <phoneticPr fontId="2" type="noConversion"/>
  </si>
  <si>
    <t>KR6182-C624TB</t>
    <phoneticPr fontId="2" type="noConversion"/>
  </si>
  <si>
    <t>JD4901</t>
    <phoneticPr fontId="2" type="noConversion"/>
  </si>
  <si>
    <t>ACTUATOR</t>
    <phoneticPr fontId="2" type="noConversion"/>
  </si>
  <si>
    <t>AMB1901D-JAA-R2</t>
    <phoneticPr fontId="2" type="noConversion"/>
  </si>
  <si>
    <t>BASE</t>
    <phoneticPr fontId="2" type="noConversion"/>
  </si>
  <si>
    <t>KR6182-B624CB</t>
    <phoneticPr fontId="2" type="noConversion"/>
  </si>
  <si>
    <t>SGF2033</t>
    <phoneticPr fontId="2" type="noConversion"/>
  </si>
  <si>
    <t>전일 ISSUE 사항(20일)</t>
    <phoneticPr fontId="2" type="noConversion"/>
  </si>
  <si>
    <t>SST</t>
    <phoneticPr fontId="2" type="noConversion"/>
  </si>
  <si>
    <t>3</t>
    <phoneticPr fontId="2" type="noConversion"/>
  </si>
  <si>
    <t>STOPPER</t>
    <phoneticPr fontId="2" type="noConversion"/>
  </si>
  <si>
    <t>KR6197-D841PB</t>
    <phoneticPr fontId="2" type="noConversion"/>
  </si>
  <si>
    <t>코아파손정지</t>
    <phoneticPr fontId="2" type="noConversion"/>
  </si>
  <si>
    <t>2</t>
    <phoneticPr fontId="2" type="noConversion"/>
  </si>
  <si>
    <t>COVER</t>
    <phoneticPr fontId="2" type="noConversion"/>
  </si>
  <si>
    <t>7</t>
    <phoneticPr fontId="2" type="noConversion"/>
  </si>
  <si>
    <t>AMB0114E-JAA-R2</t>
    <phoneticPr fontId="2" type="noConversion"/>
  </si>
  <si>
    <t>세척후양산</t>
    <phoneticPr fontId="2" type="noConversion"/>
  </si>
  <si>
    <t>MCS</t>
    <phoneticPr fontId="2" type="noConversion"/>
  </si>
  <si>
    <t>ACTUATOR</t>
    <phoneticPr fontId="2" type="noConversion"/>
  </si>
  <si>
    <t>AMB01901D-JAA-R2</t>
    <phoneticPr fontId="2" type="noConversion"/>
  </si>
  <si>
    <t>발주분양산</t>
    <phoneticPr fontId="2" type="noConversion"/>
  </si>
  <si>
    <t>발주분양산-&gt;상측뜯김수리 3회진행</t>
    <phoneticPr fontId="2" type="noConversion"/>
  </si>
  <si>
    <t>8</t>
    <phoneticPr fontId="2" type="noConversion"/>
  </si>
  <si>
    <t>SLIDER</t>
    <phoneticPr fontId="2" type="noConversion"/>
  </si>
  <si>
    <t>KR6182-A308WA</t>
    <phoneticPr fontId="2" type="noConversion"/>
  </si>
  <si>
    <t>발주분양산-&gt;뜯김정지</t>
    <phoneticPr fontId="2" type="noConversion"/>
  </si>
  <si>
    <t>당일 진행 사항(21일)</t>
    <phoneticPr fontId="2" type="noConversion"/>
  </si>
  <si>
    <t>SLIDER</t>
    <phoneticPr fontId="2" type="noConversion"/>
  </si>
  <si>
    <t>KR6182-A308WA</t>
    <phoneticPr fontId="2" type="noConversion"/>
  </si>
  <si>
    <t>4</t>
    <phoneticPr fontId="2" type="noConversion"/>
  </si>
  <si>
    <t>STOPPER</t>
    <phoneticPr fontId="2" type="noConversion"/>
  </si>
  <si>
    <t>KR6182-D624UA</t>
    <phoneticPr fontId="2" type="noConversion"/>
  </si>
  <si>
    <t>발주분양산</t>
    <phoneticPr fontId="2" type="noConversion"/>
  </si>
  <si>
    <t>SAMPLE 진행 사항(20일)</t>
    <phoneticPr fontId="2" type="noConversion"/>
  </si>
  <si>
    <t>PA9T,S475,SF2255</t>
    <phoneticPr fontId="2" type="noConversion"/>
  </si>
  <si>
    <t>원재료</t>
    <phoneticPr fontId="2" type="noConversion"/>
  </si>
  <si>
    <t>각 50EA</t>
    <phoneticPr fontId="2" type="noConversion"/>
  </si>
  <si>
    <t>KR6197BGF254QA</t>
    <phoneticPr fontId="2" type="noConversion"/>
  </si>
  <si>
    <t>KR6197AGH254QA</t>
    <phoneticPr fontId="2" type="noConversion"/>
  </si>
  <si>
    <t>SF2255 I/V</t>
    <phoneticPr fontId="2" type="noConversion"/>
  </si>
  <si>
    <t>수정</t>
    <phoneticPr fontId="2" type="noConversion"/>
  </si>
  <si>
    <t>치수NG 2회진행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</si>
  <si>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</si>
  <si>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</si>
  <si>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2017년 07월 21일 일일생산현황</t>
    </r>
    <r>
      <rPr>
        <b/>
        <sz val="14"/>
        <color indexed="8"/>
        <rFont val="굴림체"/>
        <family val="3"/>
        <charset val="129"/>
      </rPr>
      <t>(22일(토) 09시 현재)</t>
    </r>
    <phoneticPr fontId="2" type="noConversion"/>
  </si>
  <si>
    <t>COVER</t>
    <phoneticPr fontId="2" type="noConversion"/>
  </si>
  <si>
    <t>KR6197-C841TA</t>
    <phoneticPr fontId="2" type="noConversion"/>
  </si>
  <si>
    <t>JD4901</t>
    <phoneticPr fontId="2" type="noConversion"/>
  </si>
  <si>
    <t>SST</t>
    <phoneticPr fontId="2" type="noConversion"/>
  </si>
  <si>
    <t>STOPPER</t>
    <phoneticPr fontId="2" type="noConversion"/>
  </si>
  <si>
    <t>KR6182-D642UA</t>
    <phoneticPr fontId="2" type="noConversion"/>
  </si>
  <si>
    <t>HICON</t>
    <phoneticPr fontId="2" type="noConversion"/>
  </si>
  <si>
    <t>SLIDER</t>
    <phoneticPr fontId="2" type="noConversion"/>
  </si>
  <si>
    <t>HSB65-M002A1</t>
    <phoneticPr fontId="2" type="noConversion"/>
  </si>
  <si>
    <t>SLIDER</t>
    <phoneticPr fontId="2" type="noConversion"/>
  </si>
  <si>
    <t>KR6182-A308WA</t>
    <phoneticPr fontId="2" type="noConversion"/>
  </si>
  <si>
    <t>SGF2030</t>
    <phoneticPr fontId="2" type="noConversion"/>
  </si>
  <si>
    <t>LEAD GUIDE</t>
    <phoneticPr fontId="2" type="noConversion"/>
  </si>
  <si>
    <t>KR6197-F841UA</t>
    <phoneticPr fontId="2" type="noConversion"/>
  </si>
  <si>
    <t>전일 ISSUE 사항(21일)</t>
    <phoneticPr fontId="2" type="noConversion"/>
  </si>
  <si>
    <t>발주분양산</t>
    <phoneticPr fontId="2" type="noConversion"/>
  </si>
  <si>
    <t>4</t>
    <phoneticPr fontId="2" type="noConversion"/>
  </si>
  <si>
    <t>STOPPER</t>
    <phoneticPr fontId="2" type="noConversion"/>
  </si>
  <si>
    <t>KR6182-D624UA</t>
    <phoneticPr fontId="2" type="noConversion"/>
  </si>
  <si>
    <t>발주분양산-&gt;하측박힘정지</t>
    <phoneticPr fontId="2" type="noConversion"/>
  </si>
  <si>
    <t>BURR수리후양산</t>
    <phoneticPr fontId="2" type="noConversion"/>
  </si>
  <si>
    <t>수리후양산</t>
    <phoneticPr fontId="2" type="noConversion"/>
  </si>
  <si>
    <t>HICON</t>
    <phoneticPr fontId="2" type="noConversion"/>
  </si>
  <si>
    <t>5</t>
    <phoneticPr fontId="2" type="noConversion"/>
  </si>
  <si>
    <t>승인후양산-&gt;코아파손정지</t>
    <phoneticPr fontId="2" type="noConversion"/>
  </si>
  <si>
    <t>당일 진행 사항(24일)</t>
    <phoneticPr fontId="2" type="noConversion"/>
  </si>
  <si>
    <t>11</t>
    <phoneticPr fontId="2" type="noConversion"/>
  </si>
  <si>
    <t>LEAD GUIDE</t>
    <phoneticPr fontId="2" type="noConversion"/>
  </si>
  <si>
    <t>수리후양산</t>
    <phoneticPr fontId="2" type="noConversion"/>
  </si>
  <si>
    <t>MCS</t>
    <phoneticPr fontId="2" type="noConversion"/>
  </si>
  <si>
    <t>6</t>
    <phoneticPr fontId="2" type="noConversion"/>
  </si>
  <si>
    <t>ACTUATOR</t>
    <phoneticPr fontId="2" type="noConversion"/>
  </si>
  <si>
    <t>AMB1904D-KAA-R2</t>
    <phoneticPr fontId="2" type="noConversion"/>
  </si>
  <si>
    <t>원재료 입고후양산</t>
    <phoneticPr fontId="2" type="noConversion"/>
  </si>
  <si>
    <t>SLIDER</t>
    <phoneticPr fontId="2" type="noConversion"/>
  </si>
  <si>
    <t>HSB65-M002A1</t>
    <phoneticPr fontId="2" type="noConversion"/>
  </si>
  <si>
    <t>SAMPLE 진행 사항(21일)</t>
    <phoneticPr fontId="2" type="noConversion"/>
  </si>
  <si>
    <t>요청</t>
    <phoneticPr fontId="2" type="noConversion"/>
  </si>
  <si>
    <t>HICON</t>
    <phoneticPr fontId="2" type="noConversion"/>
  </si>
  <si>
    <t>SF2255 I/V</t>
    <phoneticPr fontId="2" type="noConversion"/>
  </si>
  <si>
    <t>금형 수리 내역(21일)</t>
    <phoneticPr fontId="2" type="noConversion"/>
  </si>
  <si>
    <t>KR6182-D624UA</t>
    <phoneticPr fontId="2" type="noConversion"/>
  </si>
  <si>
    <t xml:space="preserve"> 하측박힘</t>
    <phoneticPr fontId="2" type="noConversion"/>
  </si>
  <si>
    <t>HICON</t>
    <phoneticPr fontId="2" type="noConversion"/>
  </si>
  <si>
    <t xml:space="preserve"> 코아파손</t>
    <phoneticPr fontId="2" type="noConversion"/>
  </si>
  <si>
    <t>설비 점검 내역(21일)</t>
    <phoneticPr fontId="2" type="noConversion"/>
  </si>
  <si>
    <r>
      <t>2017년 07월 24일 일일생산현황</t>
    </r>
    <r>
      <rPr>
        <b/>
        <sz val="14"/>
        <color indexed="8"/>
        <rFont val="굴림체"/>
        <family val="3"/>
        <charset val="129"/>
      </rPr>
      <t>(25일(화) 09시 현재)</t>
    </r>
    <phoneticPr fontId="2" type="noConversion"/>
  </si>
  <si>
    <t>ACTUATOR</t>
    <phoneticPr fontId="2" type="noConversion"/>
  </si>
  <si>
    <t>AMB1904D-KAA-R2</t>
    <phoneticPr fontId="2" type="noConversion"/>
  </si>
  <si>
    <t>AMM0822A-KAB-R1</t>
    <phoneticPr fontId="2" type="noConversion"/>
  </si>
  <si>
    <t>AYE</t>
    <phoneticPr fontId="2" type="noConversion"/>
  </si>
  <si>
    <t>ADAPTER</t>
    <phoneticPr fontId="2" type="noConversion"/>
  </si>
  <si>
    <t>NP504-556-126#LB</t>
    <phoneticPr fontId="2" type="noConversion"/>
  </si>
  <si>
    <t>SGP2030R N/P</t>
    <phoneticPr fontId="2" type="noConversion"/>
  </si>
  <si>
    <t>전일 ISSUE 사항(24일)</t>
    <phoneticPr fontId="2" type="noConversion"/>
  </si>
  <si>
    <t>MCS</t>
    <phoneticPr fontId="2" type="noConversion"/>
  </si>
  <si>
    <t>BURR정지</t>
    <phoneticPr fontId="2" type="noConversion"/>
  </si>
  <si>
    <t>발주분양산-&gt;코아파손정지</t>
    <phoneticPr fontId="2" type="noConversion"/>
  </si>
  <si>
    <t>수리후양산</t>
    <phoneticPr fontId="2" type="noConversion"/>
  </si>
  <si>
    <t>발주분양산-&gt;수정정지</t>
    <phoneticPr fontId="2" type="noConversion"/>
  </si>
  <si>
    <t>세척-&gt;뜯김정지</t>
    <phoneticPr fontId="2" type="noConversion"/>
  </si>
  <si>
    <t>당일 진행 사항(25일)</t>
    <phoneticPr fontId="2" type="noConversion"/>
  </si>
  <si>
    <t>F/ADAPTER</t>
    <phoneticPr fontId="2" type="noConversion"/>
  </si>
  <si>
    <t>AMB2071A-KAA-R2</t>
    <phoneticPr fontId="2" type="noConversion"/>
  </si>
  <si>
    <t>발주분양산</t>
    <phoneticPr fontId="2" type="noConversion"/>
  </si>
  <si>
    <t>BASE</t>
    <phoneticPr fontId="2" type="noConversion"/>
  </si>
  <si>
    <t>HSB65-M001A1</t>
    <phoneticPr fontId="2" type="noConversion"/>
  </si>
  <si>
    <t>SLIDER</t>
    <phoneticPr fontId="2" type="noConversion"/>
  </si>
  <si>
    <t>KR6182-A308WA</t>
    <phoneticPr fontId="2" type="noConversion"/>
  </si>
  <si>
    <t>BASE</t>
    <phoneticPr fontId="2" type="noConversion"/>
  </si>
  <si>
    <t>수리후양산-&gt;코아파손정지</t>
    <phoneticPr fontId="2" type="noConversion"/>
  </si>
  <si>
    <t>LEAD GUIDE</t>
    <phoneticPr fontId="2" type="noConversion"/>
  </si>
  <si>
    <t>KR6197-F841UA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</si>
  <si>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</si>
  <si>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</si>
  <si>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</si>
  <si>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2017년 07월 25일 일일생산현황</t>
    </r>
    <r>
      <rPr>
        <b/>
        <sz val="14"/>
        <color indexed="8"/>
        <rFont val="굴림체"/>
        <family val="3"/>
        <charset val="129"/>
      </rPr>
      <t>(26일(수) 09시 현재)</t>
    </r>
    <phoneticPr fontId="2" type="noConversion"/>
  </si>
  <si>
    <t>F/ADAPTER</t>
    <phoneticPr fontId="2" type="noConversion"/>
  </si>
  <si>
    <t>AMB2071A-KAA-R2</t>
    <phoneticPr fontId="2" type="noConversion"/>
  </si>
  <si>
    <t>HICON</t>
    <phoneticPr fontId="2" type="noConversion"/>
  </si>
  <si>
    <t>BASE</t>
    <phoneticPr fontId="2" type="noConversion"/>
  </si>
  <si>
    <t>HSB65-M001A1</t>
    <phoneticPr fontId="2" type="noConversion"/>
  </si>
  <si>
    <t>SF2255</t>
    <phoneticPr fontId="2" type="noConversion"/>
  </si>
  <si>
    <t>전일 ISSUE 사항(25일)</t>
    <phoneticPr fontId="2" type="noConversion"/>
  </si>
  <si>
    <t>수리후양산</t>
    <phoneticPr fontId="2" type="noConversion"/>
  </si>
  <si>
    <t>수리후양산-&gt;BURR 3회진행</t>
    <phoneticPr fontId="2" type="noConversion"/>
  </si>
  <si>
    <t>13</t>
    <phoneticPr fontId="2" type="noConversion"/>
  </si>
  <si>
    <t>발주분양산</t>
    <phoneticPr fontId="2" type="noConversion"/>
  </si>
  <si>
    <t>당일 진행 사항(26일)</t>
    <phoneticPr fontId="2" type="noConversion"/>
  </si>
  <si>
    <t>승인후양산</t>
    <phoneticPr fontId="2" type="noConversion"/>
  </si>
  <si>
    <t>F/ADAPTER</t>
    <phoneticPr fontId="2" type="noConversion"/>
  </si>
  <si>
    <t>세척후양산</t>
    <phoneticPr fontId="2" type="noConversion"/>
  </si>
  <si>
    <t>14</t>
    <phoneticPr fontId="2" type="noConversion"/>
  </si>
  <si>
    <t>KR6197AB841CA</t>
    <phoneticPr fontId="2" type="noConversion"/>
  </si>
  <si>
    <t>발주분양산</t>
    <phoneticPr fontId="2" type="noConversion"/>
  </si>
  <si>
    <t>ACTUATOR</t>
    <phoneticPr fontId="2" type="noConversion"/>
  </si>
  <si>
    <t>AMB1901D-JAA-R2</t>
    <phoneticPr fontId="2" type="noConversion"/>
  </si>
  <si>
    <t>SAMPLE 진행 사항(25일)</t>
    <phoneticPr fontId="2" type="noConversion"/>
  </si>
  <si>
    <t>케미텍</t>
    <phoneticPr fontId="2" type="noConversion"/>
  </si>
  <si>
    <t>Z280ASSY</t>
    <phoneticPr fontId="2" type="noConversion"/>
  </si>
  <si>
    <t>Z280-F40</t>
    <phoneticPr fontId="2" type="noConversion"/>
  </si>
  <si>
    <t>E473i</t>
    <phoneticPr fontId="2" type="noConversion"/>
  </si>
  <si>
    <t>수정</t>
    <phoneticPr fontId="2" type="noConversion"/>
  </si>
  <si>
    <t>케미텍</t>
    <phoneticPr fontId="2" type="noConversion"/>
  </si>
  <si>
    <t>Z280FMFD</t>
    <phoneticPr fontId="2" type="noConversion"/>
  </si>
  <si>
    <t>Z280-F20</t>
    <phoneticPr fontId="2" type="noConversion"/>
  </si>
  <si>
    <t>E473i</t>
    <phoneticPr fontId="2" type="noConversion"/>
  </si>
  <si>
    <t>STOPPER</t>
    <phoneticPr fontId="2" type="noConversion"/>
  </si>
  <si>
    <t>KR6182-D624UA</t>
    <phoneticPr fontId="2" type="noConversion"/>
  </si>
  <si>
    <t>SF2255</t>
    <phoneticPr fontId="2" type="noConversion"/>
  </si>
  <si>
    <t>원재료</t>
    <phoneticPr fontId="2" type="noConversion"/>
  </si>
  <si>
    <t>HICON</t>
    <phoneticPr fontId="2" type="noConversion"/>
  </si>
  <si>
    <t>SLIDER</t>
    <phoneticPr fontId="2" type="noConversion"/>
  </si>
  <si>
    <t>HSC65-M052A1</t>
    <phoneticPr fontId="2" type="noConversion"/>
  </si>
  <si>
    <t>SGF2030 N/P</t>
    <phoneticPr fontId="2" type="noConversion"/>
  </si>
  <si>
    <t>1CAV만진행,코아파손2회진행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</si>
  <si>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</si>
  <si>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</si>
  <si>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2017년 07월 26일 일일생산현황</t>
    </r>
    <r>
      <rPr>
        <b/>
        <sz val="14"/>
        <color indexed="8"/>
        <rFont val="굴림체"/>
        <family val="3"/>
        <charset val="129"/>
      </rPr>
      <t>(27일(목) 09시 현재)</t>
    </r>
    <phoneticPr fontId="2" type="noConversion"/>
  </si>
  <si>
    <t>KR6182-D642PA</t>
    <phoneticPr fontId="2" type="noConversion"/>
  </si>
  <si>
    <t>SF2255</t>
    <phoneticPr fontId="2" type="noConversion"/>
  </si>
  <si>
    <t>KR6197AB841CA</t>
    <phoneticPr fontId="2" type="noConversion"/>
  </si>
  <si>
    <t>전일 ISSUE 사항(26일)</t>
    <phoneticPr fontId="2" type="noConversion"/>
  </si>
  <si>
    <t>STOPPER</t>
    <phoneticPr fontId="2" type="noConversion"/>
  </si>
  <si>
    <t>KR6182-D624PA</t>
    <phoneticPr fontId="2" type="noConversion"/>
  </si>
  <si>
    <t>원재료변경</t>
    <phoneticPr fontId="2" type="noConversion"/>
  </si>
  <si>
    <t>수리후양산</t>
    <phoneticPr fontId="2" type="noConversion"/>
  </si>
  <si>
    <t>11</t>
    <phoneticPr fontId="2" type="noConversion"/>
  </si>
  <si>
    <t>L/G</t>
    <phoneticPr fontId="2" type="noConversion"/>
  </si>
  <si>
    <t>KR6197-F841UA</t>
    <phoneticPr fontId="2" type="noConversion"/>
  </si>
  <si>
    <t>코아파손정지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</si>
  <si>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</si>
  <si>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</si>
  <si>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</si>
  <si>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세척후양산</t>
    <phoneticPr fontId="2" type="noConversion"/>
  </si>
  <si>
    <t>당일 진행 사항(27일)</t>
    <phoneticPr fontId="2" type="noConversion"/>
  </si>
  <si>
    <t>KR6182-D624PA</t>
    <phoneticPr fontId="2" type="noConversion"/>
  </si>
  <si>
    <t>발주분양산</t>
    <phoneticPr fontId="2" type="noConversion"/>
  </si>
  <si>
    <t>92-178V-LC949B</t>
    <phoneticPr fontId="2" type="noConversion"/>
  </si>
  <si>
    <t>OKINS</t>
    <phoneticPr fontId="2" type="noConversion"/>
  </si>
  <si>
    <t>LATCH</t>
    <phoneticPr fontId="2" type="noConversion"/>
  </si>
  <si>
    <t>K-JR01918-B484BWA</t>
    <phoneticPr fontId="2" type="noConversion"/>
  </si>
  <si>
    <t>BASE</t>
    <phoneticPr fontId="2" type="noConversion"/>
  </si>
  <si>
    <t>92-178V-AD949C</t>
    <phoneticPr fontId="2" type="noConversion"/>
  </si>
  <si>
    <t>12</t>
    <phoneticPr fontId="2" type="noConversion"/>
  </si>
  <si>
    <t>ADAPTER</t>
    <phoneticPr fontId="2" type="noConversion"/>
  </si>
  <si>
    <t>SAMPLE 진행 사항(26일)</t>
    <phoneticPr fontId="2" type="noConversion"/>
  </si>
  <si>
    <t>ADAPTER</t>
    <phoneticPr fontId="2" type="noConversion"/>
  </si>
  <si>
    <t>KR6197BGF254QA</t>
    <phoneticPr fontId="2" type="noConversion"/>
  </si>
  <si>
    <t>SF2255 I/V</t>
    <phoneticPr fontId="2" type="noConversion"/>
  </si>
  <si>
    <t>수정</t>
    <phoneticPr fontId="2" type="noConversion"/>
  </si>
  <si>
    <t>KR6197AGH254QA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</si>
  <si>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</si>
  <si>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</si>
  <si>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t>수리완료</t>
    <phoneticPr fontId="2" type="noConversion"/>
  </si>
  <si>
    <r>
      <t>2017년 07월 27일 일일생산현황</t>
    </r>
    <r>
      <rPr>
        <b/>
        <sz val="14"/>
        <color indexed="8"/>
        <rFont val="굴림체"/>
        <family val="3"/>
        <charset val="129"/>
      </rPr>
      <t>(28일(금) 09시 현재)</t>
    </r>
    <phoneticPr fontId="2" type="noConversion"/>
  </si>
  <si>
    <t>92-178V-LC949B</t>
    <phoneticPr fontId="2" type="noConversion"/>
  </si>
  <si>
    <t>K-JR01918-B484BWA</t>
    <phoneticPr fontId="2" type="noConversion"/>
  </si>
  <si>
    <t>AAM0818C-KAB-R3</t>
    <phoneticPr fontId="2" type="noConversion"/>
  </si>
  <si>
    <t>PA9T</t>
    <phoneticPr fontId="2" type="noConversion"/>
  </si>
  <si>
    <t>92-178V-AD949C</t>
    <phoneticPr fontId="2" type="noConversion"/>
  </si>
  <si>
    <t>SF2255 I/V</t>
    <phoneticPr fontId="2" type="noConversion"/>
  </si>
  <si>
    <t>전일 ISSUE 사항(27일)</t>
    <phoneticPr fontId="2" type="noConversion"/>
  </si>
  <si>
    <t>승인후양산</t>
    <phoneticPr fontId="2" type="noConversion"/>
  </si>
  <si>
    <t>OKINS</t>
    <phoneticPr fontId="2" type="noConversion"/>
  </si>
  <si>
    <t>92-178V-LC949B</t>
    <phoneticPr fontId="2" type="noConversion"/>
  </si>
  <si>
    <t>12</t>
    <phoneticPr fontId="2" type="noConversion"/>
  </si>
  <si>
    <t>ADAPTER</t>
    <phoneticPr fontId="2" type="noConversion"/>
  </si>
  <si>
    <t>SST</t>
    <phoneticPr fontId="2" type="noConversion"/>
  </si>
  <si>
    <t>8</t>
    <phoneticPr fontId="2" type="noConversion"/>
  </si>
  <si>
    <t>BASE</t>
    <phoneticPr fontId="2" type="noConversion"/>
  </si>
  <si>
    <t>K-JR01918-B484BWA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</si>
  <si>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</si>
  <si>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</si>
  <si>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</si>
  <si>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당일 진행 사항(28일)</t>
    <phoneticPr fontId="2" type="noConversion"/>
  </si>
  <si>
    <t>KR6170AF1440UA</t>
    <phoneticPr fontId="2" type="noConversion"/>
  </si>
  <si>
    <t>발주분양산</t>
    <phoneticPr fontId="2" type="noConversion"/>
  </si>
  <si>
    <t>92-178V-B949C</t>
    <phoneticPr fontId="2" type="noConversion"/>
  </si>
  <si>
    <t>SAMPLE 진행 사항(27일)</t>
    <phoneticPr fontId="2" type="noConversion"/>
  </si>
  <si>
    <t>KR6197AGF254QA</t>
    <phoneticPr fontId="2" type="noConversion"/>
  </si>
  <si>
    <t>내부검토용</t>
    <phoneticPr fontId="2" type="noConversion"/>
  </si>
  <si>
    <t>AYE</t>
    <phoneticPr fontId="2" type="noConversion"/>
  </si>
  <si>
    <t>NP620-464-001#LB-1</t>
    <phoneticPr fontId="2" type="noConversion"/>
  </si>
  <si>
    <t>SGP2030R N/P</t>
    <phoneticPr fontId="2" type="noConversion"/>
  </si>
  <si>
    <t>BURR</t>
    <phoneticPr fontId="2" type="noConversion"/>
  </si>
  <si>
    <t>KR6182-D624PA</t>
    <phoneticPr fontId="2" type="noConversion"/>
  </si>
  <si>
    <t>SF2255</t>
    <phoneticPr fontId="2" type="noConversion"/>
  </si>
  <si>
    <t>SPACER A,B</t>
    <phoneticPr fontId="2" type="noConversion"/>
  </si>
  <si>
    <t>NP620-464-001#SP-A,B</t>
    <phoneticPr fontId="2" type="noConversion"/>
  </si>
  <si>
    <t>SGP2030R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</si>
  <si>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</si>
  <si>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</si>
  <si>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2017년 07월 28일 일일생산현황</t>
    </r>
    <r>
      <rPr>
        <b/>
        <sz val="14"/>
        <color indexed="8"/>
        <rFont val="굴림체"/>
        <family val="3"/>
        <charset val="129"/>
      </rPr>
      <t>(29일(토) 09시 현재)</t>
    </r>
    <phoneticPr fontId="2" type="noConversion"/>
  </si>
  <si>
    <t>92-178V-B949C</t>
    <phoneticPr fontId="2" type="noConversion"/>
  </si>
  <si>
    <t>SF2255</t>
    <phoneticPr fontId="2" type="noConversion"/>
  </si>
  <si>
    <t>LEAD GUIDE</t>
    <phoneticPr fontId="2" type="noConversion"/>
  </si>
  <si>
    <t>KR6170AF1440UA</t>
    <phoneticPr fontId="2" type="noConversion"/>
  </si>
  <si>
    <t>전일 ISSUE 사항(28일)</t>
    <phoneticPr fontId="2" type="noConversion"/>
  </si>
  <si>
    <t>92-178V-B949C</t>
    <phoneticPr fontId="2" type="noConversion"/>
  </si>
  <si>
    <t>SST</t>
    <phoneticPr fontId="2" type="noConversion"/>
  </si>
  <si>
    <t>수리후양산-&gt;2회진행</t>
    <phoneticPr fontId="2" type="noConversion"/>
  </si>
  <si>
    <t>발주분양산-&gt;3회진행</t>
    <phoneticPr fontId="2" type="noConversion"/>
  </si>
  <si>
    <t>14</t>
    <phoneticPr fontId="2" type="noConversion"/>
  </si>
  <si>
    <t>당일 진행 사항(31일)</t>
    <phoneticPr fontId="2" type="noConversion"/>
  </si>
  <si>
    <t>STOPPER</t>
    <phoneticPr fontId="2" type="noConversion"/>
  </si>
  <si>
    <t>KR6197-D841UB</t>
    <phoneticPr fontId="2" type="noConversion"/>
  </si>
  <si>
    <t>세척후양산</t>
    <phoneticPr fontId="2" type="noConversion"/>
  </si>
  <si>
    <t>KR6710-B016PJA</t>
    <phoneticPr fontId="2" type="noConversion"/>
  </si>
  <si>
    <t>SLIDER</t>
    <phoneticPr fontId="2" type="noConversion"/>
  </si>
  <si>
    <t>SAMPLE 진행 사항(28일)</t>
    <phoneticPr fontId="2" type="noConversion"/>
  </si>
  <si>
    <t>COVER</t>
    <phoneticPr fontId="2" type="noConversion"/>
  </si>
  <si>
    <t>NP620-464-001#CV</t>
    <phoneticPr fontId="2" type="noConversion"/>
  </si>
  <si>
    <t>요청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</si>
  <si>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</si>
  <si>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</si>
  <si>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t>BASE</t>
    <phoneticPr fontId="2" type="noConversion"/>
  </si>
  <si>
    <t>KR6170-B016PJA</t>
    <phoneticPr fontId="2" type="noConversion"/>
  </si>
  <si>
    <t>E488i</t>
    <phoneticPr fontId="2" type="noConversion"/>
  </si>
  <si>
    <t>KR6182-A308WA</t>
    <phoneticPr fontId="2" type="noConversion"/>
  </si>
  <si>
    <t>SGF2030</t>
    <phoneticPr fontId="2" type="noConversion"/>
  </si>
  <si>
    <t>AMM0863A-KAA-R2</t>
    <phoneticPr fontId="2" type="noConversion"/>
  </si>
  <si>
    <t>BLUE</t>
    <phoneticPr fontId="2" type="noConversion"/>
  </si>
  <si>
    <r>
      <t>2017년 07월 31일 일일생산현황</t>
    </r>
    <r>
      <rPr>
        <b/>
        <sz val="14"/>
        <color indexed="8"/>
        <rFont val="굴림체"/>
        <family val="3"/>
        <charset val="129"/>
      </rPr>
      <t>(01일(화) 09시 현재)</t>
    </r>
    <phoneticPr fontId="2" type="noConversion"/>
  </si>
  <si>
    <t>전일 ISSUE 사항(31일)</t>
    <phoneticPr fontId="2" type="noConversion"/>
  </si>
  <si>
    <t>KR6710-B016PJA</t>
    <phoneticPr fontId="2" type="noConversion"/>
  </si>
  <si>
    <t>SST</t>
    <phoneticPr fontId="2" type="noConversion"/>
  </si>
  <si>
    <t>발주분양산-&gt;코아파손정지</t>
    <phoneticPr fontId="2" type="noConversion"/>
  </si>
  <si>
    <t>MCS</t>
    <phoneticPr fontId="2" type="noConversion"/>
  </si>
  <si>
    <t>세척후양산</t>
    <phoneticPr fontId="2" type="noConversion"/>
  </si>
  <si>
    <t>SLIDER</t>
    <phoneticPr fontId="2" type="noConversion"/>
  </si>
  <si>
    <t>발주분양산</t>
    <phoneticPr fontId="2" type="noConversion"/>
  </si>
  <si>
    <t>AMM0863A-KAA-R2</t>
    <phoneticPr fontId="2" type="noConversion"/>
  </si>
  <si>
    <t>발주분양산-&gt;코아파손2회정지</t>
    <phoneticPr fontId="2" type="noConversion"/>
  </si>
  <si>
    <t>4</t>
    <phoneticPr fontId="2" type="noConversion"/>
  </si>
  <si>
    <t>수리후양산</t>
    <phoneticPr fontId="2" type="noConversion"/>
  </si>
  <si>
    <t>AMM0863A-KAA-R2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</si>
  <si>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</si>
  <si>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</si>
  <si>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</si>
  <si>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당일 진행 사항(01일)</t>
    <phoneticPr fontId="2" type="noConversion"/>
  </si>
  <si>
    <t>SAMPLE 진행 사항(31일)</t>
    <phoneticPr fontId="2" type="noConversion"/>
  </si>
  <si>
    <t>NP620-464-001#LB</t>
    <phoneticPr fontId="2" type="noConversion"/>
  </si>
  <si>
    <t>ADAPTER</t>
    <phoneticPr fontId="2" type="noConversion"/>
  </si>
  <si>
    <t>상측박힘정지</t>
    <phoneticPr fontId="2" type="noConversion"/>
  </si>
  <si>
    <t>AMB1921B-KAA-R1</t>
    <phoneticPr fontId="2" type="noConversion"/>
  </si>
  <si>
    <t>STOPPER</t>
    <phoneticPr fontId="2" type="noConversion"/>
  </si>
  <si>
    <t>ACTUATOR</t>
    <phoneticPr fontId="2" type="noConversion"/>
  </si>
  <si>
    <t>SF2255</t>
    <phoneticPr fontId="2" type="noConversion"/>
  </si>
  <si>
    <t>SF2255</t>
    <phoneticPr fontId="2" type="noConversion"/>
  </si>
  <si>
    <t>SGF2050 N/P</t>
    <phoneticPr fontId="2" type="noConversion"/>
  </si>
  <si>
    <t>수정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</si>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</sst>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9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07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856256"/>
        <c:axId val="50620640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856256"/>
        <c:axId val="506206400"/>
      </c:lineChart>
      <c:catAx>
        <c:axId val="533856256"/>
        <c:scaling>
          <c:orientation val="minMax"/>
        </c:scaling>
        <c:delete val="0"/>
        <c:axPos val="b"/>
        <c:majorTickMark val="out"/>
        <c:minorTickMark val="none"/>
        <c:tickLblPos val="nextTo"/>
        <c:crossAx val="506206400"/>
        <c:crosses val="autoZero"/>
        <c:auto val="1"/>
        <c:lblAlgn val="ctr"/>
        <c:lblOffset val="100"/>
        <c:noMultiLvlLbl val="0"/>
      </c:catAx>
      <c:valAx>
        <c:axId val="506206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3385625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07</a:t>
            </a:r>
            <a:r>
              <a:rPr lang="ko-KR" altLang="en-US"/>
              <a:t>월 호기별 가동율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0.31420760304467288</c:v>
                </c:pt>
                <c:pt idx="2">
                  <c:v>0.56906269083410643</c:v>
                </c:pt>
                <c:pt idx="3">
                  <c:v>0.25097326893781985</c:v>
                </c:pt>
                <c:pt idx="4">
                  <c:v>0.16890489500318639</c:v>
                </c:pt>
                <c:pt idx="5">
                  <c:v>0.17586013120043986</c:v>
                </c:pt>
                <c:pt idx="6">
                  <c:v>0.57453911138817404</c:v>
                </c:pt>
                <c:pt idx="7">
                  <c:v>0.47528414045330647</c:v>
                </c:pt>
                <c:pt idx="8">
                  <c:v>0.18767848402839754</c:v>
                </c:pt>
                <c:pt idx="9">
                  <c:v>0.21882727882960609</c:v>
                </c:pt>
                <c:pt idx="10">
                  <c:v>0.37072134659926403</c:v>
                </c:pt>
                <c:pt idx="11">
                  <c:v>2.4138462894412127E-2</c:v>
                </c:pt>
                <c:pt idx="12">
                  <c:v>0.57846729652802609</c:v>
                </c:pt>
                <c:pt idx="13">
                  <c:v>0.52329534098888764</c:v>
                </c:pt>
                <c:pt idx="14">
                  <c:v>0.10751685389004674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917696"/>
        <c:axId val="513794624"/>
      </c:barChart>
      <c:catAx>
        <c:axId val="533917696"/>
        <c:scaling>
          <c:orientation val="minMax"/>
        </c:scaling>
        <c:delete val="0"/>
        <c:axPos val="b"/>
        <c:majorTickMark val="out"/>
        <c:minorTickMark val="none"/>
        <c:tickLblPos val="nextTo"/>
        <c:crossAx val="513794624"/>
        <c:crosses val="autoZero"/>
        <c:auto val="1"/>
        <c:lblAlgn val="ctr"/>
        <c:lblOffset val="100"/>
        <c:noMultiLvlLbl val="0"/>
      </c:catAx>
      <c:valAx>
        <c:axId val="51379462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33917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SAM</c:v>
                </c:pt>
                <c:pt idx="5">
                  <c:v>F/ADAPTER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LCD LID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1">
                  <c:v>1555</c:v>
                </c:pt>
                <c:pt idx="5">
                  <c:v>1018</c:v>
                </c:pt>
                <c:pt idx="6">
                  <c:v>2059</c:v>
                </c:pt>
                <c:pt idx="7">
                  <c:v>1521</c:v>
                </c:pt>
                <c:pt idx="8">
                  <c:v>98</c:v>
                </c:pt>
                <c:pt idx="12">
                  <c:v>2259</c:v>
                </c:pt>
                <c:pt idx="14">
                  <c:v>16164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SAM</c:v>
                </c:pt>
                <c:pt idx="5">
                  <c:v>F/ADAPTER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LCD LID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1560</c:v>
                </c:pt>
                <c:pt idx="2">
                  <c:v>4420</c:v>
                </c:pt>
                <c:pt idx="3">
                  <c:v>1210</c:v>
                </c:pt>
                <c:pt idx="4">
                  <c:v>1120</c:v>
                </c:pt>
                <c:pt idx="5">
                  <c:v>1020</c:v>
                </c:pt>
                <c:pt idx="6">
                  <c:v>2060</c:v>
                </c:pt>
                <c:pt idx="7">
                  <c:v>1530</c:v>
                </c:pt>
                <c:pt idx="8">
                  <c:v>2630</c:v>
                </c:pt>
                <c:pt idx="9">
                  <c:v>7200</c:v>
                </c:pt>
                <c:pt idx="10">
                  <c:v>2690</c:v>
                </c:pt>
                <c:pt idx="11">
                  <c:v>1441</c:v>
                </c:pt>
                <c:pt idx="12">
                  <c:v>2260</c:v>
                </c:pt>
                <c:pt idx="13">
                  <c:v>270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523136"/>
        <c:axId val="513796352"/>
      </c:lineChart>
      <c:catAx>
        <c:axId val="6505231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13796352"/>
        <c:crosses val="autoZero"/>
        <c:auto val="1"/>
        <c:lblAlgn val="ctr"/>
        <c:lblOffset val="100"/>
        <c:noMultiLvlLbl val="0"/>
      </c:catAx>
      <c:valAx>
        <c:axId val="5137963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0523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33% 0% 0% 0% 29% 33% 29% 1% 0% 0% 0% 33% 0% 25%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SAM</c:v>
                </c:pt>
                <c:pt idx="5">
                  <c:v>F/ADAPTER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LCD LID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0.33226495726495725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0.29109477124183009</c:v>
                </c:pt>
                <c:pt idx="6">
                  <c:v>0.33317152103559866</c:v>
                </c:pt>
                <c:pt idx="7">
                  <c:v>0.28995098039215689</c:v>
                </c:pt>
                <c:pt idx="8">
                  <c:v>6.2103929024081104E-3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0.33318584070796459</c:v>
                </c:pt>
                <c:pt idx="13">
                  <c:v>0</c:v>
                </c:pt>
                <c:pt idx="14">
                  <c:v>0.24990723562152134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SAM</c:v>
                </c:pt>
                <c:pt idx="5">
                  <c:v>F/ADAPTER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LCD LID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0.12238571327776246</c:v>
                </c:pt>
                <c:pt idx="1">
                  <c:v>0.12238571327776246</c:v>
                </c:pt>
                <c:pt idx="2">
                  <c:v>0.12238571327776246</c:v>
                </c:pt>
                <c:pt idx="3">
                  <c:v>0.12238571327776246</c:v>
                </c:pt>
                <c:pt idx="4">
                  <c:v>0.12238571327776246</c:v>
                </c:pt>
                <c:pt idx="5">
                  <c:v>0.12238571327776246</c:v>
                </c:pt>
                <c:pt idx="6">
                  <c:v>0.12238571327776246</c:v>
                </c:pt>
                <c:pt idx="7">
                  <c:v>0.12238571327776246</c:v>
                </c:pt>
                <c:pt idx="8">
                  <c:v>0.12238571327776246</c:v>
                </c:pt>
                <c:pt idx="9">
                  <c:v>0.12238571327776246</c:v>
                </c:pt>
                <c:pt idx="10">
                  <c:v>0.12238571327776246</c:v>
                </c:pt>
                <c:pt idx="11">
                  <c:v>0.12238571327776246</c:v>
                </c:pt>
                <c:pt idx="12">
                  <c:v>0.12238571327776246</c:v>
                </c:pt>
                <c:pt idx="13">
                  <c:v>0.12238571327776246</c:v>
                </c:pt>
                <c:pt idx="14">
                  <c:v>0.12238571327776246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223552"/>
        <c:axId val="513798080"/>
      </c:lineChart>
      <c:catAx>
        <c:axId val="65122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3798080"/>
        <c:crosses val="autoZero"/>
        <c:auto val="1"/>
        <c:lblAlgn val="ctr"/>
        <c:lblOffset val="100"/>
        <c:noMultiLvlLbl val="0"/>
      </c:catAx>
      <c:valAx>
        <c:axId val="5137980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1223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SAM</c:v>
                </c:pt>
                <c:pt idx="5">
                  <c:v>F/ADAPTER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LCD LID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1">
                  <c:v>1555</c:v>
                </c:pt>
                <c:pt idx="5">
                  <c:v>1018</c:v>
                </c:pt>
                <c:pt idx="6">
                  <c:v>2059</c:v>
                </c:pt>
                <c:pt idx="7">
                  <c:v>1521</c:v>
                </c:pt>
                <c:pt idx="8">
                  <c:v>98</c:v>
                </c:pt>
                <c:pt idx="12">
                  <c:v>2259</c:v>
                </c:pt>
                <c:pt idx="14">
                  <c:v>16164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SAM</c:v>
                </c:pt>
                <c:pt idx="5">
                  <c:v>F/ADAPTER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LCD LID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1560</c:v>
                </c:pt>
                <c:pt idx="2">
                  <c:v>4420</c:v>
                </c:pt>
                <c:pt idx="3">
                  <c:v>1210</c:v>
                </c:pt>
                <c:pt idx="4">
                  <c:v>1120</c:v>
                </c:pt>
                <c:pt idx="5">
                  <c:v>1020</c:v>
                </c:pt>
                <c:pt idx="6">
                  <c:v>2060</c:v>
                </c:pt>
                <c:pt idx="7">
                  <c:v>1530</c:v>
                </c:pt>
                <c:pt idx="8">
                  <c:v>2630</c:v>
                </c:pt>
                <c:pt idx="9">
                  <c:v>7200</c:v>
                </c:pt>
                <c:pt idx="10">
                  <c:v>2690</c:v>
                </c:pt>
                <c:pt idx="11">
                  <c:v>1441</c:v>
                </c:pt>
                <c:pt idx="12">
                  <c:v>2260</c:v>
                </c:pt>
                <c:pt idx="13">
                  <c:v>270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224576"/>
        <c:axId val="613433920"/>
      </c:lineChart>
      <c:catAx>
        <c:axId val="6512245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3433920"/>
        <c:crosses val="autoZero"/>
        <c:auto val="1"/>
        <c:lblAlgn val="ctr"/>
        <c:lblOffset val="100"/>
        <c:noMultiLvlLbl val="0"/>
      </c:catAx>
      <c:valAx>
        <c:axId val="6134339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1224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33% 0% 0% 0% 29% 33% 29% 1% 0% 0% 0% 33% 0% 25%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SAM</c:v>
                </c:pt>
                <c:pt idx="5">
                  <c:v>F/ADAPTER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LCD LID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0.33226495726495725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0.29109477124183009</c:v>
                </c:pt>
                <c:pt idx="6">
                  <c:v>0.33317152103559866</c:v>
                </c:pt>
                <c:pt idx="7">
                  <c:v>0.28995098039215689</c:v>
                </c:pt>
                <c:pt idx="8">
                  <c:v>6.2103929024081104E-3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0.33318584070796459</c:v>
                </c:pt>
                <c:pt idx="13">
                  <c:v>0</c:v>
                </c:pt>
                <c:pt idx="14">
                  <c:v>0.24990723562152134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SAM</c:v>
                </c:pt>
                <c:pt idx="5">
                  <c:v>F/ADAPTER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LCD LID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0.12238571327776246</c:v>
                </c:pt>
                <c:pt idx="1">
                  <c:v>0.12238571327776246</c:v>
                </c:pt>
                <c:pt idx="2">
                  <c:v>0.12238571327776246</c:v>
                </c:pt>
                <c:pt idx="3">
                  <c:v>0.12238571327776246</c:v>
                </c:pt>
                <c:pt idx="4">
                  <c:v>0.12238571327776246</c:v>
                </c:pt>
                <c:pt idx="5">
                  <c:v>0.12238571327776246</c:v>
                </c:pt>
                <c:pt idx="6">
                  <c:v>0.12238571327776246</c:v>
                </c:pt>
                <c:pt idx="7">
                  <c:v>0.12238571327776246</c:v>
                </c:pt>
                <c:pt idx="8">
                  <c:v>0.12238571327776246</c:v>
                </c:pt>
                <c:pt idx="9">
                  <c:v>0.12238571327776246</c:v>
                </c:pt>
                <c:pt idx="10">
                  <c:v>0.12238571327776246</c:v>
                </c:pt>
                <c:pt idx="11">
                  <c:v>0.12238571327776246</c:v>
                </c:pt>
                <c:pt idx="12">
                  <c:v>0.12238571327776246</c:v>
                </c:pt>
                <c:pt idx="13">
                  <c:v>0.12238571327776246</c:v>
                </c:pt>
                <c:pt idx="14">
                  <c:v>0.12238571327776246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226112"/>
        <c:axId val="743272384"/>
      </c:lineChart>
      <c:catAx>
        <c:axId val="65122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3272384"/>
        <c:crosses val="autoZero"/>
        <c:auto val="1"/>
        <c:lblAlgn val="ctr"/>
        <c:lblOffset val="100"/>
        <c:noMultiLvlLbl val="0"/>
      </c:catAx>
      <c:valAx>
        <c:axId val="7432723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1226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1964416"/>
        <c:axId val="74327468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964416"/>
        <c:axId val="743274688"/>
      </c:lineChart>
      <c:catAx>
        <c:axId val="65196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743274688"/>
        <c:crosses val="autoZero"/>
        <c:auto val="1"/>
        <c:lblAlgn val="ctr"/>
        <c:lblOffset val="100"/>
        <c:noMultiLvlLbl val="0"/>
      </c:catAx>
      <c:valAx>
        <c:axId val="7432746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1964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F/ADAPTER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LCD LID</c:v>
                </c:pt>
                <c:pt idx="10">
                  <c:v>SPACER L,R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1">
                  <c:v>3341</c:v>
                </c:pt>
                <c:pt idx="3">
                  <c:v>176896</c:v>
                </c:pt>
                <c:pt idx="4">
                  <c:v>4178</c:v>
                </c:pt>
                <c:pt idx="6">
                  <c:v>3271</c:v>
                </c:pt>
                <c:pt idx="7">
                  <c:v>6832</c:v>
                </c:pt>
                <c:pt idx="10">
                  <c:v>7607</c:v>
                </c:pt>
                <c:pt idx="12">
                  <c:v>3330</c:v>
                </c:pt>
                <c:pt idx="13">
                  <c:v>2987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F/ADAPTER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LCD LID</c:v>
                </c:pt>
                <c:pt idx="10">
                  <c:v>SPACER L,R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3350</c:v>
                </c:pt>
                <c:pt idx="2">
                  <c:v>4420</c:v>
                </c:pt>
                <c:pt idx="3">
                  <c:v>176900</c:v>
                </c:pt>
                <c:pt idx="4">
                  <c:v>4180</c:v>
                </c:pt>
                <c:pt idx="5">
                  <c:v>1020</c:v>
                </c:pt>
                <c:pt idx="6">
                  <c:v>3280</c:v>
                </c:pt>
                <c:pt idx="7">
                  <c:v>6840</c:v>
                </c:pt>
                <c:pt idx="8">
                  <c:v>2630</c:v>
                </c:pt>
                <c:pt idx="9">
                  <c:v>7200</c:v>
                </c:pt>
                <c:pt idx="10">
                  <c:v>7610</c:v>
                </c:pt>
                <c:pt idx="11">
                  <c:v>1441</c:v>
                </c:pt>
                <c:pt idx="12">
                  <c:v>3330</c:v>
                </c:pt>
                <c:pt idx="13">
                  <c:v>2990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219968"/>
        <c:axId val="826344576"/>
      </c:lineChart>
      <c:catAx>
        <c:axId val="7072199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826344576"/>
        <c:crosses val="autoZero"/>
        <c:auto val="1"/>
        <c:lblAlgn val="ctr"/>
        <c:lblOffset val="100"/>
        <c:noMultiLvlLbl val="0"/>
      </c:catAx>
      <c:valAx>
        <c:axId val="8263445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7219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"/>
                <c:pt idx="0">
                  <c:v>0% 79% 0% 92% 87% 0% 83% 42% 0% 0% 92% 0% 79% 75%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F/ADAPTER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LCD LID</c:v>
                </c:pt>
                <c:pt idx="10">
                  <c:v>SPACER L,R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0.78953980099502485</c:v>
                </c:pt>
                <c:pt idx="2">
                  <c:v>0</c:v>
                </c:pt>
                <c:pt idx="3">
                  <c:v>0.91664593932541927</c:v>
                </c:pt>
                <c:pt idx="4">
                  <c:v>0.87458133971291863</c:v>
                </c:pt>
                <c:pt idx="5">
                  <c:v>0</c:v>
                </c:pt>
                <c:pt idx="6">
                  <c:v>0.83104674796747979</c:v>
                </c:pt>
                <c:pt idx="7">
                  <c:v>0.41617933723196882</c:v>
                </c:pt>
                <c:pt idx="8">
                  <c:v>0</c:v>
                </c:pt>
                <c:pt idx="9">
                  <c:v>0</c:v>
                </c:pt>
                <c:pt idx="10">
                  <c:v>0.91630530004380195</c:v>
                </c:pt>
                <c:pt idx="11">
                  <c:v>0</c:v>
                </c:pt>
                <c:pt idx="12">
                  <c:v>0.79166666666666663</c:v>
                </c:pt>
                <c:pt idx="13">
                  <c:v>0.749247491638796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F/ADAPTER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LCD LID</c:v>
                </c:pt>
                <c:pt idx="10">
                  <c:v>SPACER L,R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0.41901417490547177</c:v>
                </c:pt>
                <c:pt idx="1">
                  <c:v>0.41901417490547177</c:v>
                </c:pt>
                <c:pt idx="2">
                  <c:v>0.41901417490547177</c:v>
                </c:pt>
                <c:pt idx="3">
                  <c:v>0.41901417490547177</c:v>
                </c:pt>
                <c:pt idx="4">
                  <c:v>0.41901417490547177</c:v>
                </c:pt>
                <c:pt idx="5">
                  <c:v>0.41901417490547177</c:v>
                </c:pt>
                <c:pt idx="6">
                  <c:v>0.41901417490547177</c:v>
                </c:pt>
                <c:pt idx="7">
                  <c:v>0.41901417490547177</c:v>
                </c:pt>
                <c:pt idx="8">
                  <c:v>0.41901417490547177</c:v>
                </c:pt>
                <c:pt idx="9">
                  <c:v>0.41901417490547177</c:v>
                </c:pt>
                <c:pt idx="10">
                  <c:v>0.41901417490547177</c:v>
                </c:pt>
                <c:pt idx="11">
                  <c:v>0.41901417490547177</c:v>
                </c:pt>
                <c:pt idx="12">
                  <c:v>0.41901417490547177</c:v>
                </c:pt>
                <c:pt idx="13">
                  <c:v>0.41901417490547177</c:v>
                </c:pt>
                <c:pt idx="14">
                  <c:v>0.41901417490547177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221504"/>
        <c:axId val="826346304"/>
      </c:lineChart>
      <c:catAx>
        <c:axId val="70722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826346304"/>
        <c:crosses val="autoZero"/>
        <c:auto val="1"/>
        <c:lblAlgn val="ctr"/>
        <c:lblOffset val="100"/>
        <c:noMultiLvlLbl val="0"/>
      </c:catAx>
      <c:valAx>
        <c:axId val="8263463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722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F/ADAPTER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LCD LID</c:v>
                </c:pt>
                <c:pt idx="10">
                  <c:v>SPACER L,R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1">
                  <c:v>3341</c:v>
                </c:pt>
                <c:pt idx="3">
                  <c:v>176896</c:v>
                </c:pt>
                <c:pt idx="4">
                  <c:v>4178</c:v>
                </c:pt>
                <c:pt idx="6">
                  <c:v>3271</c:v>
                </c:pt>
                <c:pt idx="7">
                  <c:v>6832</c:v>
                </c:pt>
                <c:pt idx="10">
                  <c:v>7607</c:v>
                </c:pt>
                <c:pt idx="12">
                  <c:v>3330</c:v>
                </c:pt>
                <c:pt idx="13">
                  <c:v>2987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F/ADAPTER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LCD LID</c:v>
                </c:pt>
                <c:pt idx="10">
                  <c:v>SPACER L,R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3350</c:v>
                </c:pt>
                <c:pt idx="2">
                  <c:v>4420</c:v>
                </c:pt>
                <c:pt idx="3">
                  <c:v>176900</c:v>
                </c:pt>
                <c:pt idx="4">
                  <c:v>4180</c:v>
                </c:pt>
                <c:pt idx="5">
                  <c:v>1020</c:v>
                </c:pt>
                <c:pt idx="6">
                  <c:v>3280</c:v>
                </c:pt>
                <c:pt idx="7">
                  <c:v>6840</c:v>
                </c:pt>
                <c:pt idx="8">
                  <c:v>2630</c:v>
                </c:pt>
                <c:pt idx="9">
                  <c:v>7200</c:v>
                </c:pt>
                <c:pt idx="10">
                  <c:v>7610</c:v>
                </c:pt>
                <c:pt idx="11">
                  <c:v>1441</c:v>
                </c:pt>
                <c:pt idx="12">
                  <c:v>3330</c:v>
                </c:pt>
                <c:pt idx="13">
                  <c:v>2990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222016"/>
        <c:axId val="826348608"/>
      </c:lineChart>
      <c:catAx>
        <c:axId val="7072220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826348608"/>
        <c:crosses val="autoZero"/>
        <c:auto val="1"/>
        <c:lblAlgn val="ctr"/>
        <c:lblOffset val="100"/>
        <c:noMultiLvlLbl val="0"/>
      </c:catAx>
      <c:valAx>
        <c:axId val="8263486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7222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"/>
                <c:pt idx="0">
                  <c:v>0% 79% 0% 92% 87% 0% 83% 42% 0% 0% 92% 0% 79% 75%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F/ADAPTER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LCD LID</c:v>
                </c:pt>
                <c:pt idx="10">
                  <c:v>SPACER L,R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0.78953980099502485</c:v>
                </c:pt>
                <c:pt idx="2">
                  <c:v>0</c:v>
                </c:pt>
                <c:pt idx="3">
                  <c:v>0.91664593932541927</c:v>
                </c:pt>
                <c:pt idx="4">
                  <c:v>0.87458133971291863</c:v>
                </c:pt>
                <c:pt idx="5">
                  <c:v>0</c:v>
                </c:pt>
                <c:pt idx="6">
                  <c:v>0.83104674796747979</c:v>
                </c:pt>
                <c:pt idx="7">
                  <c:v>0.41617933723196882</c:v>
                </c:pt>
                <c:pt idx="8">
                  <c:v>0</c:v>
                </c:pt>
                <c:pt idx="9">
                  <c:v>0</c:v>
                </c:pt>
                <c:pt idx="10">
                  <c:v>0.91630530004380195</c:v>
                </c:pt>
                <c:pt idx="11">
                  <c:v>0</c:v>
                </c:pt>
                <c:pt idx="12">
                  <c:v>0.79166666666666663</c:v>
                </c:pt>
                <c:pt idx="13">
                  <c:v>0.749247491638796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F/ADAPTER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LCD LID</c:v>
                </c:pt>
                <c:pt idx="10">
                  <c:v>SPACER L,R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0.41901417490547177</c:v>
                </c:pt>
                <c:pt idx="1">
                  <c:v>0.41901417490547177</c:v>
                </c:pt>
                <c:pt idx="2">
                  <c:v>0.41901417490547177</c:v>
                </c:pt>
                <c:pt idx="3">
                  <c:v>0.41901417490547177</c:v>
                </c:pt>
                <c:pt idx="4">
                  <c:v>0.41901417490547177</c:v>
                </c:pt>
                <c:pt idx="5">
                  <c:v>0.41901417490547177</c:v>
                </c:pt>
                <c:pt idx="6">
                  <c:v>0.41901417490547177</c:v>
                </c:pt>
                <c:pt idx="7">
                  <c:v>0.41901417490547177</c:v>
                </c:pt>
                <c:pt idx="8">
                  <c:v>0.41901417490547177</c:v>
                </c:pt>
                <c:pt idx="9">
                  <c:v>0.41901417490547177</c:v>
                </c:pt>
                <c:pt idx="10">
                  <c:v>0.41901417490547177</c:v>
                </c:pt>
                <c:pt idx="11">
                  <c:v>0.41901417490547177</c:v>
                </c:pt>
                <c:pt idx="12">
                  <c:v>0.41901417490547177</c:v>
                </c:pt>
                <c:pt idx="13">
                  <c:v>0.41901417490547177</c:v>
                </c:pt>
                <c:pt idx="14">
                  <c:v>0.41901417490547177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248128"/>
        <c:axId val="533840448"/>
      </c:lineChart>
      <c:catAx>
        <c:axId val="70724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33840448"/>
        <c:crosses val="autoZero"/>
        <c:auto val="1"/>
        <c:lblAlgn val="ctr"/>
        <c:lblOffset val="100"/>
        <c:noMultiLvlLbl val="0"/>
      </c:catAx>
      <c:valAx>
        <c:axId val="5338404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7248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1964928"/>
        <c:axId val="5338427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964928"/>
        <c:axId val="533842752"/>
      </c:lineChart>
      <c:catAx>
        <c:axId val="651964928"/>
        <c:scaling>
          <c:orientation val="minMax"/>
        </c:scaling>
        <c:delete val="0"/>
        <c:axPos val="b"/>
        <c:majorTickMark val="out"/>
        <c:minorTickMark val="none"/>
        <c:tickLblPos val="nextTo"/>
        <c:crossAx val="533842752"/>
        <c:crosses val="autoZero"/>
        <c:auto val="1"/>
        <c:lblAlgn val="ctr"/>
        <c:lblOffset val="100"/>
        <c:noMultiLvlLbl val="0"/>
      </c:catAx>
      <c:valAx>
        <c:axId val="533842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19649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BASE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1">
                  <c:v>4915</c:v>
                </c:pt>
                <c:pt idx="2">
                  <c:v>4520</c:v>
                </c:pt>
                <c:pt idx="3">
                  <c:v>51104</c:v>
                </c:pt>
                <c:pt idx="4">
                  <c:v>1385</c:v>
                </c:pt>
                <c:pt idx="6">
                  <c:v>4852</c:v>
                </c:pt>
                <c:pt idx="7">
                  <c:v>11312</c:v>
                </c:pt>
                <c:pt idx="8">
                  <c:v>290</c:v>
                </c:pt>
                <c:pt idx="9">
                  <c:v>554</c:v>
                </c:pt>
                <c:pt idx="10">
                  <c:v>26528</c:v>
                </c:pt>
                <c:pt idx="11">
                  <c:v>7696</c:v>
                </c:pt>
                <c:pt idx="13">
                  <c:v>5266</c:v>
                </c:pt>
                <c:pt idx="14">
                  <c:v>5049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BASE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4920</c:v>
                </c:pt>
                <c:pt idx="2">
                  <c:v>4520</c:v>
                </c:pt>
                <c:pt idx="3">
                  <c:v>51200</c:v>
                </c:pt>
                <c:pt idx="4">
                  <c:v>1390</c:v>
                </c:pt>
                <c:pt idx="5">
                  <c:v>1020</c:v>
                </c:pt>
                <c:pt idx="6">
                  <c:v>4860</c:v>
                </c:pt>
                <c:pt idx="7">
                  <c:v>11320</c:v>
                </c:pt>
                <c:pt idx="8">
                  <c:v>290</c:v>
                </c:pt>
                <c:pt idx="9">
                  <c:v>560</c:v>
                </c:pt>
                <c:pt idx="10">
                  <c:v>26530</c:v>
                </c:pt>
                <c:pt idx="11">
                  <c:v>7700</c:v>
                </c:pt>
                <c:pt idx="12">
                  <c:v>1441</c:v>
                </c:pt>
                <c:pt idx="13">
                  <c:v>5270</c:v>
                </c:pt>
                <c:pt idx="14">
                  <c:v>5050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931136"/>
        <c:axId val="533845632"/>
      </c:lineChart>
      <c:catAx>
        <c:axId val="7079311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33845632"/>
        <c:crosses val="autoZero"/>
        <c:auto val="1"/>
        <c:lblAlgn val="ctr"/>
        <c:lblOffset val="100"/>
        <c:noMultiLvlLbl val="0"/>
      </c:catAx>
      <c:valAx>
        <c:axId val="5338456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7931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"/>
                <c:pt idx="0">
                  <c:v>0% 100% 100% 25% 42% 0% 100% 67% 25% 33% 50%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BASE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0.99898373983739841</c:v>
                </c:pt>
                <c:pt idx="2">
                  <c:v>1</c:v>
                </c:pt>
                <c:pt idx="3">
                  <c:v>0.24953125000000001</c:v>
                </c:pt>
                <c:pt idx="4">
                  <c:v>0.41516786570743408</c:v>
                </c:pt>
                <c:pt idx="5">
                  <c:v>0</c:v>
                </c:pt>
                <c:pt idx="6">
                  <c:v>0.99835390946502056</c:v>
                </c:pt>
                <c:pt idx="7">
                  <c:v>0.66619552414605421</c:v>
                </c:pt>
                <c:pt idx="8">
                  <c:v>0.25</c:v>
                </c:pt>
                <c:pt idx="9">
                  <c:v>0.32976190476190476</c:v>
                </c:pt>
                <c:pt idx="10">
                  <c:v>0.49996230682246512</c:v>
                </c:pt>
                <c:pt idx="11">
                  <c:v>0.99948051948051952</c:v>
                </c:pt>
                <c:pt idx="12">
                  <c:v>0</c:v>
                </c:pt>
                <c:pt idx="13">
                  <c:v>0.99924098671726758</c:v>
                </c:pt>
                <c:pt idx="14">
                  <c:v>0.9998019801980198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BASE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0.5604319991424056</c:v>
                </c:pt>
                <c:pt idx="1">
                  <c:v>0.5604319991424056</c:v>
                </c:pt>
                <c:pt idx="2">
                  <c:v>0.5604319991424056</c:v>
                </c:pt>
                <c:pt idx="3">
                  <c:v>0.5604319991424056</c:v>
                </c:pt>
                <c:pt idx="4">
                  <c:v>0.5604319991424056</c:v>
                </c:pt>
                <c:pt idx="5">
                  <c:v>0.5604319991424056</c:v>
                </c:pt>
                <c:pt idx="6">
                  <c:v>0.5604319991424056</c:v>
                </c:pt>
                <c:pt idx="7">
                  <c:v>0.5604319991424056</c:v>
                </c:pt>
                <c:pt idx="8">
                  <c:v>0.5604319991424056</c:v>
                </c:pt>
                <c:pt idx="9">
                  <c:v>0.5604319991424056</c:v>
                </c:pt>
                <c:pt idx="10">
                  <c:v>0.5604319991424056</c:v>
                </c:pt>
                <c:pt idx="11">
                  <c:v>0.5604319991424056</c:v>
                </c:pt>
                <c:pt idx="12">
                  <c:v>0.5604319991424056</c:v>
                </c:pt>
                <c:pt idx="13">
                  <c:v>0.5604319991424056</c:v>
                </c:pt>
                <c:pt idx="14">
                  <c:v>0.5604319991424056</c:v>
                </c:pt>
                <c:pt idx="15">
                  <c:v>0.5604319991424056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563968"/>
        <c:axId val="533847360"/>
      </c:lineChart>
      <c:catAx>
        <c:axId val="70856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33847360"/>
        <c:crosses val="autoZero"/>
        <c:auto val="1"/>
        <c:lblAlgn val="ctr"/>
        <c:lblOffset val="100"/>
        <c:noMultiLvlLbl val="0"/>
      </c:catAx>
      <c:valAx>
        <c:axId val="5338473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8563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BASE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1">
                  <c:v>4915</c:v>
                </c:pt>
                <c:pt idx="2">
                  <c:v>4520</c:v>
                </c:pt>
                <c:pt idx="3">
                  <c:v>51104</c:v>
                </c:pt>
                <c:pt idx="4">
                  <c:v>1385</c:v>
                </c:pt>
                <c:pt idx="6">
                  <c:v>4852</c:v>
                </c:pt>
                <c:pt idx="7">
                  <c:v>11312</c:v>
                </c:pt>
                <c:pt idx="8">
                  <c:v>290</c:v>
                </c:pt>
                <c:pt idx="9">
                  <c:v>554</c:v>
                </c:pt>
                <c:pt idx="10">
                  <c:v>26528</c:v>
                </c:pt>
                <c:pt idx="11">
                  <c:v>7696</c:v>
                </c:pt>
                <c:pt idx="13">
                  <c:v>5266</c:v>
                </c:pt>
                <c:pt idx="14">
                  <c:v>5049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BASE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4920</c:v>
                </c:pt>
                <c:pt idx="2">
                  <c:v>4520</c:v>
                </c:pt>
                <c:pt idx="3">
                  <c:v>51200</c:v>
                </c:pt>
                <c:pt idx="4">
                  <c:v>1390</c:v>
                </c:pt>
                <c:pt idx="5">
                  <c:v>1020</c:v>
                </c:pt>
                <c:pt idx="6">
                  <c:v>4860</c:v>
                </c:pt>
                <c:pt idx="7">
                  <c:v>11320</c:v>
                </c:pt>
                <c:pt idx="8">
                  <c:v>290</c:v>
                </c:pt>
                <c:pt idx="9">
                  <c:v>560</c:v>
                </c:pt>
                <c:pt idx="10">
                  <c:v>26530</c:v>
                </c:pt>
                <c:pt idx="11">
                  <c:v>7700</c:v>
                </c:pt>
                <c:pt idx="12">
                  <c:v>1441</c:v>
                </c:pt>
                <c:pt idx="13">
                  <c:v>5270</c:v>
                </c:pt>
                <c:pt idx="14">
                  <c:v>5050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566016"/>
        <c:axId val="636380864"/>
      </c:lineChart>
      <c:catAx>
        <c:axId val="7085660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36380864"/>
        <c:crosses val="autoZero"/>
        <c:auto val="1"/>
        <c:lblAlgn val="ctr"/>
        <c:lblOffset val="100"/>
        <c:noMultiLvlLbl val="0"/>
      </c:catAx>
      <c:valAx>
        <c:axId val="6363808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8566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"/>
                <c:pt idx="0">
                  <c:v>0% 100% 100% 25% 42% 0% 100% 67% 25% 33% 50%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BASE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0.99898373983739841</c:v>
                </c:pt>
                <c:pt idx="2">
                  <c:v>1</c:v>
                </c:pt>
                <c:pt idx="3">
                  <c:v>0.24953125000000001</c:v>
                </c:pt>
                <c:pt idx="4">
                  <c:v>0.41516786570743408</c:v>
                </c:pt>
                <c:pt idx="5">
                  <c:v>0</c:v>
                </c:pt>
                <c:pt idx="6">
                  <c:v>0.99835390946502056</c:v>
                </c:pt>
                <c:pt idx="7">
                  <c:v>0.66619552414605421</c:v>
                </c:pt>
                <c:pt idx="8">
                  <c:v>0.25</c:v>
                </c:pt>
                <c:pt idx="9">
                  <c:v>0.32976190476190476</c:v>
                </c:pt>
                <c:pt idx="10">
                  <c:v>0.49996230682246512</c:v>
                </c:pt>
                <c:pt idx="11">
                  <c:v>0.99948051948051952</c:v>
                </c:pt>
                <c:pt idx="12">
                  <c:v>0</c:v>
                </c:pt>
                <c:pt idx="13">
                  <c:v>0.99924098671726758</c:v>
                </c:pt>
                <c:pt idx="14">
                  <c:v>0.9998019801980198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SHAFT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BASE</c:v>
                </c:pt>
                <c:pt idx="9">
                  <c:v>BASE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0.5604319991424056</c:v>
                </c:pt>
                <c:pt idx="1">
                  <c:v>0.5604319991424056</c:v>
                </c:pt>
                <c:pt idx="2">
                  <c:v>0.5604319991424056</c:v>
                </c:pt>
                <c:pt idx="3">
                  <c:v>0.5604319991424056</c:v>
                </c:pt>
                <c:pt idx="4">
                  <c:v>0.5604319991424056</c:v>
                </c:pt>
                <c:pt idx="5">
                  <c:v>0.5604319991424056</c:v>
                </c:pt>
                <c:pt idx="6">
                  <c:v>0.5604319991424056</c:v>
                </c:pt>
                <c:pt idx="7">
                  <c:v>0.5604319991424056</c:v>
                </c:pt>
                <c:pt idx="8">
                  <c:v>0.5604319991424056</c:v>
                </c:pt>
                <c:pt idx="9">
                  <c:v>0.5604319991424056</c:v>
                </c:pt>
                <c:pt idx="10">
                  <c:v>0.5604319991424056</c:v>
                </c:pt>
                <c:pt idx="11">
                  <c:v>0.5604319991424056</c:v>
                </c:pt>
                <c:pt idx="12">
                  <c:v>0.5604319991424056</c:v>
                </c:pt>
                <c:pt idx="13">
                  <c:v>0.5604319991424056</c:v>
                </c:pt>
                <c:pt idx="14">
                  <c:v>0.5604319991424056</c:v>
                </c:pt>
                <c:pt idx="15">
                  <c:v>0.5604319991424056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645888"/>
        <c:axId val="636382592"/>
      </c:lineChart>
      <c:catAx>
        <c:axId val="70864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36382592"/>
        <c:crosses val="autoZero"/>
        <c:auto val="1"/>
        <c:lblAlgn val="ctr"/>
        <c:lblOffset val="100"/>
        <c:noMultiLvlLbl val="0"/>
      </c:catAx>
      <c:valAx>
        <c:axId val="6363825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8645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8646400"/>
        <c:axId val="6363848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646400"/>
        <c:axId val="636384896"/>
      </c:lineChart>
      <c:catAx>
        <c:axId val="708646400"/>
        <c:scaling>
          <c:orientation val="minMax"/>
        </c:scaling>
        <c:delete val="0"/>
        <c:axPos val="b"/>
        <c:majorTickMark val="out"/>
        <c:minorTickMark val="none"/>
        <c:tickLblPos val="nextTo"/>
        <c:crossAx val="636384896"/>
        <c:crosses val="autoZero"/>
        <c:auto val="1"/>
        <c:lblAlgn val="ctr"/>
        <c:lblOffset val="100"/>
        <c:noMultiLvlLbl val="0"/>
      </c:catAx>
      <c:valAx>
        <c:axId val="6363848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086464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COVER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'05'!$L$6:$L$22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4690</c:v>
                </c:pt>
                <c:pt idx="3">
                  <c:v>4873</c:v>
                </c:pt>
                <c:pt idx="6">
                  <c:v>4899</c:v>
                </c:pt>
                <c:pt idx="7">
                  <c:v>12742</c:v>
                </c:pt>
                <c:pt idx="8">
                  <c:v>344</c:v>
                </c:pt>
                <c:pt idx="9">
                  <c:v>2215</c:v>
                </c:pt>
                <c:pt idx="10">
                  <c:v>7476</c:v>
                </c:pt>
                <c:pt idx="11">
                  <c:v>7628</c:v>
                </c:pt>
                <c:pt idx="13">
                  <c:v>3259</c:v>
                </c:pt>
                <c:pt idx="14">
                  <c:v>2473</c:v>
                </c:pt>
                <c:pt idx="15">
                  <c:v>2103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COVER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'05'!$J$6:$J$22</c:f>
              <c:numCache>
                <c:formatCode>_(* #,##0_);_(* \(#,##0\);_(* "-"_);_(@_)</c:formatCode>
                <c:ptCount val="17"/>
                <c:pt idx="0">
                  <c:v>1970</c:v>
                </c:pt>
                <c:pt idx="1">
                  <c:v>4920</c:v>
                </c:pt>
                <c:pt idx="2">
                  <c:v>4690</c:v>
                </c:pt>
                <c:pt idx="3">
                  <c:v>4880</c:v>
                </c:pt>
                <c:pt idx="4">
                  <c:v>1390</c:v>
                </c:pt>
                <c:pt idx="5">
                  <c:v>1020</c:v>
                </c:pt>
                <c:pt idx="6">
                  <c:v>4900</c:v>
                </c:pt>
                <c:pt idx="7">
                  <c:v>12750</c:v>
                </c:pt>
                <c:pt idx="8">
                  <c:v>350</c:v>
                </c:pt>
                <c:pt idx="9">
                  <c:v>2220</c:v>
                </c:pt>
                <c:pt idx="10">
                  <c:v>7480</c:v>
                </c:pt>
                <c:pt idx="11">
                  <c:v>7630</c:v>
                </c:pt>
                <c:pt idx="12">
                  <c:v>1441</c:v>
                </c:pt>
                <c:pt idx="13">
                  <c:v>3260</c:v>
                </c:pt>
                <c:pt idx="14">
                  <c:v>2480</c:v>
                </c:pt>
                <c:pt idx="15">
                  <c:v>2110</c:v>
                </c:pt>
                <c:pt idx="16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598656"/>
        <c:axId val="698720832"/>
      </c:lineChart>
      <c:catAx>
        <c:axId val="6385986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98720832"/>
        <c:crosses val="autoZero"/>
        <c:auto val="1"/>
        <c:lblAlgn val="ctr"/>
        <c:lblOffset val="100"/>
        <c:noMultiLvlLbl val="0"/>
      </c:catAx>
      <c:valAx>
        <c:axId val="6987208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8598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'05'!$AD$6:$AD$22</c:f>
              <c:strCache>
                <c:ptCount val="1"/>
                <c:pt idx="0">
                  <c:v>0% 0% 100% 96% 0% 0% 100% 46% 16% 50% 46% 100% 0% 67% 42%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COVER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0.95695867486338804</c:v>
                </c:pt>
                <c:pt idx="4">
                  <c:v>0</c:v>
                </c:pt>
                <c:pt idx="5">
                  <c:v>0</c:v>
                </c:pt>
                <c:pt idx="6">
                  <c:v>0.99979591836734694</c:v>
                </c:pt>
                <c:pt idx="7">
                  <c:v>0.45804575163398692</c:v>
                </c:pt>
                <c:pt idx="8">
                  <c:v>0.16380952380952379</c:v>
                </c:pt>
                <c:pt idx="9">
                  <c:v>0.49887387387387389</c:v>
                </c:pt>
                <c:pt idx="10">
                  <c:v>0.45808823529411763</c:v>
                </c:pt>
                <c:pt idx="11">
                  <c:v>0.99973787680209703</c:v>
                </c:pt>
                <c:pt idx="12">
                  <c:v>0</c:v>
                </c:pt>
                <c:pt idx="13">
                  <c:v>0.66646216768916156</c:v>
                </c:pt>
                <c:pt idx="14">
                  <c:v>0.4154905913978495</c:v>
                </c:pt>
                <c:pt idx="15">
                  <c:v>0.49834123222748816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COVER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'05'!$AE$6:$AE$22</c:f>
              <c:numCache>
                <c:formatCode>0%</c:formatCode>
                <c:ptCount val="17"/>
                <c:pt idx="0">
                  <c:v>0.47437358973058885</c:v>
                </c:pt>
                <c:pt idx="1">
                  <c:v>0.47437358973058885</c:v>
                </c:pt>
                <c:pt idx="2">
                  <c:v>0.47437358973058885</c:v>
                </c:pt>
                <c:pt idx="3">
                  <c:v>0.47437358973058885</c:v>
                </c:pt>
                <c:pt idx="4">
                  <c:v>0.47437358973058885</c:v>
                </c:pt>
                <c:pt idx="5">
                  <c:v>0.47437358973058885</c:v>
                </c:pt>
                <c:pt idx="6">
                  <c:v>0.47437358973058885</c:v>
                </c:pt>
                <c:pt idx="7">
                  <c:v>0.47437358973058885</c:v>
                </c:pt>
                <c:pt idx="8">
                  <c:v>0.47437358973058885</c:v>
                </c:pt>
                <c:pt idx="9">
                  <c:v>0.47437358973058885</c:v>
                </c:pt>
                <c:pt idx="10">
                  <c:v>0.47437358973058885</c:v>
                </c:pt>
                <c:pt idx="11">
                  <c:v>0.47437358973058885</c:v>
                </c:pt>
                <c:pt idx="12">
                  <c:v>0.47437358973058885</c:v>
                </c:pt>
                <c:pt idx="13">
                  <c:v>0.47437358973058885</c:v>
                </c:pt>
                <c:pt idx="14">
                  <c:v>0.47437358973058885</c:v>
                </c:pt>
                <c:pt idx="15">
                  <c:v>0.47437358973058885</c:v>
                </c:pt>
                <c:pt idx="16">
                  <c:v>0.47437358973058885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620160"/>
        <c:axId val="698722560"/>
      </c:lineChart>
      <c:catAx>
        <c:axId val="63862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98722560"/>
        <c:crosses val="autoZero"/>
        <c:auto val="1"/>
        <c:lblAlgn val="ctr"/>
        <c:lblOffset val="100"/>
        <c:noMultiLvlLbl val="0"/>
      </c:catAx>
      <c:valAx>
        <c:axId val="6987225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8620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COVER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'05'!$L$6:$L$22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4690</c:v>
                </c:pt>
                <c:pt idx="3">
                  <c:v>4873</c:v>
                </c:pt>
                <c:pt idx="6">
                  <c:v>4899</c:v>
                </c:pt>
                <c:pt idx="7">
                  <c:v>12742</c:v>
                </c:pt>
                <c:pt idx="8">
                  <c:v>344</c:v>
                </c:pt>
                <c:pt idx="9">
                  <c:v>2215</c:v>
                </c:pt>
                <c:pt idx="10">
                  <c:v>7476</c:v>
                </c:pt>
                <c:pt idx="11">
                  <c:v>7628</c:v>
                </c:pt>
                <c:pt idx="13">
                  <c:v>3259</c:v>
                </c:pt>
                <c:pt idx="14">
                  <c:v>2473</c:v>
                </c:pt>
                <c:pt idx="15">
                  <c:v>2103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COVER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'05'!$J$6:$J$22</c:f>
              <c:numCache>
                <c:formatCode>_(* #,##0_);_(* \(#,##0\);_(* "-"_);_(@_)</c:formatCode>
                <c:ptCount val="17"/>
                <c:pt idx="0">
                  <c:v>1970</c:v>
                </c:pt>
                <c:pt idx="1">
                  <c:v>4920</c:v>
                </c:pt>
                <c:pt idx="2">
                  <c:v>4690</c:v>
                </c:pt>
                <c:pt idx="3">
                  <c:v>4880</c:v>
                </c:pt>
                <c:pt idx="4">
                  <c:v>1390</c:v>
                </c:pt>
                <c:pt idx="5">
                  <c:v>1020</c:v>
                </c:pt>
                <c:pt idx="6">
                  <c:v>4900</c:v>
                </c:pt>
                <c:pt idx="7">
                  <c:v>12750</c:v>
                </c:pt>
                <c:pt idx="8">
                  <c:v>350</c:v>
                </c:pt>
                <c:pt idx="9">
                  <c:v>2220</c:v>
                </c:pt>
                <c:pt idx="10">
                  <c:v>7480</c:v>
                </c:pt>
                <c:pt idx="11">
                  <c:v>7630</c:v>
                </c:pt>
                <c:pt idx="12">
                  <c:v>1441</c:v>
                </c:pt>
                <c:pt idx="13">
                  <c:v>3260</c:v>
                </c:pt>
                <c:pt idx="14">
                  <c:v>2480</c:v>
                </c:pt>
                <c:pt idx="15">
                  <c:v>2110</c:v>
                </c:pt>
                <c:pt idx="16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621184"/>
        <c:axId val="698724864"/>
      </c:lineChart>
      <c:catAx>
        <c:axId val="6386211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98724864"/>
        <c:crosses val="autoZero"/>
        <c:auto val="1"/>
        <c:lblAlgn val="ctr"/>
        <c:lblOffset val="100"/>
        <c:noMultiLvlLbl val="0"/>
      </c:catAx>
      <c:valAx>
        <c:axId val="6987248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38621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'05'!$AD$6:$AD$22</c:f>
              <c:strCache>
                <c:ptCount val="1"/>
                <c:pt idx="0">
                  <c:v>0% 0% 100% 96% 0% 0% 100% 46% 16% 50% 46% 100% 0% 67% 42%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COVER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0.95695867486338804</c:v>
                </c:pt>
                <c:pt idx="4">
                  <c:v>0</c:v>
                </c:pt>
                <c:pt idx="5">
                  <c:v>0</c:v>
                </c:pt>
                <c:pt idx="6">
                  <c:v>0.99979591836734694</c:v>
                </c:pt>
                <c:pt idx="7">
                  <c:v>0.45804575163398692</c:v>
                </c:pt>
                <c:pt idx="8">
                  <c:v>0.16380952380952379</c:v>
                </c:pt>
                <c:pt idx="9">
                  <c:v>0.49887387387387389</c:v>
                </c:pt>
                <c:pt idx="10">
                  <c:v>0.45808823529411763</c:v>
                </c:pt>
                <c:pt idx="11">
                  <c:v>0.99973787680209703</c:v>
                </c:pt>
                <c:pt idx="12">
                  <c:v>0</c:v>
                </c:pt>
                <c:pt idx="13">
                  <c:v>0.66646216768916156</c:v>
                </c:pt>
                <c:pt idx="14">
                  <c:v>0.4154905913978495</c:v>
                </c:pt>
                <c:pt idx="15">
                  <c:v>0.49834123222748816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COVER</c:v>
                </c:pt>
                <c:pt idx="10">
                  <c:v>LCD LID</c:v>
                </c:pt>
                <c:pt idx="11">
                  <c:v>SPACER L,R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'05'!$AE$6:$AE$22</c:f>
              <c:numCache>
                <c:formatCode>0%</c:formatCode>
                <c:ptCount val="17"/>
                <c:pt idx="0">
                  <c:v>0.47437358973058885</c:v>
                </c:pt>
                <c:pt idx="1">
                  <c:v>0.47437358973058885</c:v>
                </c:pt>
                <c:pt idx="2">
                  <c:v>0.47437358973058885</c:v>
                </c:pt>
                <c:pt idx="3">
                  <c:v>0.47437358973058885</c:v>
                </c:pt>
                <c:pt idx="4">
                  <c:v>0.47437358973058885</c:v>
                </c:pt>
                <c:pt idx="5">
                  <c:v>0.47437358973058885</c:v>
                </c:pt>
                <c:pt idx="6">
                  <c:v>0.47437358973058885</c:v>
                </c:pt>
                <c:pt idx="7">
                  <c:v>0.47437358973058885</c:v>
                </c:pt>
                <c:pt idx="8">
                  <c:v>0.47437358973058885</c:v>
                </c:pt>
                <c:pt idx="9">
                  <c:v>0.47437358973058885</c:v>
                </c:pt>
                <c:pt idx="10">
                  <c:v>0.47437358973058885</c:v>
                </c:pt>
                <c:pt idx="11">
                  <c:v>0.47437358973058885</c:v>
                </c:pt>
                <c:pt idx="12">
                  <c:v>0.47437358973058885</c:v>
                </c:pt>
                <c:pt idx="13">
                  <c:v>0.47437358973058885</c:v>
                </c:pt>
                <c:pt idx="14">
                  <c:v>0.47437358973058885</c:v>
                </c:pt>
                <c:pt idx="15">
                  <c:v>0.47437358973058885</c:v>
                </c:pt>
                <c:pt idx="16">
                  <c:v>0.47437358973058885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621696"/>
        <c:axId val="698726592"/>
      </c:lineChart>
      <c:catAx>
        <c:axId val="63862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98726592"/>
        <c:crosses val="autoZero"/>
        <c:auto val="1"/>
        <c:lblAlgn val="ctr"/>
        <c:lblOffset val="100"/>
        <c:noMultiLvlLbl val="0"/>
      </c:catAx>
      <c:valAx>
        <c:axId val="6987265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3862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8622208"/>
        <c:axId val="74329350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622208"/>
        <c:axId val="743293504"/>
      </c:lineChart>
      <c:catAx>
        <c:axId val="638622208"/>
        <c:scaling>
          <c:orientation val="minMax"/>
        </c:scaling>
        <c:delete val="0"/>
        <c:axPos val="b"/>
        <c:majorTickMark val="out"/>
        <c:minorTickMark val="none"/>
        <c:tickLblPos val="nextTo"/>
        <c:crossAx val="743293504"/>
        <c:crosses val="autoZero"/>
        <c:auto val="1"/>
        <c:lblAlgn val="ctr"/>
        <c:lblOffset val="100"/>
        <c:noMultiLvlLbl val="0"/>
      </c:catAx>
      <c:valAx>
        <c:axId val="7432935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3862220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BODY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0">
                  <c:v>LATCH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0">
                  <c:v>0</c:v>
                </c:pt>
                <c:pt idx="2">
                  <c:v>4701</c:v>
                </c:pt>
                <c:pt idx="4">
                  <c:v>516</c:v>
                </c:pt>
                <c:pt idx="6">
                  <c:v>2834</c:v>
                </c:pt>
                <c:pt idx="7">
                  <c:v>13578</c:v>
                </c:pt>
                <c:pt idx="8">
                  <c:v>4087</c:v>
                </c:pt>
                <c:pt idx="10">
                  <c:v>2352</c:v>
                </c:pt>
                <c:pt idx="11">
                  <c:v>2806</c:v>
                </c:pt>
                <c:pt idx="13">
                  <c:v>5303</c:v>
                </c:pt>
                <c:pt idx="14">
                  <c:v>4514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BODY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0">
                  <c:v>LATCH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4920</c:v>
                </c:pt>
                <c:pt idx="2">
                  <c:v>4710</c:v>
                </c:pt>
                <c:pt idx="3">
                  <c:v>4880</c:v>
                </c:pt>
                <c:pt idx="4">
                  <c:v>520</c:v>
                </c:pt>
                <c:pt idx="5">
                  <c:v>1020</c:v>
                </c:pt>
                <c:pt idx="6">
                  <c:v>2840</c:v>
                </c:pt>
                <c:pt idx="7">
                  <c:v>13600</c:v>
                </c:pt>
                <c:pt idx="8">
                  <c:v>4090</c:v>
                </c:pt>
                <c:pt idx="9">
                  <c:v>7480</c:v>
                </c:pt>
                <c:pt idx="10">
                  <c:v>2360</c:v>
                </c:pt>
                <c:pt idx="11">
                  <c:v>2810</c:v>
                </c:pt>
                <c:pt idx="12">
                  <c:v>1441</c:v>
                </c:pt>
                <c:pt idx="13">
                  <c:v>5310</c:v>
                </c:pt>
                <c:pt idx="14">
                  <c:v>4520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773440"/>
        <c:axId val="743296384"/>
      </c:lineChart>
      <c:catAx>
        <c:axId val="6517734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3296384"/>
        <c:crosses val="autoZero"/>
        <c:auto val="1"/>
        <c:lblAlgn val="ctr"/>
        <c:lblOffset val="100"/>
        <c:noMultiLvlLbl val="0"/>
      </c:catAx>
      <c:valAx>
        <c:axId val="7432963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1773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"/>
                <c:pt idx="0">
                  <c:v>0% 0% 96% 0% 17% 0% 67% 58% 100% 0% 21% 62%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BODY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0">
                  <c:v>LATCH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0.95650212314225058</c:v>
                </c:pt>
                <c:pt idx="3">
                  <c:v>0</c:v>
                </c:pt>
                <c:pt idx="4">
                  <c:v>0.16538461538461538</c:v>
                </c:pt>
                <c:pt idx="5">
                  <c:v>0</c:v>
                </c:pt>
                <c:pt idx="6">
                  <c:v>0.66525821596244128</c:v>
                </c:pt>
                <c:pt idx="7">
                  <c:v>0.58238970588235295</c:v>
                </c:pt>
                <c:pt idx="8">
                  <c:v>0.99926650366748171</c:v>
                </c:pt>
                <c:pt idx="9">
                  <c:v>0</c:v>
                </c:pt>
                <c:pt idx="10">
                  <c:v>0.20762711864406783</c:v>
                </c:pt>
                <c:pt idx="11">
                  <c:v>0.62411032028469748</c:v>
                </c:pt>
                <c:pt idx="12">
                  <c:v>0</c:v>
                </c:pt>
                <c:pt idx="13">
                  <c:v>0.99868173258003767</c:v>
                </c:pt>
                <c:pt idx="14">
                  <c:v>0.99867256637168145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BODY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0">
                  <c:v>LATCH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0.41319286012797513</c:v>
                </c:pt>
                <c:pt idx="1">
                  <c:v>0.41319286012797513</c:v>
                </c:pt>
                <c:pt idx="2">
                  <c:v>0.41319286012797513</c:v>
                </c:pt>
                <c:pt idx="3">
                  <c:v>0.41319286012797513</c:v>
                </c:pt>
                <c:pt idx="4">
                  <c:v>0.41319286012797513</c:v>
                </c:pt>
                <c:pt idx="5">
                  <c:v>0.41319286012797513</c:v>
                </c:pt>
                <c:pt idx="6">
                  <c:v>0.41319286012797513</c:v>
                </c:pt>
                <c:pt idx="7">
                  <c:v>0.41319286012797513</c:v>
                </c:pt>
                <c:pt idx="8">
                  <c:v>0.41319286012797513</c:v>
                </c:pt>
                <c:pt idx="9">
                  <c:v>0.41319286012797513</c:v>
                </c:pt>
                <c:pt idx="10">
                  <c:v>0.41319286012797513</c:v>
                </c:pt>
                <c:pt idx="11">
                  <c:v>0.41319286012797513</c:v>
                </c:pt>
                <c:pt idx="12">
                  <c:v>0.41319286012797513</c:v>
                </c:pt>
                <c:pt idx="13">
                  <c:v>0.41319286012797513</c:v>
                </c:pt>
                <c:pt idx="14">
                  <c:v>0.41319286012797513</c:v>
                </c:pt>
                <c:pt idx="15">
                  <c:v>0.41319286012797513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775488"/>
        <c:axId val="743298112"/>
      </c:lineChart>
      <c:catAx>
        <c:axId val="65177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3298112"/>
        <c:crosses val="autoZero"/>
        <c:auto val="1"/>
        <c:lblAlgn val="ctr"/>
        <c:lblOffset val="100"/>
        <c:noMultiLvlLbl val="0"/>
      </c:catAx>
      <c:valAx>
        <c:axId val="7432981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1775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BODY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0">
                  <c:v>LATCH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0">
                  <c:v>0</c:v>
                </c:pt>
                <c:pt idx="2">
                  <c:v>4701</c:v>
                </c:pt>
                <c:pt idx="4">
                  <c:v>516</c:v>
                </c:pt>
                <c:pt idx="6">
                  <c:v>2834</c:v>
                </c:pt>
                <c:pt idx="7">
                  <c:v>13578</c:v>
                </c:pt>
                <c:pt idx="8">
                  <c:v>4087</c:v>
                </c:pt>
                <c:pt idx="10">
                  <c:v>2352</c:v>
                </c:pt>
                <c:pt idx="11">
                  <c:v>2806</c:v>
                </c:pt>
                <c:pt idx="13">
                  <c:v>5303</c:v>
                </c:pt>
                <c:pt idx="14">
                  <c:v>4514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BODY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0">
                  <c:v>LATCH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4920</c:v>
                </c:pt>
                <c:pt idx="2">
                  <c:v>4710</c:v>
                </c:pt>
                <c:pt idx="3">
                  <c:v>4880</c:v>
                </c:pt>
                <c:pt idx="4">
                  <c:v>520</c:v>
                </c:pt>
                <c:pt idx="5">
                  <c:v>1020</c:v>
                </c:pt>
                <c:pt idx="6">
                  <c:v>2840</c:v>
                </c:pt>
                <c:pt idx="7">
                  <c:v>13600</c:v>
                </c:pt>
                <c:pt idx="8">
                  <c:v>4090</c:v>
                </c:pt>
                <c:pt idx="9">
                  <c:v>7480</c:v>
                </c:pt>
                <c:pt idx="10">
                  <c:v>2360</c:v>
                </c:pt>
                <c:pt idx="11">
                  <c:v>2810</c:v>
                </c:pt>
                <c:pt idx="12">
                  <c:v>1441</c:v>
                </c:pt>
                <c:pt idx="13">
                  <c:v>5310</c:v>
                </c:pt>
                <c:pt idx="14">
                  <c:v>4520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833344"/>
        <c:axId val="743300416"/>
      </c:lineChart>
      <c:catAx>
        <c:axId val="6518333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3300416"/>
        <c:crosses val="autoZero"/>
        <c:auto val="1"/>
        <c:lblAlgn val="ctr"/>
        <c:lblOffset val="100"/>
        <c:noMultiLvlLbl val="0"/>
      </c:catAx>
      <c:valAx>
        <c:axId val="7433004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1833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"/>
                <c:pt idx="0">
                  <c:v>0% 0% 96% 0% 17% 0% 67% 58% 100% 0% 21% 62%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BODY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0">
                  <c:v>LATCH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0.95650212314225058</c:v>
                </c:pt>
                <c:pt idx="3">
                  <c:v>0</c:v>
                </c:pt>
                <c:pt idx="4">
                  <c:v>0.16538461538461538</c:v>
                </c:pt>
                <c:pt idx="5">
                  <c:v>0</c:v>
                </c:pt>
                <c:pt idx="6">
                  <c:v>0.66525821596244128</c:v>
                </c:pt>
                <c:pt idx="7">
                  <c:v>0.58238970588235295</c:v>
                </c:pt>
                <c:pt idx="8">
                  <c:v>0.99926650366748171</c:v>
                </c:pt>
                <c:pt idx="9">
                  <c:v>0</c:v>
                </c:pt>
                <c:pt idx="10">
                  <c:v>0.20762711864406783</c:v>
                </c:pt>
                <c:pt idx="11">
                  <c:v>0.62411032028469748</c:v>
                </c:pt>
                <c:pt idx="12">
                  <c:v>0</c:v>
                </c:pt>
                <c:pt idx="13">
                  <c:v>0.99868173258003767</c:v>
                </c:pt>
                <c:pt idx="14">
                  <c:v>0.99867256637168145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BODY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0">
                  <c:v>LATCH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0.41319286012797513</c:v>
                </c:pt>
                <c:pt idx="1">
                  <c:v>0.41319286012797513</c:v>
                </c:pt>
                <c:pt idx="2">
                  <c:v>0.41319286012797513</c:v>
                </c:pt>
                <c:pt idx="3">
                  <c:v>0.41319286012797513</c:v>
                </c:pt>
                <c:pt idx="4">
                  <c:v>0.41319286012797513</c:v>
                </c:pt>
                <c:pt idx="5">
                  <c:v>0.41319286012797513</c:v>
                </c:pt>
                <c:pt idx="6">
                  <c:v>0.41319286012797513</c:v>
                </c:pt>
                <c:pt idx="7">
                  <c:v>0.41319286012797513</c:v>
                </c:pt>
                <c:pt idx="8">
                  <c:v>0.41319286012797513</c:v>
                </c:pt>
                <c:pt idx="9">
                  <c:v>0.41319286012797513</c:v>
                </c:pt>
                <c:pt idx="10">
                  <c:v>0.41319286012797513</c:v>
                </c:pt>
                <c:pt idx="11">
                  <c:v>0.41319286012797513</c:v>
                </c:pt>
                <c:pt idx="12">
                  <c:v>0.41319286012797513</c:v>
                </c:pt>
                <c:pt idx="13">
                  <c:v>0.41319286012797513</c:v>
                </c:pt>
                <c:pt idx="14">
                  <c:v>0.41319286012797513</c:v>
                </c:pt>
                <c:pt idx="15">
                  <c:v>0.41319286012797513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834880"/>
        <c:axId val="506258560"/>
      </c:lineChart>
      <c:catAx>
        <c:axId val="65183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06258560"/>
        <c:crosses val="autoZero"/>
        <c:auto val="1"/>
        <c:lblAlgn val="ctr"/>
        <c:lblOffset val="100"/>
        <c:noMultiLvlLbl val="0"/>
      </c:catAx>
      <c:valAx>
        <c:axId val="5062585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1834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1835392"/>
        <c:axId val="5062608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835392"/>
        <c:axId val="506260864"/>
      </c:lineChart>
      <c:catAx>
        <c:axId val="651835392"/>
        <c:scaling>
          <c:orientation val="minMax"/>
        </c:scaling>
        <c:delete val="0"/>
        <c:axPos val="b"/>
        <c:majorTickMark val="out"/>
        <c:minorTickMark val="none"/>
        <c:tickLblPos val="nextTo"/>
        <c:crossAx val="506260864"/>
        <c:crosses val="autoZero"/>
        <c:auto val="1"/>
        <c:lblAlgn val="ctr"/>
        <c:lblOffset val="100"/>
        <c:noMultiLvlLbl val="0"/>
      </c:catAx>
      <c:valAx>
        <c:axId val="5062608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18353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'07'!$L$6:$L$22</c:f>
              <c:numCache>
                <c:formatCode>_(* #,##0_);_(* \(#,##0\);_(* "-"_);_(@_)</c:formatCode>
                <c:ptCount val="17"/>
                <c:pt idx="2">
                  <c:v>4441</c:v>
                </c:pt>
                <c:pt idx="4">
                  <c:v>455</c:v>
                </c:pt>
                <c:pt idx="6">
                  <c:v>4120</c:v>
                </c:pt>
                <c:pt idx="7">
                  <c:v>25298</c:v>
                </c:pt>
                <c:pt idx="8">
                  <c:v>4507</c:v>
                </c:pt>
                <c:pt idx="10">
                  <c:v>5036</c:v>
                </c:pt>
                <c:pt idx="12">
                  <c:v>5222</c:v>
                </c:pt>
                <c:pt idx="13">
                  <c:v>778</c:v>
                </c:pt>
                <c:pt idx="14">
                  <c:v>387</c:v>
                </c:pt>
                <c:pt idx="15">
                  <c:v>1539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'07'!$J$6:$J$22</c:f>
              <c:numCache>
                <c:formatCode>_(* #,##0_);_(* \(#,##0\);_(* "-"_);_(@_)</c:formatCode>
                <c:ptCount val="17"/>
                <c:pt idx="0">
                  <c:v>1970</c:v>
                </c:pt>
                <c:pt idx="1">
                  <c:v>4920</c:v>
                </c:pt>
                <c:pt idx="2">
                  <c:v>4450</c:v>
                </c:pt>
                <c:pt idx="3">
                  <c:v>4880</c:v>
                </c:pt>
                <c:pt idx="4">
                  <c:v>455</c:v>
                </c:pt>
                <c:pt idx="5">
                  <c:v>1020</c:v>
                </c:pt>
                <c:pt idx="6">
                  <c:v>4120</c:v>
                </c:pt>
                <c:pt idx="7">
                  <c:v>25300</c:v>
                </c:pt>
                <c:pt idx="8">
                  <c:v>4510</c:v>
                </c:pt>
                <c:pt idx="9">
                  <c:v>7480</c:v>
                </c:pt>
                <c:pt idx="10">
                  <c:v>5040</c:v>
                </c:pt>
                <c:pt idx="11">
                  <c:v>1441</c:v>
                </c:pt>
                <c:pt idx="12">
                  <c:v>5230</c:v>
                </c:pt>
                <c:pt idx="13">
                  <c:v>780</c:v>
                </c:pt>
                <c:pt idx="14">
                  <c:v>390</c:v>
                </c:pt>
                <c:pt idx="15">
                  <c:v>1540</c:v>
                </c:pt>
                <c:pt idx="16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654016"/>
        <c:axId val="506263744"/>
      </c:lineChart>
      <c:catAx>
        <c:axId val="6536540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6263744"/>
        <c:crosses val="autoZero"/>
        <c:auto val="1"/>
        <c:lblAlgn val="ctr"/>
        <c:lblOffset val="100"/>
        <c:noMultiLvlLbl val="0"/>
      </c:catAx>
      <c:valAx>
        <c:axId val="5062637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3654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'07'!$AD$6:$AD$22</c:f>
              <c:strCache>
                <c:ptCount val="1"/>
                <c:pt idx="0">
                  <c:v>0% 0% 100% 0% 17% 0% 88% 100% 100% 0% 100% 0% 100% 21% 17%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'07'!$AD$6:$AD$22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0.9979775280898876</c:v>
                </c:pt>
                <c:pt idx="3">
                  <c:v>0</c:v>
                </c:pt>
                <c:pt idx="4">
                  <c:v>0.16666666666666666</c:v>
                </c:pt>
                <c:pt idx="5">
                  <c:v>0</c:v>
                </c:pt>
                <c:pt idx="6">
                  <c:v>0.875</c:v>
                </c:pt>
                <c:pt idx="7">
                  <c:v>0.99992094861660075</c:v>
                </c:pt>
                <c:pt idx="8">
                  <c:v>0.99933481152993353</c:v>
                </c:pt>
                <c:pt idx="9">
                  <c:v>0</c:v>
                </c:pt>
                <c:pt idx="10">
                  <c:v>0.99920634920634921</c:v>
                </c:pt>
                <c:pt idx="11">
                  <c:v>0</c:v>
                </c:pt>
                <c:pt idx="12">
                  <c:v>0.99847036328871897</c:v>
                </c:pt>
                <c:pt idx="13">
                  <c:v>0.20779914529914531</c:v>
                </c:pt>
                <c:pt idx="14">
                  <c:v>0.16538461538461538</c:v>
                </c:pt>
                <c:pt idx="15">
                  <c:v>0.49967532467532466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'07'!$AE$6:$AE$22</c:f>
              <c:numCache>
                <c:formatCode>0%</c:formatCode>
                <c:ptCount val="17"/>
                <c:pt idx="0">
                  <c:v>0.46062905018381617</c:v>
                </c:pt>
                <c:pt idx="1">
                  <c:v>0.46062905018381617</c:v>
                </c:pt>
                <c:pt idx="2">
                  <c:v>0.46062905018381617</c:v>
                </c:pt>
                <c:pt idx="3">
                  <c:v>0.46062905018381617</c:v>
                </c:pt>
                <c:pt idx="4">
                  <c:v>0.46062905018381617</c:v>
                </c:pt>
                <c:pt idx="5">
                  <c:v>0.46062905018381617</c:v>
                </c:pt>
                <c:pt idx="6">
                  <c:v>0.46062905018381617</c:v>
                </c:pt>
                <c:pt idx="7">
                  <c:v>0.46062905018381617</c:v>
                </c:pt>
                <c:pt idx="8">
                  <c:v>0.46062905018381617</c:v>
                </c:pt>
                <c:pt idx="9">
                  <c:v>0.46062905018381617</c:v>
                </c:pt>
                <c:pt idx="10">
                  <c:v>0.46062905018381617</c:v>
                </c:pt>
                <c:pt idx="11">
                  <c:v>0.46062905018381617</c:v>
                </c:pt>
                <c:pt idx="12">
                  <c:v>0.46062905018381617</c:v>
                </c:pt>
                <c:pt idx="13">
                  <c:v>0.46062905018381617</c:v>
                </c:pt>
                <c:pt idx="14">
                  <c:v>0.46062905018381617</c:v>
                </c:pt>
                <c:pt idx="15">
                  <c:v>0.46062905018381617</c:v>
                </c:pt>
                <c:pt idx="16">
                  <c:v>0.46062905018381617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655552"/>
        <c:axId val="342179840"/>
      </c:lineChart>
      <c:catAx>
        <c:axId val="65365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2179840"/>
        <c:crosses val="autoZero"/>
        <c:auto val="1"/>
        <c:lblAlgn val="ctr"/>
        <c:lblOffset val="100"/>
        <c:noMultiLvlLbl val="0"/>
      </c:catAx>
      <c:valAx>
        <c:axId val="3421798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3655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'07'!$L$6:$L$22</c:f>
              <c:numCache>
                <c:formatCode>_(* #,##0_);_(* \(#,##0\);_(* "-"_);_(@_)</c:formatCode>
                <c:ptCount val="17"/>
                <c:pt idx="2">
                  <c:v>4441</c:v>
                </c:pt>
                <c:pt idx="4">
                  <c:v>455</c:v>
                </c:pt>
                <c:pt idx="6">
                  <c:v>4120</c:v>
                </c:pt>
                <c:pt idx="7">
                  <c:v>25298</c:v>
                </c:pt>
                <c:pt idx="8">
                  <c:v>4507</c:v>
                </c:pt>
                <c:pt idx="10">
                  <c:v>5036</c:v>
                </c:pt>
                <c:pt idx="12">
                  <c:v>5222</c:v>
                </c:pt>
                <c:pt idx="13">
                  <c:v>778</c:v>
                </c:pt>
                <c:pt idx="14">
                  <c:v>387</c:v>
                </c:pt>
                <c:pt idx="15">
                  <c:v>1539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'07'!$J$6:$J$22</c:f>
              <c:numCache>
                <c:formatCode>_(* #,##0_);_(* \(#,##0\);_(* "-"_);_(@_)</c:formatCode>
                <c:ptCount val="17"/>
                <c:pt idx="0">
                  <c:v>1970</c:v>
                </c:pt>
                <c:pt idx="1">
                  <c:v>4920</c:v>
                </c:pt>
                <c:pt idx="2">
                  <c:v>4450</c:v>
                </c:pt>
                <c:pt idx="3">
                  <c:v>4880</c:v>
                </c:pt>
                <c:pt idx="4">
                  <c:v>455</c:v>
                </c:pt>
                <c:pt idx="5">
                  <c:v>1020</c:v>
                </c:pt>
                <c:pt idx="6">
                  <c:v>4120</c:v>
                </c:pt>
                <c:pt idx="7">
                  <c:v>25300</c:v>
                </c:pt>
                <c:pt idx="8">
                  <c:v>4510</c:v>
                </c:pt>
                <c:pt idx="9">
                  <c:v>7480</c:v>
                </c:pt>
                <c:pt idx="10">
                  <c:v>5040</c:v>
                </c:pt>
                <c:pt idx="11">
                  <c:v>1441</c:v>
                </c:pt>
                <c:pt idx="12">
                  <c:v>5230</c:v>
                </c:pt>
                <c:pt idx="13">
                  <c:v>780</c:v>
                </c:pt>
                <c:pt idx="14">
                  <c:v>390</c:v>
                </c:pt>
                <c:pt idx="15">
                  <c:v>1540</c:v>
                </c:pt>
                <c:pt idx="16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319616"/>
        <c:axId val="342182144"/>
      </c:lineChart>
      <c:catAx>
        <c:axId val="6543196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2182144"/>
        <c:crosses val="autoZero"/>
        <c:auto val="1"/>
        <c:lblAlgn val="ctr"/>
        <c:lblOffset val="100"/>
        <c:noMultiLvlLbl val="0"/>
      </c:catAx>
      <c:valAx>
        <c:axId val="3421821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4319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'07'!$AD$6:$AD$22</c:f>
              <c:strCache>
                <c:ptCount val="1"/>
                <c:pt idx="0">
                  <c:v>0% 0% 100% 0% 17% 0% 88% 100% 100% 0% 100% 0% 100% 21% 17%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'07'!$AD$6:$AD$22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0.9979775280898876</c:v>
                </c:pt>
                <c:pt idx="3">
                  <c:v>0</c:v>
                </c:pt>
                <c:pt idx="4">
                  <c:v>0.16666666666666666</c:v>
                </c:pt>
                <c:pt idx="5">
                  <c:v>0</c:v>
                </c:pt>
                <c:pt idx="6">
                  <c:v>0.875</c:v>
                </c:pt>
                <c:pt idx="7">
                  <c:v>0.99992094861660075</c:v>
                </c:pt>
                <c:pt idx="8">
                  <c:v>0.99933481152993353</c:v>
                </c:pt>
                <c:pt idx="9">
                  <c:v>0</c:v>
                </c:pt>
                <c:pt idx="10">
                  <c:v>0.99920634920634921</c:v>
                </c:pt>
                <c:pt idx="11">
                  <c:v>0</c:v>
                </c:pt>
                <c:pt idx="12">
                  <c:v>0.99847036328871897</c:v>
                </c:pt>
                <c:pt idx="13">
                  <c:v>0.20779914529914531</c:v>
                </c:pt>
                <c:pt idx="14">
                  <c:v>0.16538461538461538</c:v>
                </c:pt>
                <c:pt idx="15">
                  <c:v>0.49967532467532466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F/ADAPTER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'07'!$AE$6:$AE$22</c:f>
              <c:numCache>
                <c:formatCode>0%</c:formatCode>
                <c:ptCount val="17"/>
                <c:pt idx="0">
                  <c:v>0.46062905018381617</c:v>
                </c:pt>
                <c:pt idx="1">
                  <c:v>0.46062905018381617</c:v>
                </c:pt>
                <c:pt idx="2">
                  <c:v>0.46062905018381617</c:v>
                </c:pt>
                <c:pt idx="3">
                  <c:v>0.46062905018381617</c:v>
                </c:pt>
                <c:pt idx="4">
                  <c:v>0.46062905018381617</c:v>
                </c:pt>
                <c:pt idx="5">
                  <c:v>0.46062905018381617</c:v>
                </c:pt>
                <c:pt idx="6">
                  <c:v>0.46062905018381617</c:v>
                </c:pt>
                <c:pt idx="7">
                  <c:v>0.46062905018381617</c:v>
                </c:pt>
                <c:pt idx="8">
                  <c:v>0.46062905018381617</c:v>
                </c:pt>
                <c:pt idx="9">
                  <c:v>0.46062905018381617</c:v>
                </c:pt>
                <c:pt idx="10">
                  <c:v>0.46062905018381617</c:v>
                </c:pt>
                <c:pt idx="11">
                  <c:v>0.46062905018381617</c:v>
                </c:pt>
                <c:pt idx="12">
                  <c:v>0.46062905018381617</c:v>
                </c:pt>
                <c:pt idx="13">
                  <c:v>0.46062905018381617</c:v>
                </c:pt>
                <c:pt idx="14">
                  <c:v>0.46062905018381617</c:v>
                </c:pt>
                <c:pt idx="15">
                  <c:v>0.46062905018381617</c:v>
                </c:pt>
                <c:pt idx="16">
                  <c:v>0.46062905018381617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320640"/>
        <c:axId val="342183872"/>
      </c:lineChart>
      <c:catAx>
        <c:axId val="65432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2183872"/>
        <c:crosses val="autoZero"/>
        <c:auto val="1"/>
        <c:lblAlgn val="ctr"/>
        <c:lblOffset val="100"/>
        <c:noMultiLvlLbl val="0"/>
      </c:catAx>
      <c:valAx>
        <c:axId val="3421838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4320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1835904"/>
        <c:axId val="3421861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835904"/>
        <c:axId val="342186176"/>
      </c:lineChart>
      <c:catAx>
        <c:axId val="65183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342186176"/>
        <c:crosses val="autoZero"/>
        <c:auto val="1"/>
        <c:lblAlgn val="ctr"/>
        <c:lblOffset val="100"/>
        <c:noMultiLvlLbl val="0"/>
      </c:catAx>
      <c:valAx>
        <c:axId val="3421861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183590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ACTUATOR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4830</c:v>
                </c:pt>
                <c:pt idx="3">
                  <c:v>2928</c:v>
                </c:pt>
                <c:pt idx="5">
                  <c:v>947</c:v>
                </c:pt>
                <c:pt idx="6">
                  <c:v>5019</c:v>
                </c:pt>
                <c:pt idx="7">
                  <c:v>24852</c:v>
                </c:pt>
                <c:pt idx="8">
                  <c:v>5234</c:v>
                </c:pt>
                <c:pt idx="12">
                  <c:v>5284</c:v>
                </c:pt>
                <c:pt idx="13">
                  <c:v>1622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ACTUATOR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4920</c:v>
                </c:pt>
                <c:pt idx="2">
                  <c:v>4830</c:v>
                </c:pt>
                <c:pt idx="3">
                  <c:v>2930</c:v>
                </c:pt>
                <c:pt idx="4">
                  <c:v>455</c:v>
                </c:pt>
                <c:pt idx="5">
                  <c:v>950</c:v>
                </c:pt>
                <c:pt idx="6">
                  <c:v>5020</c:v>
                </c:pt>
                <c:pt idx="7">
                  <c:v>24860</c:v>
                </c:pt>
                <c:pt idx="8">
                  <c:v>5240</c:v>
                </c:pt>
                <c:pt idx="9">
                  <c:v>7480</c:v>
                </c:pt>
                <c:pt idx="10">
                  <c:v>5040</c:v>
                </c:pt>
                <c:pt idx="11">
                  <c:v>1441</c:v>
                </c:pt>
                <c:pt idx="12">
                  <c:v>5290</c:v>
                </c:pt>
                <c:pt idx="13">
                  <c:v>1630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87232"/>
        <c:axId val="347842816"/>
      </c:lineChart>
      <c:catAx>
        <c:axId val="6546872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7842816"/>
        <c:crosses val="autoZero"/>
        <c:auto val="1"/>
        <c:lblAlgn val="ctr"/>
        <c:lblOffset val="100"/>
        <c:noMultiLvlLbl val="0"/>
      </c:catAx>
      <c:valAx>
        <c:axId val="3478428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4687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0% 0% 100% 71% 0% 33% 100% 100% 100% 0% 0% 0% 100% 41%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ACTUATOR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0.70784982935153584</c:v>
                </c:pt>
                <c:pt idx="4">
                  <c:v>0</c:v>
                </c:pt>
                <c:pt idx="5">
                  <c:v>0.33228070175438595</c:v>
                </c:pt>
                <c:pt idx="6">
                  <c:v>0.99980079681274903</c:v>
                </c:pt>
                <c:pt idx="7">
                  <c:v>0.99967819790828638</c:v>
                </c:pt>
                <c:pt idx="8">
                  <c:v>0.99885496183206102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0.99886578449905483</c:v>
                </c:pt>
                <c:pt idx="13">
                  <c:v>0.41462167689161555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ACTUATOR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0.43013012993664584</c:v>
                </c:pt>
                <c:pt idx="1">
                  <c:v>0.43013012993664584</c:v>
                </c:pt>
                <c:pt idx="2">
                  <c:v>0.43013012993664584</c:v>
                </c:pt>
                <c:pt idx="3">
                  <c:v>0.43013012993664584</c:v>
                </c:pt>
                <c:pt idx="4">
                  <c:v>0.43013012993664584</c:v>
                </c:pt>
                <c:pt idx="5">
                  <c:v>0.43013012993664584</c:v>
                </c:pt>
                <c:pt idx="6">
                  <c:v>0.43013012993664584</c:v>
                </c:pt>
                <c:pt idx="7">
                  <c:v>0.43013012993664584</c:v>
                </c:pt>
                <c:pt idx="8">
                  <c:v>0.43013012993664584</c:v>
                </c:pt>
                <c:pt idx="9">
                  <c:v>0.43013012993664584</c:v>
                </c:pt>
                <c:pt idx="10">
                  <c:v>0.43013012993664584</c:v>
                </c:pt>
                <c:pt idx="11">
                  <c:v>0.43013012993664584</c:v>
                </c:pt>
                <c:pt idx="12">
                  <c:v>0.43013012993664584</c:v>
                </c:pt>
                <c:pt idx="13">
                  <c:v>0.43013012993664584</c:v>
                </c:pt>
                <c:pt idx="14">
                  <c:v>0.43013012993664584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96960"/>
        <c:axId val="347844544"/>
      </c:lineChart>
      <c:catAx>
        <c:axId val="6546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7844544"/>
        <c:crosses val="autoZero"/>
        <c:auto val="1"/>
        <c:lblAlgn val="ctr"/>
        <c:lblOffset val="100"/>
        <c:noMultiLvlLbl val="0"/>
      </c:catAx>
      <c:valAx>
        <c:axId val="3478445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4696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ACTUATOR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4830</c:v>
                </c:pt>
                <c:pt idx="3">
                  <c:v>2928</c:v>
                </c:pt>
                <c:pt idx="5">
                  <c:v>947</c:v>
                </c:pt>
                <c:pt idx="6">
                  <c:v>5019</c:v>
                </c:pt>
                <c:pt idx="7">
                  <c:v>24852</c:v>
                </c:pt>
                <c:pt idx="8">
                  <c:v>5234</c:v>
                </c:pt>
                <c:pt idx="12">
                  <c:v>5284</c:v>
                </c:pt>
                <c:pt idx="13">
                  <c:v>1622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ACTUATOR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4920</c:v>
                </c:pt>
                <c:pt idx="2">
                  <c:v>4830</c:v>
                </c:pt>
                <c:pt idx="3">
                  <c:v>2930</c:v>
                </c:pt>
                <c:pt idx="4">
                  <c:v>455</c:v>
                </c:pt>
                <c:pt idx="5">
                  <c:v>950</c:v>
                </c:pt>
                <c:pt idx="6">
                  <c:v>5020</c:v>
                </c:pt>
                <c:pt idx="7">
                  <c:v>24860</c:v>
                </c:pt>
                <c:pt idx="8">
                  <c:v>5240</c:v>
                </c:pt>
                <c:pt idx="9">
                  <c:v>7480</c:v>
                </c:pt>
                <c:pt idx="10">
                  <c:v>5040</c:v>
                </c:pt>
                <c:pt idx="11">
                  <c:v>1441</c:v>
                </c:pt>
                <c:pt idx="12">
                  <c:v>5290</c:v>
                </c:pt>
                <c:pt idx="13">
                  <c:v>1630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97472"/>
        <c:axId val="347846848"/>
      </c:lineChart>
      <c:catAx>
        <c:axId val="6546974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7846848"/>
        <c:crosses val="autoZero"/>
        <c:auto val="1"/>
        <c:lblAlgn val="ctr"/>
        <c:lblOffset val="100"/>
        <c:noMultiLvlLbl val="0"/>
      </c:catAx>
      <c:valAx>
        <c:axId val="3478468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4697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0% 0% 100% 71% 0% 33% 100% 100% 100% 0% 0% 0% 100% 41%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ACTUATOR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0.70784982935153584</c:v>
                </c:pt>
                <c:pt idx="4">
                  <c:v>0</c:v>
                </c:pt>
                <c:pt idx="5">
                  <c:v>0.33228070175438595</c:v>
                </c:pt>
                <c:pt idx="6">
                  <c:v>0.99980079681274903</c:v>
                </c:pt>
                <c:pt idx="7">
                  <c:v>0.99967819790828638</c:v>
                </c:pt>
                <c:pt idx="8">
                  <c:v>0.99885496183206102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0.99886578449905483</c:v>
                </c:pt>
                <c:pt idx="13">
                  <c:v>0.41462167689161555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ACTUATOR</c:v>
                </c:pt>
                <c:pt idx="5">
                  <c:v>ACTUATOR</c:v>
                </c:pt>
                <c:pt idx="6">
                  <c:v>BODY</c:v>
                </c:pt>
                <c:pt idx="7">
                  <c:v>SEPARATOR</c:v>
                </c:pt>
                <c:pt idx="8">
                  <c:v>COVER</c:v>
                </c:pt>
                <c:pt idx="9">
                  <c:v>LCD LID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0.43013012993664584</c:v>
                </c:pt>
                <c:pt idx="1">
                  <c:v>0.43013012993664584</c:v>
                </c:pt>
                <c:pt idx="2">
                  <c:v>0.43013012993664584</c:v>
                </c:pt>
                <c:pt idx="3">
                  <c:v>0.43013012993664584</c:v>
                </c:pt>
                <c:pt idx="4">
                  <c:v>0.43013012993664584</c:v>
                </c:pt>
                <c:pt idx="5">
                  <c:v>0.43013012993664584</c:v>
                </c:pt>
                <c:pt idx="6">
                  <c:v>0.43013012993664584</c:v>
                </c:pt>
                <c:pt idx="7">
                  <c:v>0.43013012993664584</c:v>
                </c:pt>
                <c:pt idx="8">
                  <c:v>0.43013012993664584</c:v>
                </c:pt>
                <c:pt idx="9">
                  <c:v>0.43013012993664584</c:v>
                </c:pt>
                <c:pt idx="10">
                  <c:v>0.43013012993664584</c:v>
                </c:pt>
                <c:pt idx="11">
                  <c:v>0.43013012993664584</c:v>
                </c:pt>
                <c:pt idx="12">
                  <c:v>0.43013012993664584</c:v>
                </c:pt>
                <c:pt idx="13">
                  <c:v>0.43013012993664584</c:v>
                </c:pt>
                <c:pt idx="14">
                  <c:v>0.43013012993664584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98496"/>
        <c:axId val="407552000"/>
      </c:lineChart>
      <c:catAx>
        <c:axId val="65469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07552000"/>
        <c:crosses val="autoZero"/>
        <c:auto val="1"/>
        <c:lblAlgn val="ctr"/>
        <c:lblOffset val="100"/>
        <c:noMultiLvlLbl val="0"/>
      </c:catAx>
      <c:valAx>
        <c:axId val="4075520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4698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4699008"/>
        <c:axId val="40755430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99008"/>
        <c:axId val="407554304"/>
      </c:lineChart>
      <c:catAx>
        <c:axId val="654699008"/>
        <c:scaling>
          <c:orientation val="minMax"/>
        </c:scaling>
        <c:delete val="0"/>
        <c:axPos val="b"/>
        <c:majorTickMark val="out"/>
        <c:minorTickMark val="none"/>
        <c:tickLblPos val="nextTo"/>
        <c:crossAx val="407554304"/>
        <c:crosses val="autoZero"/>
        <c:auto val="1"/>
        <c:lblAlgn val="ctr"/>
        <c:lblOffset val="100"/>
        <c:noMultiLvlLbl val="0"/>
      </c:catAx>
      <c:valAx>
        <c:axId val="4075543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469900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LCD LID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4131</c:v>
                </c:pt>
                <c:pt idx="4">
                  <c:v>1298</c:v>
                </c:pt>
                <c:pt idx="5">
                  <c:v>0</c:v>
                </c:pt>
                <c:pt idx="6">
                  <c:v>3677</c:v>
                </c:pt>
                <c:pt idx="7">
                  <c:v>1349</c:v>
                </c:pt>
                <c:pt idx="8">
                  <c:v>2502</c:v>
                </c:pt>
                <c:pt idx="9">
                  <c:v>403</c:v>
                </c:pt>
                <c:pt idx="13">
                  <c:v>3216</c:v>
                </c:pt>
                <c:pt idx="14">
                  <c:v>3869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LCD LID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4920</c:v>
                </c:pt>
                <c:pt idx="2">
                  <c:v>4140</c:v>
                </c:pt>
                <c:pt idx="3">
                  <c:v>2930</c:v>
                </c:pt>
                <c:pt idx="4">
                  <c:v>1300</c:v>
                </c:pt>
                <c:pt idx="5">
                  <c:v>950</c:v>
                </c:pt>
                <c:pt idx="6">
                  <c:v>3680</c:v>
                </c:pt>
                <c:pt idx="7">
                  <c:v>1350</c:v>
                </c:pt>
                <c:pt idx="8">
                  <c:v>2510</c:v>
                </c:pt>
                <c:pt idx="9">
                  <c:v>410</c:v>
                </c:pt>
                <c:pt idx="10">
                  <c:v>7480</c:v>
                </c:pt>
                <c:pt idx="11">
                  <c:v>5040</c:v>
                </c:pt>
                <c:pt idx="12">
                  <c:v>1441</c:v>
                </c:pt>
                <c:pt idx="13">
                  <c:v>3220</c:v>
                </c:pt>
                <c:pt idx="14">
                  <c:v>3870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625536"/>
        <c:axId val="407557184"/>
      </c:lineChart>
      <c:catAx>
        <c:axId val="6986255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07557184"/>
        <c:crosses val="autoZero"/>
        <c:auto val="1"/>
        <c:lblAlgn val="ctr"/>
        <c:lblOffset val="100"/>
        <c:noMultiLvlLbl val="0"/>
      </c:catAx>
      <c:valAx>
        <c:axId val="4075571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9862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"/>
                <c:pt idx="0">
                  <c:v>0% 0% 96% 0% 33% 0% 83% 50% 46% 16% 0% 0% 0% 79%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LCD LID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0.95625000000000004</c:v>
                </c:pt>
                <c:pt idx="3">
                  <c:v>0</c:v>
                </c:pt>
                <c:pt idx="4">
                  <c:v>0.33282051282051284</c:v>
                </c:pt>
                <c:pt idx="5">
                  <c:v>0</c:v>
                </c:pt>
                <c:pt idx="6">
                  <c:v>0.83265398550724645</c:v>
                </c:pt>
                <c:pt idx="7">
                  <c:v>0.49962962962962965</c:v>
                </c:pt>
                <c:pt idx="8">
                  <c:v>0.45687250996015938</c:v>
                </c:pt>
                <c:pt idx="9">
                  <c:v>0.16382113821138211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0.79068322981366457</c:v>
                </c:pt>
                <c:pt idx="14">
                  <c:v>0.91642980189491807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LCD LID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0.3299440538558342</c:v>
                </c:pt>
                <c:pt idx="1">
                  <c:v>0.3299440538558342</c:v>
                </c:pt>
                <c:pt idx="2">
                  <c:v>0.3299440538558342</c:v>
                </c:pt>
                <c:pt idx="3">
                  <c:v>0.3299440538558342</c:v>
                </c:pt>
                <c:pt idx="4">
                  <c:v>0.3299440538558342</c:v>
                </c:pt>
                <c:pt idx="5">
                  <c:v>0.3299440538558342</c:v>
                </c:pt>
                <c:pt idx="6">
                  <c:v>0.3299440538558342</c:v>
                </c:pt>
                <c:pt idx="7">
                  <c:v>0.3299440538558342</c:v>
                </c:pt>
                <c:pt idx="8">
                  <c:v>0.3299440538558342</c:v>
                </c:pt>
                <c:pt idx="9">
                  <c:v>0.3299440538558342</c:v>
                </c:pt>
                <c:pt idx="10">
                  <c:v>0.3299440538558342</c:v>
                </c:pt>
                <c:pt idx="11">
                  <c:v>0.3299440538558342</c:v>
                </c:pt>
                <c:pt idx="12">
                  <c:v>0.3299440538558342</c:v>
                </c:pt>
                <c:pt idx="13">
                  <c:v>0.3299440538558342</c:v>
                </c:pt>
                <c:pt idx="14">
                  <c:v>0.3299440538558342</c:v>
                </c:pt>
                <c:pt idx="15">
                  <c:v>0.3299440538558342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663424"/>
        <c:axId val="407558912"/>
      </c:lineChart>
      <c:catAx>
        <c:axId val="69866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07558912"/>
        <c:crosses val="autoZero"/>
        <c:auto val="1"/>
        <c:lblAlgn val="ctr"/>
        <c:lblOffset val="100"/>
        <c:noMultiLvlLbl val="0"/>
      </c:catAx>
      <c:valAx>
        <c:axId val="4075589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98663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LCD LID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4131</c:v>
                </c:pt>
                <c:pt idx="4">
                  <c:v>1298</c:v>
                </c:pt>
                <c:pt idx="5">
                  <c:v>0</c:v>
                </c:pt>
                <c:pt idx="6">
                  <c:v>3677</c:v>
                </c:pt>
                <c:pt idx="7">
                  <c:v>1349</c:v>
                </c:pt>
                <c:pt idx="8">
                  <c:v>2502</c:v>
                </c:pt>
                <c:pt idx="9">
                  <c:v>403</c:v>
                </c:pt>
                <c:pt idx="13">
                  <c:v>3216</c:v>
                </c:pt>
                <c:pt idx="14">
                  <c:v>3869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LCD LID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4920</c:v>
                </c:pt>
                <c:pt idx="2">
                  <c:v>4140</c:v>
                </c:pt>
                <c:pt idx="3">
                  <c:v>2930</c:v>
                </c:pt>
                <c:pt idx="4">
                  <c:v>1300</c:v>
                </c:pt>
                <c:pt idx="5">
                  <c:v>950</c:v>
                </c:pt>
                <c:pt idx="6">
                  <c:v>3680</c:v>
                </c:pt>
                <c:pt idx="7">
                  <c:v>1350</c:v>
                </c:pt>
                <c:pt idx="8">
                  <c:v>2510</c:v>
                </c:pt>
                <c:pt idx="9">
                  <c:v>410</c:v>
                </c:pt>
                <c:pt idx="10">
                  <c:v>7480</c:v>
                </c:pt>
                <c:pt idx="11">
                  <c:v>5040</c:v>
                </c:pt>
                <c:pt idx="12">
                  <c:v>1441</c:v>
                </c:pt>
                <c:pt idx="13">
                  <c:v>3220</c:v>
                </c:pt>
                <c:pt idx="14">
                  <c:v>3870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664448"/>
        <c:axId val="472745088"/>
      </c:lineChart>
      <c:catAx>
        <c:axId val="6986644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72745088"/>
        <c:crosses val="autoZero"/>
        <c:auto val="1"/>
        <c:lblAlgn val="ctr"/>
        <c:lblOffset val="100"/>
        <c:noMultiLvlLbl val="0"/>
      </c:catAx>
      <c:valAx>
        <c:axId val="4727450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98664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"/>
                <c:pt idx="0">
                  <c:v>0% 0% 96% 0% 33% 0% 83% 50% 46% 16% 0% 0% 0% 79%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LCD LID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0.95625000000000004</c:v>
                </c:pt>
                <c:pt idx="3">
                  <c:v>0</c:v>
                </c:pt>
                <c:pt idx="4">
                  <c:v>0.33282051282051284</c:v>
                </c:pt>
                <c:pt idx="5">
                  <c:v>0</c:v>
                </c:pt>
                <c:pt idx="6">
                  <c:v>0.83265398550724645</c:v>
                </c:pt>
                <c:pt idx="7">
                  <c:v>0.49962962962962965</c:v>
                </c:pt>
                <c:pt idx="8">
                  <c:v>0.45687250996015938</c:v>
                </c:pt>
                <c:pt idx="9">
                  <c:v>0.16382113821138211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0.79068322981366457</c:v>
                </c:pt>
                <c:pt idx="14">
                  <c:v>0.91642980189491807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LCD LID</c:v>
                </c:pt>
                <c:pt idx="12">
                  <c:v>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0.3299440538558342</c:v>
                </c:pt>
                <c:pt idx="1">
                  <c:v>0.3299440538558342</c:v>
                </c:pt>
                <c:pt idx="2">
                  <c:v>0.3299440538558342</c:v>
                </c:pt>
                <c:pt idx="3">
                  <c:v>0.3299440538558342</c:v>
                </c:pt>
                <c:pt idx="4">
                  <c:v>0.3299440538558342</c:v>
                </c:pt>
                <c:pt idx="5">
                  <c:v>0.3299440538558342</c:v>
                </c:pt>
                <c:pt idx="6">
                  <c:v>0.3299440538558342</c:v>
                </c:pt>
                <c:pt idx="7">
                  <c:v>0.3299440538558342</c:v>
                </c:pt>
                <c:pt idx="8">
                  <c:v>0.3299440538558342</c:v>
                </c:pt>
                <c:pt idx="9">
                  <c:v>0.3299440538558342</c:v>
                </c:pt>
                <c:pt idx="10">
                  <c:v>0.3299440538558342</c:v>
                </c:pt>
                <c:pt idx="11">
                  <c:v>0.3299440538558342</c:v>
                </c:pt>
                <c:pt idx="12">
                  <c:v>0.3299440538558342</c:v>
                </c:pt>
                <c:pt idx="13">
                  <c:v>0.3299440538558342</c:v>
                </c:pt>
                <c:pt idx="14">
                  <c:v>0.3299440538558342</c:v>
                </c:pt>
                <c:pt idx="15">
                  <c:v>0.3299440538558342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664960"/>
        <c:axId val="472746816"/>
      </c:lineChart>
      <c:catAx>
        <c:axId val="6986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2746816"/>
        <c:crosses val="autoZero"/>
        <c:auto val="1"/>
        <c:lblAlgn val="ctr"/>
        <c:lblOffset val="100"/>
        <c:noMultiLvlLbl val="0"/>
      </c:catAx>
      <c:valAx>
        <c:axId val="4727468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98664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65472"/>
        <c:axId val="4727491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665472"/>
        <c:axId val="472749120"/>
      </c:lineChart>
      <c:catAx>
        <c:axId val="698665472"/>
        <c:scaling>
          <c:orientation val="minMax"/>
        </c:scaling>
        <c:delete val="0"/>
        <c:axPos val="b"/>
        <c:majorTickMark val="out"/>
        <c:minorTickMark val="none"/>
        <c:tickLblPos val="nextTo"/>
        <c:crossAx val="472749120"/>
        <c:crosses val="autoZero"/>
        <c:auto val="1"/>
        <c:lblAlgn val="ctr"/>
        <c:lblOffset val="100"/>
        <c:noMultiLvlLbl val="0"/>
      </c:catAx>
      <c:valAx>
        <c:axId val="4727491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9866547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1615</c:v>
                </c:pt>
                <c:pt idx="3">
                  <c:v>2688</c:v>
                </c:pt>
                <c:pt idx="6">
                  <c:v>4074</c:v>
                </c:pt>
                <c:pt idx="7">
                  <c:v>5636</c:v>
                </c:pt>
                <c:pt idx="9">
                  <c:v>6898</c:v>
                </c:pt>
                <c:pt idx="12">
                  <c:v>5257</c:v>
                </c:pt>
                <c:pt idx="13">
                  <c:v>3976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4920</c:v>
                </c:pt>
                <c:pt idx="2">
                  <c:v>1620</c:v>
                </c:pt>
                <c:pt idx="3">
                  <c:v>2690</c:v>
                </c:pt>
                <c:pt idx="4">
                  <c:v>1300</c:v>
                </c:pt>
                <c:pt idx="5">
                  <c:v>950</c:v>
                </c:pt>
                <c:pt idx="6">
                  <c:v>4080</c:v>
                </c:pt>
                <c:pt idx="7">
                  <c:v>5640</c:v>
                </c:pt>
                <c:pt idx="8">
                  <c:v>410</c:v>
                </c:pt>
                <c:pt idx="9">
                  <c:v>6900</c:v>
                </c:pt>
                <c:pt idx="10">
                  <c:v>5040</c:v>
                </c:pt>
                <c:pt idx="11">
                  <c:v>1441</c:v>
                </c:pt>
                <c:pt idx="12">
                  <c:v>5260</c:v>
                </c:pt>
                <c:pt idx="13">
                  <c:v>4000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343872"/>
        <c:axId val="479698944"/>
      </c:lineChart>
      <c:catAx>
        <c:axId val="7073438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79698944"/>
        <c:crosses val="autoZero"/>
        <c:auto val="1"/>
        <c:lblAlgn val="ctr"/>
        <c:lblOffset val="100"/>
        <c:noMultiLvlLbl val="0"/>
      </c:catAx>
      <c:valAx>
        <c:axId val="4796989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7343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0% 46% 62% 0% 0% 87% 100% 0% 92% 0% 0% 100% 95%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0.45691872427983538</c:v>
                </c:pt>
                <c:pt idx="3">
                  <c:v>0.62453531598513012</c:v>
                </c:pt>
                <c:pt idx="4">
                  <c:v>0</c:v>
                </c:pt>
                <c:pt idx="5">
                  <c:v>0</c:v>
                </c:pt>
                <c:pt idx="6">
                  <c:v>0.87371323529411771</c:v>
                </c:pt>
                <c:pt idx="7">
                  <c:v>0.99929078014184403</c:v>
                </c:pt>
                <c:pt idx="8">
                  <c:v>0</c:v>
                </c:pt>
                <c:pt idx="9">
                  <c:v>0.91640096618357481</c:v>
                </c:pt>
                <c:pt idx="10">
                  <c:v>0</c:v>
                </c:pt>
                <c:pt idx="11">
                  <c:v>0</c:v>
                </c:pt>
                <c:pt idx="12">
                  <c:v>0.99942965779467685</c:v>
                </c:pt>
                <c:pt idx="13">
                  <c:v>0.95258333333333334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0.3881914675341675</c:v>
                </c:pt>
                <c:pt idx="1">
                  <c:v>0.3881914675341675</c:v>
                </c:pt>
                <c:pt idx="2">
                  <c:v>0.3881914675341675</c:v>
                </c:pt>
                <c:pt idx="3">
                  <c:v>0.3881914675341675</c:v>
                </c:pt>
                <c:pt idx="4">
                  <c:v>0.3881914675341675</c:v>
                </c:pt>
                <c:pt idx="5">
                  <c:v>0.3881914675341675</c:v>
                </c:pt>
                <c:pt idx="6">
                  <c:v>0.3881914675341675</c:v>
                </c:pt>
                <c:pt idx="7">
                  <c:v>0.3881914675341675</c:v>
                </c:pt>
                <c:pt idx="8">
                  <c:v>0.3881914675341675</c:v>
                </c:pt>
                <c:pt idx="9">
                  <c:v>0.3881914675341675</c:v>
                </c:pt>
                <c:pt idx="10">
                  <c:v>0.3881914675341675</c:v>
                </c:pt>
                <c:pt idx="11">
                  <c:v>0.3881914675341675</c:v>
                </c:pt>
                <c:pt idx="12">
                  <c:v>0.3881914675341675</c:v>
                </c:pt>
                <c:pt idx="13">
                  <c:v>0.3881914675341675</c:v>
                </c:pt>
                <c:pt idx="14">
                  <c:v>0.3881914675341675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345920"/>
        <c:axId val="479700672"/>
      </c:lineChart>
      <c:catAx>
        <c:axId val="70734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9700672"/>
        <c:crosses val="autoZero"/>
        <c:auto val="1"/>
        <c:lblAlgn val="ctr"/>
        <c:lblOffset val="100"/>
        <c:noMultiLvlLbl val="0"/>
      </c:catAx>
      <c:valAx>
        <c:axId val="4797006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7345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1615</c:v>
                </c:pt>
                <c:pt idx="3">
                  <c:v>2688</c:v>
                </c:pt>
                <c:pt idx="6">
                  <c:v>4074</c:v>
                </c:pt>
                <c:pt idx="7">
                  <c:v>5636</c:v>
                </c:pt>
                <c:pt idx="9">
                  <c:v>6898</c:v>
                </c:pt>
                <c:pt idx="12">
                  <c:v>5257</c:v>
                </c:pt>
                <c:pt idx="13">
                  <c:v>3976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4920</c:v>
                </c:pt>
                <c:pt idx="2">
                  <c:v>1620</c:v>
                </c:pt>
                <c:pt idx="3">
                  <c:v>2690</c:v>
                </c:pt>
                <c:pt idx="4">
                  <c:v>1300</c:v>
                </c:pt>
                <c:pt idx="5">
                  <c:v>950</c:v>
                </c:pt>
                <c:pt idx="6">
                  <c:v>4080</c:v>
                </c:pt>
                <c:pt idx="7">
                  <c:v>5640</c:v>
                </c:pt>
                <c:pt idx="8">
                  <c:v>410</c:v>
                </c:pt>
                <c:pt idx="9">
                  <c:v>6900</c:v>
                </c:pt>
                <c:pt idx="10">
                  <c:v>5040</c:v>
                </c:pt>
                <c:pt idx="11">
                  <c:v>1441</c:v>
                </c:pt>
                <c:pt idx="12">
                  <c:v>5260</c:v>
                </c:pt>
                <c:pt idx="13">
                  <c:v>4000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407872"/>
        <c:axId val="479702976"/>
      </c:lineChart>
      <c:catAx>
        <c:axId val="7074078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79702976"/>
        <c:crosses val="autoZero"/>
        <c:auto val="1"/>
        <c:lblAlgn val="ctr"/>
        <c:lblOffset val="100"/>
        <c:noMultiLvlLbl val="0"/>
      </c:catAx>
      <c:valAx>
        <c:axId val="4797029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7407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0% 46% 62% 0% 0% 87% 100% 0% 92% 0% 0% 100% 95%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0.45691872427983538</c:v>
                </c:pt>
                <c:pt idx="3">
                  <c:v>0.62453531598513012</c:v>
                </c:pt>
                <c:pt idx="4">
                  <c:v>0</c:v>
                </c:pt>
                <c:pt idx="5">
                  <c:v>0</c:v>
                </c:pt>
                <c:pt idx="6">
                  <c:v>0.87371323529411771</c:v>
                </c:pt>
                <c:pt idx="7">
                  <c:v>0.99929078014184403</c:v>
                </c:pt>
                <c:pt idx="8">
                  <c:v>0</c:v>
                </c:pt>
                <c:pt idx="9">
                  <c:v>0.91640096618357481</c:v>
                </c:pt>
                <c:pt idx="10">
                  <c:v>0</c:v>
                </c:pt>
                <c:pt idx="11">
                  <c:v>0</c:v>
                </c:pt>
                <c:pt idx="12">
                  <c:v>0.99942965779467685</c:v>
                </c:pt>
                <c:pt idx="13">
                  <c:v>0.95258333333333334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0.3881914675341675</c:v>
                </c:pt>
                <c:pt idx="1">
                  <c:v>0.3881914675341675</c:v>
                </c:pt>
                <c:pt idx="2">
                  <c:v>0.3881914675341675</c:v>
                </c:pt>
                <c:pt idx="3">
                  <c:v>0.3881914675341675</c:v>
                </c:pt>
                <c:pt idx="4">
                  <c:v>0.3881914675341675</c:v>
                </c:pt>
                <c:pt idx="5">
                  <c:v>0.3881914675341675</c:v>
                </c:pt>
                <c:pt idx="6">
                  <c:v>0.3881914675341675</c:v>
                </c:pt>
                <c:pt idx="7">
                  <c:v>0.3881914675341675</c:v>
                </c:pt>
                <c:pt idx="8">
                  <c:v>0.3881914675341675</c:v>
                </c:pt>
                <c:pt idx="9">
                  <c:v>0.3881914675341675</c:v>
                </c:pt>
                <c:pt idx="10">
                  <c:v>0.3881914675341675</c:v>
                </c:pt>
                <c:pt idx="11">
                  <c:v>0.3881914675341675</c:v>
                </c:pt>
                <c:pt idx="12">
                  <c:v>0.3881914675341675</c:v>
                </c:pt>
                <c:pt idx="13">
                  <c:v>0.3881914675341675</c:v>
                </c:pt>
                <c:pt idx="14">
                  <c:v>0.3881914675341675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409408"/>
        <c:axId val="479704704"/>
      </c:lineChart>
      <c:catAx>
        <c:axId val="70740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9704704"/>
        <c:crosses val="autoZero"/>
        <c:auto val="1"/>
        <c:lblAlgn val="ctr"/>
        <c:lblOffset val="100"/>
        <c:noMultiLvlLbl val="0"/>
      </c:catAx>
      <c:valAx>
        <c:axId val="4797047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7409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7409920"/>
        <c:axId val="4836147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409920"/>
        <c:axId val="483614720"/>
      </c:lineChart>
      <c:catAx>
        <c:axId val="70740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483614720"/>
        <c:crosses val="autoZero"/>
        <c:auto val="1"/>
        <c:lblAlgn val="ctr"/>
        <c:lblOffset val="100"/>
        <c:noMultiLvlLbl val="0"/>
      </c:catAx>
      <c:valAx>
        <c:axId val="4836147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074099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1">
                  <c:v>5220</c:v>
                </c:pt>
                <c:pt idx="2">
                  <c:v>4601</c:v>
                </c:pt>
                <c:pt idx="3">
                  <c:v>509</c:v>
                </c:pt>
                <c:pt idx="6">
                  <c:v>3799</c:v>
                </c:pt>
                <c:pt idx="7">
                  <c:v>5127</c:v>
                </c:pt>
                <c:pt idx="9">
                  <c:v>8624</c:v>
                </c:pt>
                <c:pt idx="12">
                  <c:v>1050</c:v>
                </c:pt>
                <c:pt idx="13">
                  <c:v>356</c:v>
                </c:pt>
                <c:pt idx="14">
                  <c:v>4077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5220</c:v>
                </c:pt>
                <c:pt idx="2">
                  <c:v>4610</c:v>
                </c:pt>
                <c:pt idx="3">
                  <c:v>510</c:v>
                </c:pt>
                <c:pt idx="4">
                  <c:v>1300</c:v>
                </c:pt>
                <c:pt idx="5">
                  <c:v>950</c:v>
                </c:pt>
                <c:pt idx="6">
                  <c:v>3800</c:v>
                </c:pt>
                <c:pt idx="7">
                  <c:v>5130</c:v>
                </c:pt>
                <c:pt idx="8">
                  <c:v>410</c:v>
                </c:pt>
                <c:pt idx="9">
                  <c:v>8630</c:v>
                </c:pt>
                <c:pt idx="10">
                  <c:v>5040</c:v>
                </c:pt>
                <c:pt idx="11">
                  <c:v>1441</c:v>
                </c:pt>
                <c:pt idx="12">
                  <c:v>1050</c:v>
                </c:pt>
                <c:pt idx="13">
                  <c:v>360</c:v>
                </c:pt>
                <c:pt idx="14">
                  <c:v>4080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265984"/>
        <c:axId val="483617600"/>
      </c:lineChart>
      <c:catAx>
        <c:axId val="7082659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83617600"/>
        <c:crosses val="autoZero"/>
        <c:auto val="1"/>
        <c:lblAlgn val="ctr"/>
        <c:lblOffset val="100"/>
        <c:noMultiLvlLbl val="0"/>
      </c:catAx>
      <c:valAx>
        <c:axId val="4836176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8265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"/>
                <c:pt idx="0">
                  <c:v>0% 50% 100% 17% 0% 0% 83% 100% 0% 100% 0% 0% 25% 12%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0.9980477223427332</c:v>
                </c:pt>
                <c:pt idx="3">
                  <c:v>0.16633986928104574</c:v>
                </c:pt>
                <c:pt idx="4">
                  <c:v>0</c:v>
                </c:pt>
                <c:pt idx="5">
                  <c:v>0</c:v>
                </c:pt>
                <c:pt idx="6">
                  <c:v>0.83311403508771931</c:v>
                </c:pt>
                <c:pt idx="7">
                  <c:v>0.99941520467836253</c:v>
                </c:pt>
                <c:pt idx="8">
                  <c:v>0</c:v>
                </c:pt>
                <c:pt idx="9">
                  <c:v>0.99930475086906145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0.12361111111111112</c:v>
                </c:pt>
                <c:pt idx="14">
                  <c:v>0.91599264705882355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0.3857216893619238</c:v>
                </c:pt>
                <c:pt idx="1">
                  <c:v>0.3857216893619238</c:v>
                </c:pt>
                <c:pt idx="2">
                  <c:v>0.3857216893619238</c:v>
                </c:pt>
                <c:pt idx="3">
                  <c:v>0.3857216893619238</c:v>
                </c:pt>
                <c:pt idx="4">
                  <c:v>0.3857216893619238</c:v>
                </c:pt>
                <c:pt idx="5">
                  <c:v>0.3857216893619238</c:v>
                </c:pt>
                <c:pt idx="6">
                  <c:v>0.3857216893619238</c:v>
                </c:pt>
                <c:pt idx="7">
                  <c:v>0.3857216893619238</c:v>
                </c:pt>
                <c:pt idx="8">
                  <c:v>0.3857216893619238</c:v>
                </c:pt>
                <c:pt idx="9">
                  <c:v>0.3857216893619238</c:v>
                </c:pt>
                <c:pt idx="10">
                  <c:v>0.3857216893619238</c:v>
                </c:pt>
                <c:pt idx="11">
                  <c:v>0.3857216893619238</c:v>
                </c:pt>
                <c:pt idx="12">
                  <c:v>0.3857216893619238</c:v>
                </c:pt>
                <c:pt idx="13">
                  <c:v>0.3857216893619238</c:v>
                </c:pt>
                <c:pt idx="14">
                  <c:v>0.3857216893619238</c:v>
                </c:pt>
                <c:pt idx="15">
                  <c:v>0.3857216893619238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267520"/>
        <c:axId val="483619328"/>
      </c:lineChart>
      <c:catAx>
        <c:axId val="70826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83619328"/>
        <c:crosses val="autoZero"/>
        <c:auto val="1"/>
        <c:lblAlgn val="ctr"/>
        <c:lblOffset val="100"/>
        <c:noMultiLvlLbl val="0"/>
      </c:catAx>
      <c:valAx>
        <c:axId val="4836193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8267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1">
                  <c:v>5220</c:v>
                </c:pt>
                <c:pt idx="2">
                  <c:v>4601</c:v>
                </c:pt>
                <c:pt idx="3">
                  <c:v>509</c:v>
                </c:pt>
                <c:pt idx="6">
                  <c:v>3799</c:v>
                </c:pt>
                <c:pt idx="7">
                  <c:v>5127</c:v>
                </c:pt>
                <c:pt idx="9">
                  <c:v>8624</c:v>
                </c:pt>
                <c:pt idx="12">
                  <c:v>1050</c:v>
                </c:pt>
                <c:pt idx="13">
                  <c:v>356</c:v>
                </c:pt>
                <c:pt idx="14">
                  <c:v>4077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5220</c:v>
                </c:pt>
                <c:pt idx="2">
                  <c:v>4610</c:v>
                </c:pt>
                <c:pt idx="3">
                  <c:v>510</c:v>
                </c:pt>
                <c:pt idx="4">
                  <c:v>1300</c:v>
                </c:pt>
                <c:pt idx="5">
                  <c:v>950</c:v>
                </c:pt>
                <c:pt idx="6">
                  <c:v>3800</c:v>
                </c:pt>
                <c:pt idx="7">
                  <c:v>5130</c:v>
                </c:pt>
                <c:pt idx="8">
                  <c:v>410</c:v>
                </c:pt>
                <c:pt idx="9">
                  <c:v>8630</c:v>
                </c:pt>
                <c:pt idx="10">
                  <c:v>5040</c:v>
                </c:pt>
                <c:pt idx="11">
                  <c:v>1441</c:v>
                </c:pt>
                <c:pt idx="12">
                  <c:v>1050</c:v>
                </c:pt>
                <c:pt idx="13">
                  <c:v>360</c:v>
                </c:pt>
                <c:pt idx="14">
                  <c:v>4080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345856"/>
        <c:axId val="483621632"/>
      </c:lineChart>
      <c:catAx>
        <c:axId val="7083458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83621632"/>
        <c:crosses val="autoZero"/>
        <c:auto val="1"/>
        <c:lblAlgn val="ctr"/>
        <c:lblOffset val="100"/>
        <c:noMultiLvlLbl val="0"/>
      </c:catAx>
      <c:valAx>
        <c:axId val="4836216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8345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"/>
                <c:pt idx="0">
                  <c:v>0% 50% 100% 17% 0% 0% 83% 100% 0% 100% 0% 0% 25% 12%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0.9980477223427332</c:v>
                </c:pt>
                <c:pt idx="3">
                  <c:v>0.16633986928104574</c:v>
                </c:pt>
                <c:pt idx="4">
                  <c:v>0</c:v>
                </c:pt>
                <c:pt idx="5">
                  <c:v>0</c:v>
                </c:pt>
                <c:pt idx="6">
                  <c:v>0.83311403508771931</c:v>
                </c:pt>
                <c:pt idx="7">
                  <c:v>0.99941520467836253</c:v>
                </c:pt>
                <c:pt idx="8">
                  <c:v>0</c:v>
                </c:pt>
                <c:pt idx="9">
                  <c:v>0.99930475086906145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0.12361111111111112</c:v>
                </c:pt>
                <c:pt idx="14">
                  <c:v>0.91599264705882355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0.3857216893619238</c:v>
                </c:pt>
                <c:pt idx="1">
                  <c:v>0.3857216893619238</c:v>
                </c:pt>
                <c:pt idx="2">
                  <c:v>0.3857216893619238</c:v>
                </c:pt>
                <c:pt idx="3">
                  <c:v>0.3857216893619238</c:v>
                </c:pt>
                <c:pt idx="4">
                  <c:v>0.3857216893619238</c:v>
                </c:pt>
                <c:pt idx="5">
                  <c:v>0.3857216893619238</c:v>
                </c:pt>
                <c:pt idx="6">
                  <c:v>0.3857216893619238</c:v>
                </c:pt>
                <c:pt idx="7">
                  <c:v>0.3857216893619238</c:v>
                </c:pt>
                <c:pt idx="8">
                  <c:v>0.3857216893619238</c:v>
                </c:pt>
                <c:pt idx="9">
                  <c:v>0.3857216893619238</c:v>
                </c:pt>
                <c:pt idx="10">
                  <c:v>0.3857216893619238</c:v>
                </c:pt>
                <c:pt idx="11">
                  <c:v>0.3857216893619238</c:v>
                </c:pt>
                <c:pt idx="12">
                  <c:v>0.3857216893619238</c:v>
                </c:pt>
                <c:pt idx="13">
                  <c:v>0.3857216893619238</c:v>
                </c:pt>
                <c:pt idx="14">
                  <c:v>0.3857216893619238</c:v>
                </c:pt>
                <c:pt idx="15">
                  <c:v>0.3857216893619238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347392"/>
        <c:axId val="484540992"/>
      </c:lineChart>
      <c:catAx>
        <c:axId val="70834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84540992"/>
        <c:crosses val="autoZero"/>
        <c:auto val="1"/>
        <c:lblAlgn val="ctr"/>
        <c:lblOffset val="100"/>
        <c:noMultiLvlLbl val="0"/>
      </c:catAx>
      <c:valAx>
        <c:axId val="4845409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8347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8348928"/>
        <c:axId val="4845432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348928"/>
        <c:axId val="484543296"/>
      </c:lineChart>
      <c:catAx>
        <c:axId val="70834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484543296"/>
        <c:crosses val="autoZero"/>
        <c:auto val="1"/>
        <c:lblAlgn val="ctr"/>
        <c:lblOffset val="100"/>
        <c:noMultiLvlLbl val="0"/>
      </c:catAx>
      <c:valAx>
        <c:axId val="4845432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083489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GUIDE</c:v>
                </c:pt>
                <c:pt idx="13">
                  <c:v>ADAPTER</c:v>
                </c:pt>
                <c:pt idx="14">
                  <c:v>COVER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10106</c:v>
                </c:pt>
                <c:pt idx="2">
                  <c:v>1768</c:v>
                </c:pt>
                <c:pt idx="3">
                  <c:v>2114</c:v>
                </c:pt>
                <c:pt idx="4">
                  <c:v>1032</c:v>
                </c:pt>
                <c:pt idx="6">
                  <c:v>831</c:v>
                </c:pt>
                <c:pt idx="9">
                  <c:v>1640</c:v>
                </c:pt>
                <c:pt idx="10">
                  <c:v>2845</c:v>
                </c:pt>
                <c:pt idx="11">
                  <c:v>11488</c:v>
                </c:pt>
                <c:pt idx="13">
                  <c:v>1068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GUIDE</c:v>
                </c:pt>
                <c:pt idx="13">
                  <c:v>ADAPTER</c:v>
                </c:pt>
                <c:pt idx="14">
                  <c:v>COVER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10110</c:v>
                </c:pt>
                <c:pt idx="2">
                  <c:v>1770</c:v>
                </c:pt>
                <c:pt idx="3">
                  <c:v>2120</c:v>
                </c:pt>
                <c:pt idx="4">
                  <c:v>1040</c:v>
                </c:pt>
                <c:pt idx="5">
                  <c:v>950</c:v>
                </c:pt>
                <c:pt idx="6">
                  <c:v>840</c:v>
                </c:pt>
                <c:pt idx="7">
                  <c:v>5130</c:v>
                </c:pt>
                <c:pt idx="8">
                  <c:v>410</c:v>
                </c:pt>
                <c:pt idx="9">
                  <c:v>1640</c:v>
                </c:pt>
                <c:pt idx="10">
                  <c:v>2850</c:v>
                </c:pt>
                <c:pt idx="11">
                  <c:v>11490</c:v>
                </c:pt>
                <c:pt idx="12">
                  <c:v>1441</c:v>
                </c:pt>
                <c:pt idx="13">
                  <c:v>1070</c:v>
                </c:pt>
                <c:pt idx="14">
                  <c:v>4080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589504"/>
        <c:axId val="484546176"/>
      </c:lineChart>
      <c:catAx>
        <c:axId val="7095895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84546176"/>
        <c:crosses val="autoZero"/>
        <c:auto val="1"/>
        <c:lblAlgn val="ctr"/>
        <c:lblOffset val="100"/>
        <c:noMultiLvlLbl val="0"/>
      </c:catAx>
      <c:valAx>
        <c:axId val="4845461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9589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"/>
                <c:pt idx="0">
                  <c:v>0% 100% 33% 50% 33% 0% 21% 0% 0% 21% 67% 100% 0% 42%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GUIDE</c:v>
                </c:pt>
                <c:pt idx="13">
                  <c:v>ADAPTER</c:v>
                </c:pt>
                <c:pt idx="14">
                  <c:v>COVER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</c:v>
                </c:pt>
                <c:pt idx="1">
                  <c:v>0.99960435212660737</c:v>
                </c:pt>
                <c:pt idx="2">
                  <c:v>0.33295668549905838</c:v>
                </c:pt>
                <c:pt idx="3">
                  <c:v>0.49858490566037733</c:v>
                </c:pt>
                <c:pt idx="4">
                  <c:v>0.33076923076923076</c:v>
                </c:pt>
                <c:pt idx="5">
                  <c:v>0</c:v>
                </c:pt>
                <c:pt idx="6">
                  <c:v>0.20610119047619049</c:v>
                </c:pt>
                <c:pt idx="7">
                  <c:v>0</c:v>
                </c:pt>
                <c:pt idx="8">
                  <c:v>0</c:v>
                </c:pt>
                <c:pt idx="9">
                  <c:v>0.20833333333333334</c:v>
                </c:pt>
                <c:pt idx="10">
                  <c:v>0.66549707602339181</c:v>
                </c:pt>
                <c:pt idx="11">
                  <c:v>0.99982593559617061</c:v>
                </c:pt>
                <c:pt idx="12">
                  <c:v>0</c:v>
                </c:pt>
                <c:pt idx="13">
                  <c:v>0.41588785046728971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GUIDE</c:v>
                </c:pt>
                <c:pt idx="13">
                  <c:v>ADAPTER</c:v>
                </c:pt>
                <c:pt idx="14">
                  <c:v>COVER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0.31050403733011006</c:v>
                </c:pt>
                <c:pt idx="1">
                  <c:v>0.31050403733011006</c:v>
                </c:pt>
                <c:pt idx="2">
                  <c:v>0.31050403733011006</c:v>
                </c:pt>
                <c:pt idx="3">
                  <c:v>0.31050403733011006</c:v>
                </c:pt>
                <c:pt idx="4">
                  <c:v>0.31050403733011006</c:v>
                </c:pt>
                <c:pt idx="5">
                  <c:v>0.31050403733011006</c:v>
                </c:pt>
                <c:pt idx="6">
                  <c:v>0.31050403733011006</c:v>
                </c:pt>
                <c:pt idx="7">
                  <c:v>0.31050403733011006</c:v>
                </c:pt>
                <c:pt idx="8">
                  <c:v>0.31050403733011006</c:v>
                </c:pt>
                <c:pt idx="9">
                  <c:v>0.31050403733011006</c:v>
                </c:pt>
                <c:pt idx="10">
                  <c:v>0.31050403733011006</c:v>
                </c:pt>
                <c:pt idx="11">
                  <c:v>0.31050403733011006</c:v>
                </c:pt>
                <c:pt idx="12">
                  <c:v>0.31050403733011006</c:v>
                </c:pt>
                <c:pt idx="13">
                  <c:v>0.31050403733011006</c:v>
                </c:pt>
                <c:pt idx="14">
                  <c:v>0.31050403733011006</c:v>
                </c:pt>
                <c:pt idx="15">
                  <c:v>0.31050403733011006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612032"/>
        <c:axId val="484547904"/>
      </c:lineChart>
      <c:catAx>
        <c:axId val="70961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84547904"/>
        <c:crosses val="autoZero"/>
        <c:auto val="1"/>
        <c:lblAlgn val="ctr"/>
        <c:lblOffset val="100"/>
        <c:noMultiLvlLbl val="0"/>
      </c:catAx>
      <c:valAx>
        <c:axId val="4845479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9612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GUIDE</c:v>
                </c:pt>
                <c:pt idx="13">
                  <c:v>ADAPTER</c:v>
                </c:pt>
                <c:pt idx="14">
                  <c:v>COVER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10106</c:v>
                </c:pt>
                <c:pt idx="2">
                  <c:v>1768</c:v>
                </c:pt>
                <c:pt idx="3">
                  <c:v>2114</c:v>
                </c:pt>
                <c:pt idx="4">
                  <c:v>1032</c:v>
                </c:pt>
                <c:pt idx="6">
                  <c:v>831</c:v>
                </c:pt>
                <c:pt idx="9">
                  <c:v>1640</c:v>
                </c:pt>
                <c:pt idx="10">
                  <c:v>2845</c:v>
                </c:pt>
                <c:pt idx="11">
                  <c:v>11488</c:v>
                </c:pt>
                <c:pt idx="13">
                  <c:v>1068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GUIDE</c:v>
                </c:pt>
                <c:pt idx="13">
                  <c:v>ADAPTER</c:v>
                </c:pt>
                <c:pt idx="14">
                  <c:v>COVER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10110</c:v>
                </c:pt>
                <c:pt idx="2">
                  <c:v>1770</c:v>
                </c:pt>
                <c:pt idx="3">
                  <c:v>2120</c:v>
                </c:pt>
                <c:pt idx="4">
                  <c:v>1040</c:v>
                </c:pt>
                <c:pt idx="5">
                  <c:v>950</c:v>
                </c:pt>
                <c:pt idx="6">
                  <c:v>840</c:v>
                </c:pt>
                <c:pt idx="7">
                  <c:v>5130</c:v>
                </c:pt>
                <c:pt idx="8">
                  <c:v>410</c:v>
                </c:pt>
                <c:pt idx="9">
                  <c:v>1640</c:v>
                </c:pt>
                <c:pt idx="10">
                  <c:v>2850</c:v>
                </c:pt>
                <c:pt idx="11">
                  <c:v>11490</c:v>
                </c:pt>
                <c:pt idx="12">
                  <c:v>1441</c:v>
                </c:pt>
                <c:pt idx="13">
                  <c:v>1070</c:v>
                </c:pt>
                <c:pt idx="14">
                  <c:v>4080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612544"/>
        <c:axId val="486041280"/>
      </c:lineChart>
      <c:catAx>
        <c:axId val="7096125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86041280"/>
        <c:crosses val="autoZero"/>
        <c:auto val="1"/>
        <c:lblAlgn val="ctr"/>
        <c:lblOffset val="100"/>
        <c:noMultiLvlLbl val="0"/>
      </c:catAx>
      <c:valAx>
        <c:axId val="4860412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9612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"/>
                <c:pt idx="0">
                  <c:v>0% 100% 33% 50% 33% 0% 21% 0% 0% 21% 67% 100% 0% 42%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GUIDE</c:v>
                </c:pt>
                <c:pt idx="13">
                  <c:v>ADAPTER</c:v>
                </c:pt>
                <c:pt idx="14">
                  <c:v>COVER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</c:v>
                </c:pt>
                <c:pt idx="1">
                  <c:v>0.99960435212660737</c:v>
                </c:pt>
                <c:pt idx="2">
                  <c:v>0.33295668549905838</c:v>
                </c:pt>
                <c:pt idx="3">
                  <c:v>0.49858490566037733</c:v>
                </c:pt>
                <c:pt idx="4">
                  <c:v>0.33076923076923076</c:v>
                </c:pt>
                <c:pt idx="5">
                  <c:v>0</c:v>
                </c:pt>
                <c:pt idx="6">
                  <c:v>0.20610119047619049</c:v>
                </c:pt>
                <c:pt idx="7">
                  <c:v>0</c:v>
                </c:pt>
                <c:pt idx="8">
                  <c:v>0</c:v>
                </c:pt>
                <c:pt idx="9">
                  <c:v>0.20833333333333334</c:v>
                </c:pt>
                <c:pt idx="10">
                  <c:v>0.66549707602339181</c:v>
                </c:pt>
                <c:pt idx="11">
                  <c:v>0.99982593559617061</c:v>
                </c:pt>
                <c:pt idx="12">
                  <c:v>0</c:v>
                </c:pt>
                <c:pt idx="13">
                  <c:v>0.41588785046728971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GUIDE</c:v>
                </c:pt>
                <c:pt idx="13">
                  <c:v>ADAPTER</c:v>
                </c:pt>
                <c:pt idx="14">
                  <c:v>COVER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0.31050403733011006</c:v>
                </c:pt>
                <c:pt idx="1">
                  <c:v>0.31050403733011006</c:v>
                </c:pt>
                <c:pt idx="2">
                  <c:v>0.31050403733011006</c:v>
                </c:pt>
                <c:pt idx="3">
                  <c:v>0.31050403733011006</c:v>
                </c:pt>
                <c:pt idx="4">
                  <c:v>0.31050403733011006</c:v>
                </c:pt>
                <c:pt idx="5">
                  <c:v>0.31050403733011006</c:v>
                </c:pt>
                <c:pt idx="6">
                  <c:v>0.31050403733011006</c:v>
                </c:pt>
                <c:pt idx="7">
                  <c:v>0.31050403733011006</c:v>
                </c:pt>
                <c:pt idx="8">
                  <c:v>0.31050403733011006</c:v>
                </c:pt>
                <c:pt idx="9">
                  <c:v>0.31050403733011006</c:v>
                </c:pt>
                <c:pt idx="10">
                  <c:v>0.31050403733011006</c:v>
                </c:pt>
                <c:pt idx="11">
                  <c:v>0.31050403733011006</c:v>
                </c:pt>
                <c:pt idx="12">
                  <c:v>0.31050403733011006</c:v>
                </c:pt>
                <c:pt idx="13">
                  <c:v>0.31050403733011006</c:v>
                </c:pt>
                <c:pt idx="14">
                  <c:v>0.31050403733011006</c:v>
                </c:pt>
                <c:pt idx="15">
                  <c:v>0.31050403733011006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613568"/>
        <c:axId val="486043008"/>
      </c:lineChart>
      <c:catAx>
        <c:axId val="70961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86043008"/>
        <c:crosses val="autoZero"/>
        <c:auto val="1"/>
        <c:lblAlgn val="ctr"/>
        <c:lblOffset val="100"/>
        <c:noMultiLvlLbl val="0"/>
      </c:catAx>
      <c:valAx>
        <c:axId val="4860430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9613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9614080"/>
        <c:axId val="48604531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614080"/>
        <c:axId val="486045312"/>
      </c:lineChart>
      <c:catAx>
        <c:axId val="709614080"/>
        <c:scaling>
          <c:orientation val="minMax"/>
        </c:scaling>
        <c:delete val="0"/>
        <c:axPos val="b"/>
        <c:majorTickMark val="out"/>
        <c:minorTickMark val="none"/>
        <c:tickLblPos val="nextTo"/>
        <c:crossAx val="486045312"/>
        <c:crosses val="autoZero"/>
        <c:auto val="1"/>
        <c:lblAlgn val="ctr"/>
        <c:lblOffset val="100"/>
        <c:noMultiLvlLbl val="0"/>
      </c:catAx>
      <c:valAx>
        <c:axId val="4860453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0961408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ADAPTER</c:v>
                </c:pt>
                <c:pt idx="13">
                  <c:v>COVER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1">
                  <c:v>4990</c:v>
                </c:pt>
                <c:pt idx="2">
                  <c:v>1132</c:v>
                </c:pt>
                <c:pt idx="3">
                  <c:v>1122</c:v>
                </c:pt>
                <c:pt idx="6">
                  <c:v>1797</c:v>
                </c:pt>
                <c:pt idx="8">
                  <c:v>856</c:v>
                </c:pt>
                <c:pt idx="10">
                  <c:v>2000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ADAPTER</c:v>
                </c:pt>
                <c:pt idx="13">
                  <c:v>COVER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5000</c:v>
                </c:pt>
                <c:pt idx="2">
                  <c:v>1140</c:v>
                </c:pt>
                <c:pt idx="3">
                  <c:v>1130</c:v>
                </c:pt>
                <c:pt idx="4">
                  <c:v>1040</c:v>
                </c:pt>
                <c:pt idx="5">
                  <c:v>950</c:v>
                </c:pt>
                <c:pt idx="6">
                  <c:v>1800</c:v>
                </c:pt>
                <c:pt idx="7">
                  <c:v>5130</c:v>
                </c:pt>
                <c:pt idx="8">
                  <c:v>860</c:v>
                </c:pt>
                <c:pt idx="9">
                  <c:v>2850</c:v>
                </c:pt>
                <c:pt idx="10">
                  <c:v>2000</c:v>
                </c:pt>
                <c:pt idx="11">
                  <c:v>1441</c:v>
                </c:pt>
                <c:pt idx="12">
                  <c:v>1070</c:v>
                </c:pt>
                <c:pt idx="13">
                  <c:v>4080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139392"/>
        <c:axId val="335708736"/>
      </c:lineChart>
      <c:catAx>
        <c:axId val="7101393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5708736"/>
        <c:crosses val="autoZero"/>
        <c:auto val="1"/>
        <c:lblAlgn val="ctr"/>
        <c:lblOffset val="100"/>
        <c:noMultiLvlLbl val="0"/>
      </c:catAx>
      <c:valAx>
        <c:axId val="3357087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10139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0% 46% 33% 37% 0% 0% 46% 0% 41% 0% 42% 0%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ADAPTER</c:v>
                </c:pt>
                <c:pt idx="13">
                  <c:v>COVER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0.45741666666666664</c:v>
                </c:pt>
                <c:pt idx="2">
                  <c:v>0.33099415204678362</c:v>
                </c:pt>
                <c:pt idx="3">
                  <c:v>0.37234513274336278</c:v>
                </c:pt>
                <c:pt idx="4">
                  <c:v>0</c:v>
                </c:pt>
                <c:pt idx="5">
                  <c:v>0</c:v>
                </c:pt>
                <c:pt idx="6">
                  <c:v>0.45756944444444442</c:v>
                </c:pt>
                <c:pt idx="7">
                  <c:v>0</c:v>
                </c:pt>
                <c:pt idx="8">
                  <c:v>0.41472868217054265</c:v>
                </c:pt>
                <c:pt idx="9">
                  <c:v>0</c:v>
                </c:pt>
                <c:pt idx="10">
                  <c:v>0.41666666666666669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ADAPTER</c:v>
                </c:pt>
                <c:pt idx="13">
                  <c:v>COVER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0.16331471631589778</c:v>
                </c:pt>
                <c:pt idx="1">
                  <c:v>0.16331471631589778</c:v>
                </c:pt>
                <c:pt idx="2">
                  <c:v>0.16331471631589778</c:v>
                </c:pt>
                <c:pt idx="3">
                  <c:v>0.16331471631589778</c:v>
                </c:pt>
                <c:pt idx="4">
                  <c:v>0.16331471631589778</c:v>
                </c:pt>
                <c:pt idx="5">
                  <c:v>0.16331471631589778</c:v>
                </c:pt>
                <c:pt idx="6">
                  <c:v>0.16331471631589778</c:v>
                </c:pt>
                <c:pt idx="7">
                  <c:v>0.16331471631589778</c:v>
                </c:pt>
                <c:pt idx="8">
                  <c:v>0.16331471631589778</c:v>
                </c:pt>
                <c:pt idx="9">
                  <c:v>0.16331471631589778</c:v>
                </c:pt>
                <c:pt idx="10">
                  <c:v>0.16331471631589778</c:v>
                </c:pt>
                <c:pt idx="11">
                  <c:v>0.16331471631589778</c:v>
                </c:pt>
                <c:pt idx="12">
                  <c:v>0.16331471631589778</c:v>
                </c:pt>
                <c:pt idx="13">
                  <c:v>0.16331471631589778</c:v>
                </c:pt>
                <c:pt idx="14">
                  <c:v>0.16331471631589778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148608"/>
        <c:axId val="335710464"/>
      </c:lineChart>
      <c:catAx>
        <c:axId val="71014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5710464"/>
        <c:crosses val="autoZero"/>
        <c:auto val="1"/>
        <c:lblAlgn val="ctr"/>
        <c:lblOffset val="100"/>
        <c:noMultiLvlLbl val="0"/>
      </c:catAx>
      <c:valAx>
        <c:axId val="3357104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10148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ADAPTER</c:v>
                </c:pt>
                <c:pt idx="13">
                  <c:v>COVER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1">
                  <c:v>4990</c:v>
                </c:pt>
                <c:pt idx="2">
                  <c:v>1132</c:v>
                </c:pt>
                <c:pt idx="3">
                  <c:v>1122</c:v>
                </c:pt>
                <c:pt idx="6">
                  <c:v>1797</c:v>
                </c:pt>
                <c:pt idx="8">
                  <c:v>856</c:v>
                </c:pt>
                <c:pt idx="10">
                  <c:v>2000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ADAPTER</c:v>
                </c:pt>
                <c:pt idx="13">
                  <c:v>COVER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5000</c:v>
                </c:pt>
                <c:pt idx="2">
                  <c:v>1140</c:v>
                </c:pt>
                <c:pt idx="3">
                  <c:v>1130</c:v>
                </c:pt>
                <c:pt idx="4">
                  <c:v>1040</c:v>
                </c:pt>
                <c:pt idx="5">
                  <c:v>950</c:v>
                </c:pt>
                <c:pt idx="6">
                  <c:v>1800</c:v>
                </c:pt>
                <c:pt idx="7">
                  <c:v>5130</c:v>
                </c:pt>
                <c:pt idx="8">
                  <c:v>860</c:v>
                </c:pt>
                <c:pt idx="9">
                  <c:v>2850</c:v>
                </c:pt>
                <c:pt idx="10">
                  <c:v>2000</c:v>
                </c:pt>
                <c:pt idx="11">
                  <c:v>1441</c:v>
                </c:pt>
                <c:pt idx="12">
                  <c:v>1070</c:v>
                </c:pt>
                <c:pt idx="13">
                  <c:v>4080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149632"/>
        <c:axId val="335712768"/>
      </c:lineChart>
      <c:catAx>
        <c:axId val="7101496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5712768"/>
        <c:crosses val="autoZero"/>
        <c:auto val="1"/>
        <c:lblAlgn val="ctr"/>
        <c:lblOffset val="100"/>
        <c:noMultiLvlLbl val="0"/>
      </c:catAx>
      <c:valAx>
        <c:axId val="3357127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10149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0% 46% 33% 37% 0% 0% 46% 0% 41% 0% 42% 0%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ADAPTER</c:v>
                </c:pt>
                <c:pt idx="13">
                  <c:v>COVER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0.45741666666666664</c:v>
                </c:pt>
                <c:pt idx="2">
                  <c:v>0.33099415204678362</c:v>
                </c:pt>
                <c:pt idx="3">
                  <c:v>0.37234513274336278</c:v>
                </c:pt>
                <c:pt idx="4">
                  <c:v>0</c:v>
                </c:pt>
                <c:pt idx="5">
                  <c:v>0</c:v>
                </c:pt>
                <c:pt idx="6">
                  <c:v>0.45756944444444442</c:v>
                </c:pt>
                <c:pt idx="7">
                  <c:v>0</c:v>
                </c:pt>
                <c:pt idx="8">
                  <c:v>0.41472868217054265</c:v>
                </c:pt>
                <c:pt idx="9">
                  <c:v>0</c:v>
                </c:pt>
                <c:pt idx="10">
                  <c:v>0.41666666666666669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ADAPTER</c:v>
                </c:pt>
                <c:pt idx="13">
                  <c:v>COVER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0.16331471631589778</c:v>
                </c:pt>
                <c:pt idx="1">
                  <c:v>0.16331471631589778</c:v>
                </c:pt>
                <c:pt idx="2">
                  <c:v>0.16331471631589778</c:v>
                </c:pt>
                <c:pt idx="3">
                  <c:v>0.16331471631589778</c:v>
                </c:pt>
                <c:pt idx="4">
                  <c:v>0.16331471631589778</c:v>
                </c:pt>
                <c:pt idx="5">
                  <c:v>0.16331471631589778</c:v>
                </c:pt>
                <c:pt idx="6">
                  <c:v>0.16331471631589778</c:v>
                </c:pt>
                <c:pt idx="7">
                  <c:v>0.16331471631589778</c:v>
                </c:pt>
                <c:pt idx="8">
                  <c:v>0.16331471631589778</c:v>
                </c:pt>
                <c:pt idx="9">
                  <c:v>0.16331471631589778</c:v>
                </c:pt>
                <c:pt idx="10">
                  <c:v>0.16331471631589778</c:v>
                </c:pt>
                <c:pt idx="11">
                  <c:v>0.16331471631589778</c:v>
                </c:pt>
                <c:pt idx="12">
                  <c:v>0.16331471631589778</c:v>
                </c:pt>
                <c:pt idx="13">
                  <c:v>0.16331471631589778</c:v>
                </c:pt>
                <c:pt idx="14">
                  <c:v>0.16331471631589778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150144"/>
        <c:axId val="335714496"/>
      </c:lineChart>
      <c:catAx>
        <c:axId val="710150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5714496"/>
        <c:crosses val="autoZero"/>
        <c:auto val="1"/>
        <c:lblAlgn val="ctr"/>
        <c:lblOffset val="100"/>
        <c:noMultiLvlLbl val="0"/>
      </c:catAx>
      <c:valAx>
        <c:axId val="3357144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10150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0150656"/>
        <c:axId val="3366098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150656"/>
        <c:axId val="336609856"/>
      </c:lineChart>
      <c:catAx>
        <c:axId val="710150656"/>
        <c:scaling>
          <c:orientation val="minMax"/>
        </c:scaling>
        <c:delete val="0"/>
        <c:axPos val="b"/>
        <c:majorTickMark val="out"/>
        <c:minorTickMark val="none"/>
        <c:tickLblPos val="nextTo"/>
        <c:crossAx val="336609856"/>
        <c:crosses val="autoZero"/>
        <c:auto val="1"/>
        <c:lblAlgn val="ctr"/>
        <c:lblOffset val="100"/>
        <c:noMultiLvlLbl val="0"/>
      </c:catAx>
      <c:valAx>
        <c:axId val="3366098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101506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1">
                  <c:v>13425</c:v>
                </c:pt>
                <c:pt idx="2">
                  <c:v>4460</c:v>
                </c:pt>
                <c:pt idx="3">
                  <c:v>2700</c:v>
                </c:pt>
                <c:pt idx="4">
                  <c:v>3214</c:v>
                </c:pt>
                <c:pt idx="5">
                  <c:v>3869</c:v>
                </c:pt>
                <c:pt idx="6">
                  <c:v>2987</c:v>
                </c:pt>
                <c:pt idx="7">
                  <c:v>4010</c:v>
                </c:pt>
                <c:pt idx="9">
                  <c:v>3392</c:v>
                </c:pt>
                <c:pt idx="12">
                  <c:v>2977</c:v>
                </c:pt>
                <c:pt idx="13">
                  <c:v>598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13430</c:v>
                </c:pt>
                <c:pt idx="2">
                  <c:v>4460</c:v>
                </c:pt>
                <c:pt idx="3">
                  <c:v>2700</c:v>
                </c:pt>
                <c:pt idx="4">
                  <c:v>3220</c:v>
                </c:pt>
                <c:pt idx="5">
                  <c:v>3870</c:v>
                </c:pt>
                <c:pt idx="6">
                  <c:v>3000</c:v>
                </c:pt>
                <c:pt idx="7">
                  <c:v>4010</c:v>
                </c:pt>
                <c:pt idx="8">
                  <c:v>860</c:v>
                </c:pt>
                <c:pt idx="9">
                  <c:v>3400</c:v>
                </c:pt>
                <c:pt idx="10">
                  <c:v>2000</c:v>
                </c:pt>
                <c:pt idx="11">
                  <c:v>1441</c:v>
                </c:pt>
                <c:pt idx="12">
                  <c:v>3000</c:v>
                </c:pt>
                <c:pt idx="13">
                  <c:v>600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639104"/>
        <c:axId val="336612736"/>
      </c:lineChart>
      <c:catAx>
        <c:axId val="7106391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6612736"/>
        <c:crosses val="autoZero"/>
        <c:auto val="1"/>
        <c:lblAlgn val="ctr"/>
        <c:lblOffset val="100"/>
        <c:noMultiLvlLbl val="0"/>
      </c:catAx>
      <c:valAx>
        <c:axId val="3366127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10639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0% 100% 100% 75% 79% 87% 75% 88% 0% 83% 0% 0% 83% 17%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0.99962769918093819</c:v>
                </c:pt>
                <c:pt idx="2">
                  <c:v>1</c:v>
                </c:pt>
                <c:pt idx="3">
                  <c:v>0.75</c:v>
                </c:pt>
                <c:pt idx="4">
                  <c:v>0.79019151138716348</c:v>
                </c:pt>
                <c:pt idx="5">
                  <c:v>0.87477390180878545</c:v>
                </c:pt>
                <c:pt idx="6">
                  <c:v>0.74675000000000002</c:v>
                </c:pt>
                <c:pt idx="7">
                  <c:v>0.875</c:v>
                </c:pt>
                <c:pt idx="8">
                  <c:v>0</c:v>
                </c:pt>
                <c:pt idx="9">
                  <c:v>0.83137254901960789</c:v>
                </c:pt>
                <c:pt idx="10">
                  <c:v>0</c:v>
                </c:pt>
                <c:pt idx="11">
                  <c:v>0</c:v>
                </c:pt>
                <c:pt idx="12">
                  <c:v>0.82694444444444448</c:v>
                </c:pt>
                <c:pt idx="13">
                  <c:v>0.1661111111111111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0.52405141446347003</c:v>
                </c:pt>
                <c:pt idx="1">
                  <c:v>0.52405141446347003</c:v>
                </c:pt>
                <c:pt idx="2">
                  <c:v>0.52405141446347003</c:v>
                </c:pt>
                <c:pt idx="3">
                  <c:v>0.52405141446347003</c:v>
                </c:pt>
                <c:pt idx="4">
                  <c:v>0.52405141446347003</c:v>
                </c:pt>
                <c:pt idx="5">
                  <c:v>0.52405141446347003</c:v>
                </c:pt>
                <c:pt idx="6">
                  <c:v>0.52405141446347003</c:v>
                </c:pt>
                <c:pt idx="7">
                  <c:v>0.52405141446347003</c:v>
                </c:pt>
                <c:pt idx="8">
                  <c:v>0.52405141446347003</c:v>
                </c:pt>
                <c:pt idx="9">
                  <c:v>0.52405141446347003</c:v>
                </c:pt>
                <c:pt idx="10">
                  <c:v>0.52405141446347003</c:v>
                </c:pt>
                <c:pt idx="11">
                  <c:v>0.52405141446347003</c:v>
                </c:pt>
                <c:pt idx="12">
                  <c:v>0.52405141446347003</c:v>
                </c:pt>
                <c:pt idx="13">
                  <c:v>0.52405141446347003</c:v>
                </c:pt>
                <c:pt idx="14">
                  <c:v>0.52405141446347003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664704"/>
        <c:axId val="336614464"/>
      </c:lineChart>
      <c:catAx>
        <c:axId val="71066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6614464"/>
        <c:crosses val="autoZero"/>
        <c:auto val="1"/>
        <c:lblAlgn val="ctr"/>
        <c:lblOffset val="100"/>
        <c:noMultiLvlLbl val="0"/>
      </c:catAx>
      <c:valAx>
        <c:axId val="3366144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10664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1">
                  <c:v>13425</c:v>
                </c:pt>
                <c:pt idx="2">
                  <c:v>4460</c:v>
                </c:pt>
                <c:pt idx="3">
                  <c:v>2700</c:v>
                </c:pt>
                <c:pt idx="4">
                  <c:v>3214</c:v>
                </c:pt>
                <c:pt idx="5">
                  <c:v>3869</c:v>
                </c:pt>
                <c:pt idx="6">
                  <c:v>2987</c:v>
                </c:pt>
                <c:pt idx="7">
                  <c:v>4010</c:v>
                </c:pt>
                <c:pt idx="9">
                  <c:v>3392</c:v>
                </c:pt>
                <c:pt idx="12">
                  <c:v>2977</c:v>
                </c:pt>
                <c:pt idx="13">
                  <c:v>598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13430</c:v>
                </c:pt>
                <c:pt idx="2">
                  <c:v>4460</c:v>
                </c:pt>
                <c:pt idx="3">
                  <c:v>2700</c:v>
                </c:pt>
                <c:pt idx="4">
                  <c:v>3220</c:v>
                </c:pt>
                <c:pt idx="5">
                  <c:v>3870</c:v>
                </c:pt>
                <c:pt idx="6">
                  <c:v>3000</c:v>
                </c:pt>
                <c:pt idx="7">
                  <c:v>4010</c:v>
                </c:pt>
                <c:pt idx="8">
                  <c:v>860</c:v>
                </c:pt>
                <c:pt idx="9">
                  <c:v>3400</c:v>
                </c:pt>
                <c:pt idx="10">
                  <c:v>2000</c:v>
                </c:pt>
                <c:pt idx="11">
                  <c:v>1441</c:v>
                </c:pt>
                <c:pt idx="12">
                  <c:v>3000</c:v>
                </c:pt>
                <c:pt idx="13">
                  <c:v>600</c:v>
                </c:pt>
                <c:pt idx="14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665728"/>
        <c:axId val="336615616"/>
      </c:lineChart>
      <c:catAx>
        <c:axId val="7106657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6615616"/>
        <c:crosses val="autoZero"/>
        <c:auto val="1"/>
        <c:lblAlgn val="ctr"/>
        <c:lblOffset val="100"/>
        <c:noMultiLvlLbl val="0"/>
      </c:catAx>
      <c:valAx>
        <c:axId val="3366156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10665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0% 100% 100% 75% 79% 87% 75% 88% 0% 83% 0% 0% 83% 17%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0.99962769918093819</c:v>
                </c:pt>
                <c:pt idx="2">
                  <c:v>1</c:v>
                </c:pt>
                <c:pt idx="3">
                  <c:v>0.75</c:v>
                </c:pt>
                <c:pt idx="4">
                  <c:v>0.79019151138716348</c:v>
                </c:pt>
                <c:pt idx="5">
                  <c:v>0.87477390180878545</c:v>
                </c:pt>
                <c:pt idx="6">
                  <c:v>0.74675000000000002</c:v>
                </c:pt>
                <c:pt idx="7">
                  <c:v>0.875</c:v>
                </c:pt>
                <c:pt idx="8">
                  <c:v>0</c:v>
                </c:pt>
                <c:pt idx="9">
                  <c:v>0.83137254901960789</c:v>
                </c:pt>
                <c:pt idx="10">
                  <c:v>0</c:v>
                </c:pt>
                <c:pt idx="11">
                  <c:v>0</c:v>
                </c:pt>
                <c:pt idx="12">
                  <c:v>0.82694444444444448</c:v>
                </c:pt>
                <c:pt idx="13">
                  <c:v>0.1661111111111111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GUIDE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0.52405141446347003</c:v>
                </c:pt>
                <c:pt idx="1">
                  <c:v>0.52405141446347003</c:v>
                </c:pt>
                <c:pt idx="2">
                  <c:v>0.52405141446347003</c:v>
                </c:pt>
                <c:pt idx="3">
                  <c:v>0.52405141446347003</c:v>
                </c:pt>
                <c:pt idx="4">
                  <c:v>0.52405141446347003</c:v>
                </c:pt>
                <c:pt idx="5">
                  <c:v>0.52405141446347003</c:v>
                </c:pt>
                <c:pt idx="6">
                  <c:v>0.52405141446347003</c:v>
                </c:pt>
                <c:pt idx="7">
                  <c:v>0.52405141446347003</c:v>
                </c:pt>
                <c:pt idx="8">
                  <c:v>0.52405141446347003</c:v>
                </c:pt>
                <c:pt idx="9">
                  <c:v>0.52405141446347003</c:v>
                </c:pt>
                <c:pt idx="10">
                  <c:v>0.52405141446347003</c:v>
                </c:pt>
                <c:pt idx="11">
                  <c:v>0.52405141446347003</c:v>
                </c:pt>
                <c:pt idx="12">
                  <c:v>0.52405141446347003</c:v>
                </c:pt>
                <c:pt idx="13">
                  <c:v>0.52405141446347003</c:v>
                </c:pt>
                <c:pt idx="14">
                  <c:v>0.52405141446347003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666240"/>
        <c:axId val="347774976"/>
      </c:lineChart>
      <c:catAx>
        <c:axId val="71066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7774976"/>
        <c:crosses val="autoZero"/>
        <c:auto val="1"/>
        <c:lblAlgn val="ctr"/>
        <c:lblOffset val="100"/>
        <c:noMultiLvlLbl val="0"/>
      </c:catAx>
      <c:valAx>
        <c:axId val="3477749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10666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0666752"/>
        <c:axId val="3477772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666752"/>
        <c:axId val="347777280"/>
      </c:lineChart>
      <c:catAx>
        <c:axId val="71066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347777280"/>
        <c:crosses val="autoZero"/>
        <c:auto val="1"/>
        <c:lblAlgn val="ctr"/>
        <c:lblOffset val="100"/>
        <c:noMultiLvlLbl val="0"/>
      </c:catAx>
      <c:valAx>
        <c:axId val="3477772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106667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SAM</c:v>
                </c:pt>
                <c:pt idx="11">
                  <c:v>COVER</c:v>
                </c:pt>
                <c:pt idx="12">
                  <c:v>GUIDE</c:v>
                </c:pt>
                <c:pt idx="13">
                  <c:v>LEAD GUIDE</c:v>
                </c:pt>
                <c:pt idx="14">
                  <c:v>COVER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1">
                  <c:v>11829</c:v>
                </c:pt>
                <c:pt idx="2">
                  <c:v>4384</c:v>
                </c:pt>
                <c:pt idx="3">
                  <c:v>588</c:v>
                </c:pt>
                <c:pt idx="4">
                  <c:v>3439</c:v>
                </c:pt>
                <c:pt idx="5">
                  <c:v>1067</c:v>
                </c:pt>
                <c:pt idx="6">
                  <c:v>4632</c:v>
                </c:pt>
                <c:pt idx="7">
                  <c:v>1719</c:v>
                </c:pt>
                <c:pt idx="8">
                  <c:v>528</c:v>
                </c:pt>
                <c:pt idx="10">
                  <c:v>5822</c:v>
                </c:pt>
                <c:pt idx="11">
                  <c:v>6712</c:v>
                </c:pt>
                <c:pt idx="13">
                  <c:v>4366</c:v>
                </c:pt>
                <c:pt idx="14">
                  <c:v>2873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SAM</c:v>
                </c:pt>
                <c:pt idx="11">
                  <c:v>COVER</c:v>
                </c:pt>
                <c:pt idx="12">
                  <c:v>GUIDE</c:v>
                </c:pt>
                <c:pt idx="13">
                  <c:v>LEAD GUIDE</c:v>
                </c:pt>
                <c:pt idx="14">
                  <c:v>COVER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11830</c:v>
                </c:pt>
                <c:pt idx="2">
                  <c:v>4390</c:v>
                </c:pt>
                <c:pt idx="3">
                  <c:v>590</c:v>
                </c:pt>
                <c:pt idx="4">
                  <c:v>3440</c:v>
                </c:pt>
                <c:pt idx="5">
                  <c:v>1070</c:v>
                </c:pt>
                <c:pt idx="6">
                  <c:v>4640</c:v>
                </c:pt>
                <c:pt idx="7">
                  <c:v>1720</c:v>
                </c:pt>
                <c:pt idx="8">
                  <c:v>530</c:v>
                </c:pt>
                <c:pt idx="9">
                  <c:v>860</c:v>
                </c:pt>
                <c:pt idx="10">
                  <c:v>5830</c:v>
                </c:pt>
                <c:pt idx="11">
                  <c:v>6720</c:v>
                </c:pt>
                <c:pt idx="12">
                  <c:v>1441</c:v>
                </c:pt>
                <c:pt idx="13">
                  <c:v>4370</c:v>
                </c:pt>
                <c:pt idx="14">
                  <c:v>2880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92288"/>
        <c:axId val="347780160"/>
      </c:lineChart>
      <c:catAx>
        <c:axId val="7452922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7780160"/>
        <c:crosses val="autoZero"/>
        <c:auto val="1"/>
        <c:lblAlgn val="ctr"/>
        <c:lblOffset val="100"/>
        <c:noMultiLvlLbl val="0"/>
      </c:catAx>
      <c:valAx>
        <c:axId val="3477801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5292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"/>
                <c:pt idx="0">
                  <c:v>0% 92% 96% 21% 83% 37% 100% 37% 17% 0% 100% 87% 0% 92% 67%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SAM</c:v>
                </c:pt>
                <c:pt idx="11">
                  <c:v>COVER</c:v>
                </c:pt>
                <c:pt idx="12">
                  <c:v>GUIDE</c:v>
                </c:pt>
                <c:pt idx="13">
                  <c:v>LEAD GUIDE</c:v>
                </c:pt>
                <c:pt idx="14">
                  <c:v>COVER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</c:v>
                </c:pt>
                <c:pt idx="1">
                  <c:v>0.91658918005071854</c:v>
                </c:pt>
                <c:pt idx="2">
                  <c:v>0.95702353834472287</c:v>
                </c:pt>
                <c:pt idx="3">
                  <c:v>0.20762711864406783</c:v>
                </c:pt>
                <c:pt idx="4">
                  <c:v>0.83309108527131792</c:v>
                </c:pt>
                <c:pt idx="5">
                  <c:v>0.37394859813084114</c:v>
                </c:pt>
                <c:pt idx="6">
                  <c:v>0.99827586206896557</c:v>
                </c:pt>
                <c:pt idx="7">
                  <c:v>0.37478197674418606</c:v>
                </c:pt>
                <c:pt idx="8">
                  <c:v>0.16603773584905659</c:v>
                </c:pt>
                <c:pt idx="9">
                  <c:v>0</c:v>
                </c:pt>
                <c:pt idx="10">
                  <c:v>0.99862778730703261</c:v>
                </c:pt>
                <c:pt idx="11">
                  <c:v>0.87395833333333339</c:v>
                </c:pt>
                <c:pt idx="12">
                  <c:v>0</c:v>
                </c:pt>
                <c:pt idx="13">
                  <c:v>0.91582761250953459</c:v>
                </c:pt>
                <c:pt idx="14">
                  <c:v>0.66504629629629619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SAM</c:v>
                </c:pt>
                <c:pt idx="11">
                  <c:v>COVER</c:v>
                </c:pt>
                <c:pt idx="12">
                  <c:v>GUIDE</c:v>
                </c:pt>
                <c:pt idx="13">
                  <c:v>LEAD GUIDE</c:v>
                </c:pt>
                <c:pt idx="14">
                  <c:v>COVER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0.55205567497000496</c:v>
                </c:pt>
                <c:pt idx="1">
                  <c:v>0.55205567497000496</c:v>
                </c:pt>
                <c:pt idx="2">
                  <c:v>0.55205567497000496</c:v>
                </c:pt>
                <c:pt idx="3">
                  <c:v>0.55205567497000496</c:v>
                </c:pt>
                <c:pt idx="4">
                  <c:v>0.55205567497000496</c:v>
                </c:pt>
                <c:pt idx="5">
                  <c:v>0.55205567497000496</c:v>
                </c:pt>
                <c:pt idx="6">
                  <c:v>0.55205567497000496</c:v>
                </c:pt>
                <c:pt idx="7">
                  <c:v>0.55205567497000496</c:v>
                </c:pt>
                <c:pt idx="8">
                  <c:v>0.55205567497000496</c:v>
                </c:pt>
                <c:pt idx="9">
                  <c:v>0.55205567497000496</c:v>
                </c:pt>
                <c:pt idx="10">
                  <c:v>0.55205567497000496</c:v>
                </c:pt>
                <c:pt idx="11">
                  <c:v>0.55205567497000496</c:v>
                </c:pt>
                <c:pt idx="12">
                  <c:v>0.55205567497000496</c:v>
                </c:pt>
                <c:pt idx="13">
                  <c:v>0.55205567497000496</c:v>
                </c:pt>
                <c:pt idx="14">
                  <c:v>0.55205567497000496</c:v>
                </c:pt>
                <c:pt idx="15">
                  <c:v>0.55205567497000496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93312"/>
        <c:axId val="347781888"/>
      </c:lineChart>
      <c:catAx>
        <c:axId val="74529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7781888"/>
        <c:crosses val="autoZero"/>
        <c:auto val="1"/>
        <c:lblAlgn val="ctr"/>
        <c:lblOffset val="100"/>
        <c:noMultiLvlLbl val="0"/>
      </c:catAx>
      <c:valAx>
        <c:axId val="3477818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5293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SAM</c:v>
                </c:pt>
                <c:pt idx="11">
                  <c:v>COVER</c:v>
                </c:pt>
                <c:pt idx="12">
                  <c:v>GUIDE</c:v>
                </c:pt>
                <c:pt idx="13">
                  <c:v>LEAD GUIDE</c:v>
                </c:pt>
                <c:pt idx="14">
                  <c:v>COVER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1">
                  <c:v>11829</c:v>
                </c:pt>
                <c:pt idx="2">
                  <c:v>4384</c:v>
                </c:pt>
                <c:pt idx="3">
                  <c:v>588</c:v>
                </c:pt>
                <c:pt idx="4">
                  <c:v>3439</c:v>
                </c:pt>
                <c:pt idx="5">
                  <c:v>1067</c:v>
                </c:pt>
                <c:pt idx="6">
                  <c:v>4632</c:v>
                </c:pt>
                <c:pt idx="7">
                  <c:v>1719</c:v>
                </c:pt>
                <c:pt idx="8">
                  <c:v>528</c:v>
                </c:pt>
                <c:pt idx="10">
                  <c:v>5822</c:v>
                </c:pt>
                <c:pt idx="11">
                  <c:v>6712</c:v>
                </c:pt>
                <c:pt idx="13">
                  <c:v>4366</c:v>
                </c:pt>
                <c:pt idx="14">
                  <c:v>2873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SAM</c:v>
                </c:pt>
                <c:pt idx="11">
                  <c:v>COVER</c:v>
                </c:pt>
                <c:pt idx="12">
                  <c:v>GUIDE</c:v>
                </c:pt>
                <c:pt idx="13">
                  <c:v>LEAD GUIDE</c:v>
                </c:pt>
                <c:pt idx="14">
                  <c:v>COVER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11830</c:v>
                </c:pt>
                <c:pt idx="2">
                  <c:v>4390</c:v>
                </c:pt>
                <c:pt idx="3">
                  <c:v>590</c:v>
                </c:pt>
                <c:pt idx="4">
                  <c:v>3440</c:v>
                </c:pt>
                <c:pt idx="5">
                  <c:v>1070</c:v>
                </c:pt>
                <c:pt idx="6">
                  <c:v>4640</c:v>
                </c:pt>
                <c:pt idx="7">
                  <c:v>1720</c:v>
                </c:pt>
                <c:pt idx="8">
                  <c:v>530</c:v>
                </c:pt>
                <c:pt idx="9">
                  <c:v>860</c:v>
                </c:pt>
                <c:pt idx="10">
                  <c:v>5830</c:v>
                </c:pt>
                <c:pt idx="11">
                  <c:v>6720</c:v>
                </c:pt>
                <c:pt idx="12">
                  <c:v>1441</c:v>
                </c:pt>
                <c:pt idx="13">
                  <c:v>4370</c:v>
                </c:pt>
                <c:pt idx="14">
                  <c:v>2880</c:v>
                </c:pt>
                <c:pt idx="15">
                  <c:v>16170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93824"/>
        <c:axId val="336749696"/>
      </c:lineChart>
      <c:catAx>
        <c:axId val="7452938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6749696"/>
        <c:crosses val="autoZero"/>
        <c:auto val="1"/>
        <c:lblAlgn val="ctr"/>
        <c:lblOffset val="100"/>
        <c:noMultiLvlLbl val="0"/>
      </c:catAx>
      <c:valAx>
        <c:axId val="3367496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5293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"/>
                <c:pt idx="0">
                  <c:v>0% 92% 96% 21% 83% 37% 100% 37% 17% 0% 100% 87% 0% 92% 67%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SAM</c:v>
                </c:pt>
                <c:pt idx="11">
                  <c:v>COVER</c:v>
                </c:pt>
                <c:pt idx="12">
                  <c:v>GUIDE</c:v>
                </c:pt>
                <c:pt idx="13">
                  <c:v>LEAD GUIDE</c:v>
                </c:pt>
                <c:pt idx="14">
                  <c:v>COVER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</c:v>
                </c:pt>
                <c:pt idx="1">
                  <c:v>0.91658918005071854</c:v>
                </c:pt>
                <c:pt idx="2">
                  <c:v>0.95702353834472287</c:v>
                </c:pt>
                <c:pt idx="3">
                  <c:v>0.20762711864406783</c:v>
                </c:pt>
                <c:pt idx="4">
                  <c:v>0.83309108527131792</c:v>
                </c:pt>
                <c:pt idx="5">
                  <c:v>0.37394859813084114</c:v>
                </c:pt>
                <c:pt idx="6">
                  <c:v>0.99827586206896557</c:v>
                </c:pt>
                <c:pt idx="7">
                  <c:v>0.37478197674418606</c:v>
                </c:pt>
                <c:pt idx="8">
                  <c:v>0.16603773584905659</c:v>
                </c:pt>
                <c:pt idx="9">
                  <c:v>0</c:v>
                </c:pt>
                <c:pt idx="10">
                  <c:v>0.99862778730703261</c:v>
                </c:pt>
                <c:pt idx="11">
                  <c:v>0.87395833333333339</c:v>
                </c:pt>
                <c:pt idx="12">
                  <c:v>0</c:v>
                </c:pt>
                <c:pt idx="13">
                  <c:v>0.91582761250953459</c:v>
                </c:pt>
                <c:pt idx="14">
                  <c:v>0.66504629629629619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'18'!$D$6:$D$21</c:f>
              <c:strCache>
                <c:ptCount val="15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SAM</c:v>
                </c:pt>
                <c:pt idx="11">
                  <c:v>COVER</c:v>
                </c:pt>
                <c:pt idx="12">
                  <c:v>GUIDE</c:v>
                </c:pt>
                <c:pt idx="13">
                  <c:v>LEAD GUIDE</c:v>
                </c:pt>
                <c:pt idx="14">
                  <c:v>COVER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0.55205567497000496</c:v>
                </c:pt>
                <c:pt idx="1">
                  <c:v>0.55205567497000496</c:v>
                </c:pt>
                <c:pt idx="2">
                  <c:v>0.55205567497000496</c:v>
                </c:pt>
                <c:pt idx="3">
                  <c:v>0.55205567497000496</c:v>
                </c:pt>
                <c:pt idx="4">
                  <c:v>0.55205567497000496</c:v>
                </c:pt>
                <c:pt idx="5">
                  <c:v>0.55205567497000496</c:v>
                </c:pt>
                <c:pt idx="6">
                  <c:v>0.55205567497000496</c:v>
                </c:pt>
                <c:pt idx="7">
                  <c:v>0.55205567497000496</c:v>
                </c:pt>
                <c:pt idx="8">
                  <c:v>0.55205567497000496</c:v>
                </c:pt>
                <c:pt idx="9">
                  <c:v>0.55205567497000496</c:v>
                </c:pt>
                <c:pt idx="10">
                  <c:v>0.55205567497000496</c:v>
                </c:pt>
                <c:pt idx="11">
                  <c:v>0.55205567497000496</c:v>
                </c:pt>
                <c:pt idx="12">
                  <c:v>0.55205567497000496</c:v>
                </c:pt>
                <c:pt idx="13">
                  <c:v>0.55205567497000496</c:v>
                </c:pt>
                <c:pt idx="14">
                  <c:v>0.55205567497000496</c:v>
                </c:pt>
                <c:pt idx="15">
                  <c:v>0.55205567497000496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95360"/>
        <c:axId val="336751424"/>
      </c:lineChart>
      <c:catAx>
        <c:axId val="74529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6751424"/>
        <c:crosses val="autoZero"/>
        <c:auto val="1"/>
        <c:lblAlgn val="ctr"/>
        <c:lblOffset val="100"/>
        <c:noMultiLvlLbl val="0"/>
      </c:catAx>
      <c:valAx>
        <c:axId val="3367514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5295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5947136"/>
        <c:axId val="33675372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947136"/>
        <c:axId val="336753728"/>
      </c:lineChart>
      <c:catAx>
        <c:axId val="74594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336753728"/>
        <c:crosses val="autoZero"/>
        <c:auto val="1"/>
        <c:lblAlgn val="ctr"/>
        <c:lblOffset val="100"/>
        <c:noMultiLvlLbl val="0"/>
      </c:catAx>
      <c:valAx>
        <c:axId val="336753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59471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COVER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4869</c:v>
                </c:pt>
                <c:pt idx="3">
                  <c:v>539</c:v>
                </c:pt>
                <c:pt idx="6">
                  <c:v>1928</c:v>
                </c:pt>
                <c:pt idx="7">
                  <c:v>3281</c:v>
                </c:pt>
                <c:pt idx="9">
                  <c:v>6782</c:v>
                </c:pt>
                <c:pt idx="10">
                  <c:v>3038</c:v>
                </c:pt>
                <c:pt idx="12">
                  <c:v>4350</c:v>
                </c:pt>
                <c:pt idx="13">
                  <c:v>1140</c:v>
                </c:pt>
                <c:pt idx="14">
                  <c:v>40652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COVER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11830</c:v>
                </c:pt>
                <c:pt idx="2">
                  <c:v>4870</c:v>
                </c:pt>
                <c:pt idx="3">
                  <c:v>540</c:v>
                </c:pt>
                <c:pt idx="4">
                  <c:v>3440</c:v>
                </c:pt>
                <c:pt idx="5">
                  <c:v>1070</c:v>
                </c:pt>
                <c:pt idx="6">
                  <c:v>1930</c:v>
                </c:pt>
                <c:pt idx="7">
                  <c:v>3300</c:v>
                </c:pt>
                <c:pt idx="8">
                  <c:v>860</c:v>
                </c:pt>
                <c:pt idx="9">
                  <c:v>6790</c:v>
                </c:pt>
                <c:pt idx="10">
                  <c:v>3040</c:v>
                </c:pt>
                <c:pt idx="11">
                  <c:v>1441</c:v>
                </c:pt>
                <c:pt idx="12">
                  <c:v>4350</c:v>
                </c:pt>
                <c:pt idx="13">
                  <c:v>1140</c:v>
                </c:pt>
                <c:pt idx="14">
                  <c:v>40660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200576"/>
        <c:axId val="337551936"/>
      </c:lineChart>
      <c:catAx>
        <c:axId val="7462005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7551936"/>
        <c:crosses val="autoZero"/>
        <c:auto val="1"/>
        <c:lblAlgn val="ctr"/>
        <c:lblOffset val="100"/>
        <c:noMultiLvlLbl val="0"/>
      </c:catAx>
      <c:valAx>
        <c:axId val="3375519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6200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"/>
                <c:pt idx="0">
                  <c:v>0% 0% 100% 21% 0% 0% 33% 70% 0% 100% 17% 0% 88% 25%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COVER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0.99979466119096505</c:v>
                </c:pt>
                <c:pt idx="3">
                  <c:v>0.20794753086419754</c:v>
                </c:pt>
                <c:pt idx="4">
                  <c:v>0</c:v>
                </c:pt>
                <c:pt idx="5">
                  <c:v>0</c:v>
                </c:pt>
                <c:pt idx="6">
                  <c:v>0.33298791018998269</c:v>
                </c:pt>
                <c:pt idx="7">
                  <c:v>0.70425505050505055</c:v>
                </c:pt>
                <c:pt idx="8">
                  <c:v>0</c:v>
                </c:pt>
                <c:pt idx="9">
                  <c:v>0.99882179675994109</c:v>
                </c:pt>
                <c:pt idx="10">
                  <c:v>0.16655701754385965</c:v>
                </c:pt>
                <c:pt idx="11">
                  <c:v>0</c:v>
                </c:pt>
                <c:pt idx="12">
                  <c:v>0.875</c:v>
                </c:pt>
                <c:pt idx="13">
                  <c:v>0.25</c:v>
                </c:pt>
                <c:pt idx="14">
                  <c:v>0.8748278406296115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COVER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0.36067945384557387</c:v>
                </c:pt>
                <c:pt idx="1">
                  <c:v>0.36067945384557387</c:v>
                </c:pt>
                <c:pt idx="2">
                  <c:v>0.36067945384557387</c:v>
                </c:pt>
                <c:pt idx="3">
                  <c:v>0.36067945384557387</c:v>
                </c:pt>
                <c:pt idx="4">
                  <c:v>0.36067945384557387</c:v>
                </c:pt>
                <c:pt idx="5">
                  <c:v>0.36067945384557387</c:v>
                </c:pt>
                <c:pt idx="6">
                  <c:v>0.36067945384557387</c:v>
                </c:pt>
                <c:pt idx="7">
                  <c:v>0.36067945384557387</c:v>
                </c:pt>
                <c:pt idx="8">
                  <c:v>0.36067945384557387</c:v>
                </c:pt>
                <c:pt idx="9">
                  <c:v>0.36067945384557387</c:v>
                </c:pt>
                <c:pt idx="10">
                  <c:v>0.36067945384557387</c:v>
                </c:pt>
                <c:pt idx="11">
                  <c:v>0.36067945384557387</c:v>
                </c:pt>
                <c:pt idx="12">
                  <c:v>0.36067945384557387</c:v>
                </c:pt>
                <c:pt idx="13">
                  <c:v>0.36067945384557387</c:v>
                </c:pt>
                <c:pt idx="14">
                  <c:v>0.36067945384557387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214912"/>
        <c:axId val="337553664"/>
      </c:lineChart>
      <c:catAx>
        <c:axId val="74621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7553664"/>
        <c:crosses val="autoZero"/>
        <c:auto val="1"/>
        <c:lblAlgn val="ctr"/>
        <c:lblOffset val="100"/>
        <c:noMultiLvlLbl val="0"/>
      </c:catAx>
      <c:valAx>
        <c:axId val="3375536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6214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COVER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4869</c:v>
                </c:pt>
                <c:pt idx="3">
                  <c:v>539</c:v>
                </c:pt>
                <c:pt idx="6">
                  <c:v>1928</c:v>
                </c:pt>
                <c:pt idx="7">
                  <c:v>3281</c:v>
                </c:pt>
                <c:pt idx="9">
                  <c:v>6782</c:v>
                </c:pt>
                <c:pt idx="10">
                  <c:v>3038</c:v>
                </c:pt>
                <c:pt idx="12">
                  <c:v>4350</c:v>
                </c:pt>
                <c:pt idx="13">
                  <c:v>1140</c:v>
                </c:pt>
                <c:pt idx="14">
                  <c:v>40652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COVER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11830</c:v>
                </c:pt>
                <c:pt idx="2">
                  <c:v>4870</c:v>
                </c:pt>
                <c:pt idx="3">
                  <c:v>540</c:v>
                </c:pt>
                <c:pt idx="4">
                  <c:v>3440</c:v>
                </c:pt>
                <c:pt idx="5">
                  <c:v>1070</c:v>
                </c:pt>
                <c:pt idx="6">
                  <c:v>1930</c:v>
                </c:pt>
                <c:pt idx="7">
                  <c:v>3300</c:v>
                </c:pt>
                <c:pt idx="8">
                  <c:v>860</c:v>
                </c:pt>
                <c:pt idx="9">
                  <c:v>6790</c:v>
                </c:pt>
                <c:pt idx="10">
                  <c:v>3040</c:v>
                </c:pt>
                <c:pt idx="11">
                  <c:v>1441</c:v>
                </c:pt>
                <c:pt idx="12">
                  <c:v>4350</c:v>
                </c:pt>
                <c:pt idx="13">
                  <c:v>1140</c:v>
                </c:pt>
                <c:pt idx="14">
                  <c:v>40660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215424"/>
        <c:axId val="337555968"/>
      </c:lineChart>
      <c:catAx>
        <c:axId val="7462154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7555968"/>
        <c:crosses val="autoZero"/>
        <c:auto val="1"/>
        <c:lblAlgn val="ctr"/>
        <c:lblOffset val="100"/>
        <c:noMultiLvlLbl val="0"/>
      </c:catAx>
      <c:valAx>
        <c:axId val="3375559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6215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"/>
                <c:pt idx="0">
                  <c:v>0% 0% 100% 21% 0% 0% 33% 70% 0% 100% 17% 0% 88% 25%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COVER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0.99979466119096505</c:v>
                </c:pt>
                <c:pt idx="3">
                  <c:v>0.20794753086419754</c:v>
                </c:pt>
                <c:pt idx="4">
                  <c:v>0</c:v>
                </c:pt>
                <c:pt idx="5">
                  <c:v>0</c:v>
                </c:pt>
                <c:pt idx="6">
                  <c:v>0.33298791018998269</c:v>
                </c:pt>
                <c:pt idx="7">
                  <c:v>0.70425505050505055</c:v>
                </c:pt>
                <c:pt idx="8">
                  <c:v>0</c:v>
                </c:pt>
                <c:pt idx="9">
                  <c:v>0.99882179675994109</c:v>
                </c:pt>
                <c:pt idx="10">
                  <c:v>0.16655701754385965</c:v>
                </c:pt>
                <c:pt idx="11">
                  <c:v>0</c:v>
                </c:pt>
                <c:pt idx="12">
                  <c:v>0.875</c:v>
                </c:pt>
                <c:pt idx="13">
                  <c:v>0.25</c:v>
                </c:pt>
                <c:pt idx="14">
                  <c:v>0.8748278406296115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'19'!$D$6:$D$20</c:f>
              <c:strCache>
                <c:ptCount val="14"/>
                <c:pt idx="0">
                  <c:v>LOWER PLATE</c:v>
                </c:pt>
                <c:pt idx="1">
                  <c:v>201T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COVER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0.36067945384557387</c:v>
                </c:pt>
                <c:pt idx="1">
                  <c:v>0.36067945384557387</c:v>
                </c:pt>
                <c:pt idx="2">
                  <c:v>0.36067945384557387</c:v>
                </c:pt>
                <c:pt idx="3">
                  <c:v>0.36067945384557387</c:v>
                </c:pt>
                <c:pt idx="4">
                  <c:v>0.36067945384557387</c:v>
                </c:pt>
                <c:pt idx="5">
                  <c:v>0.36067945384557387</c:v>
                </c:pt>
                <c:pt idx="6">
                  <c:v>0.36067945384557387</c:v>
                </c:pt>
                <c:pt idx="7">
                  <c:v>0.36067945384557387</c:v>
                </c:pt>
                <c:pt idx="8">
                  <c:v>0.36067945384557387</c:v>
                </c:pt>
                <c:pt idx="9">
                  <c:v>0.36067945384557387</c:v>
                </c:pt>
                <c:pt idx="10">
                  <c:v>0.36067945384557387</c:v>
                </c:pt>
                <c:pt idx="11">
                  <c:v>0.36067945384557387</c:v>
                </c:pt>
                <c:pt idx="12">
                  <c:v>0.36067945384557387</c:v>
                </c:pt>
                <c:pt idx="13">
                  <c:v>0.36067945384557387</c:v>
                </c:pt>
                <c:pt idx="14">
                  <c:v>0.36067945384557387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216448"/>
        <c:axId val="337557696"/>
      </c:lineChart>
      <c:catAx>
        <c:axId val="74621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7557696"/>
        <c:crosses val="autoZero"/>
        <c:auto val="1"/>
        <c:lblAlgn val="ctr"/>
        <c:lblOffset val="100"/>
        <c:noMultiLvlLbl val="0"/>
      </c:catAx>
      <c:valAx>
        <c:axId val="3375576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6216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214400"/>
        <c:axId val="3387070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214400"/>
        <c:axId val="338707008"/>
      </c:lineChart>
      <c:catAx>
        <c:axId val="746214400"/>
        <c:scaling>
          <c:orientation val="minMax"/>
        </c:scaling>
        <c:delete val="0"/>
        <c:axPos val="b"/>
        <c:majorTickMark val="out"/>
        <c:minorTickMark val="none"/>
        <c:tickLblPos val="nextTo"/>
        <c:crossAx val="338707008"/>
        <c:crosses val="autoZero"/>
        <c:auto val="1"/>
        <c:lblAlgn val="ctr"/>
        <c:lblOffset val="100"/>
        <c:noMultiLvlLbl val="0"/>
      </c:catAx>
      <c:valAx>
        <c:axId val="3387070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62144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1">
                  <c:v>3325</c:v>
                </c:pt>
                <c:pt idx="2">
                  <c:v>1477</c:v>
                </c:pt>
                <c:pt idx="6">
                  <c:v>3326</c:v>
                </c:pt>
                <c:pt idx="7">
                  <c:v>1054</c:v>
                </c:pt>
                <c:pt idx="12">
                  <c:v>1008</c:v>
                </c:pt>
                <c:pt idx="13">
                  <c:v>3568</c:v>
                </c:pt>
                <c:pt idx="14">
                  <c:v>2493</c:v>
                </c:pt>
                <c:pt idx="15">
                  <c:v>62320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3330</c:v>
                </c:pt>
                <c:pt idx="2">
                  <c:v>4870</c:v>
                </c:pt>
                <c:pt idx="3">
                  <c:v>540</c:v>
                </c:pt>
                <c:pt idx="4">
                  <c:v>3440</c:v>
                </c:pt>
                <c:pt idx="5">
                  <c:v>1070</c:v>
                </c:pt>
                <c:pt idx="6">
                  <c:v>3330</c:v>
                </c:pt>
                <c:pt idx="7">
                  <c:v>1060</c:v>
                </c:pt>
                <c:pt idx="8">
                  <c:v>860</c:v>
                </c:pt>
                <c:pt idx="9">
                  <c:v>6790</c:v>
                </c:pt>
                <c:pt idx="10">
                  <c:v>3040</c:v>
                </c:pt>
                <c:pt idx="11">
                  <c:v>1441</c:v>
                </c:pt>
                <c:pt idx="12">
                  <c:v>1010</c:v>
                </c:pt>
                <c:pt idx="13">
                  <c:v>3570</c:v>
                </c:pt>
                <c:pt idx="14">
                  <c:v>2500</c:v>
                </c:pt>
                <c:pt idx="15">
                  <c:v>62320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802112"/>
        <c:axId val="338709888"/>
      </c:lineChart>
      <c:catAx>
        <c:axId val="7478021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8709888"/>
        <c:crosses val="autoZero"/>
        <c:auto val="1"/>
        <c:lblAlgn val="ctr"/>
        <c:lblOffset val="100"/>
        <c:noMultiLvlLbl val="0"/>
      </c:catAx>
      <c:valAx>
        <c:axId val="3387098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7802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"/>
                <c:pt idx="0">
                  <c:v>0% 79% 8% 0% 0% 0% 83% 25% 0% 0% 0% 0% 21% 71% 58%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0.79047797797797792</c:v>
                </c:pt>
                <c:pt idx="2">
                  <c:v>7.5821355236139629E-2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0.83233233233233239</c:v>
                </c:pt>
                <c:pt idx="7">
                  <c:v>0.24858490566037736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0.20792079207920794</c:v>
                </c:pt>
                <c:pt idx="13">
                  <c:v>0.70793650793650797</c:v>
                </c:pt>
                <c:pt idx="14">
                  <c:v>0.58169999999999999</c:v>
                </c:pt>
                <c:pt idx="15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0.29631825808150292</c:v>
                </c:pt>
                <c:pt idx="1">
                  <c:v>0.29631825808150292</c:v>
                </c:pt>
                <c:pt idx="2">
                  <c:v>0.29631825808150292</c:v>
                </c:pt>
                <c:pt idx="3">
                  <c:v>0.29631825808150292</c:v>
                </c:pt>
                <c:pt idx="4">
                  <c:v>0.29631825808150292</c:v>
                </c:pt>
                <c:pt idx="5">
                  <c:v>0.29631825808150292</c:v>
                </c:pt>
                <c:pt idx="6">
                  <c:v>0.29631825808150292</c:v>
                </c:pt>
                <c:pt idx="7">
                  <c:v>0.29631825808150292</c:v>
                </c:pt>
                <c:pt idx="8">
                  <c:v>0.29631825808150292</c:v>
                </c:pt>
                <c:pt idx="9">
                  <c:v>0.29631825808150292</c:v>
                </c:pt>
                <c:pt idx="10">
                  <c:v>0.29631825808150292</c:v>
                </c:pt>
                <c:pt idx="11">
                  <c:v>0.29631825808150292</c:v>
                </c:pt>
                <c:pt idx="12">
                  <c:v>0.29631825808150292</c:v>
                </c:pt>
                <c:pt idx="13">
                  <c:v>0.29631825808150292</c:v>
                </c:pt>
                <c:pt idx="14">
                  <c:v>0.29631825808150292</c:v>
                </c:pt>
                <c:pt idx="15">
                  <c:v>0.29631825808150292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827712"/>
        <c:axId val="338711616"/>
      </c:lineChart>
      <c:catAx>
        <c:axId val="74782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8711616"/>
        <c:crosses val="autoZero"/>
        <c:auto val="1"/>
        <c:lblAlgn val="ctr"/>
        <c:lblOffset val="100"/>
        <c:noMultiLvlLbl val="0"/>
      </c:catAx>
      <c:valAx>
        <c:axId val="3387116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7827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1">
                  <c:v>3325</c:v>
                </c:pt>
                <c:pt idx="2">
                  <c:v>1477</c:v>
                </c:pt>
                <c:pt idx="6">
                  <c:v>3326</c:v>
                </c:pt>
                <c:pt idx="7">
                  <c:v>1054</c:v>
                </c:pt>
                <c:pt idx="12">
                  <c:v>1008</c:v>
                </c:pt>
                <c:pt idx="13">
                  <c:v>3568</c:v>
                </c:pt>
                <c:pt idx="14">
                  <c:v>2493</c:v>
                </c:pt>
                <c:pt idx="15">
                  <c:v>62320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3330</c:v>
                </c:pt>
                <c:pt idx="2">
                  <c:v>4870</c:v>
                </c:pt>
                <c:pt idx="3">
                  <c:v>540</c:v>
                </c:pt>
                <c:pt idx="4">
                  <c:v>3440</c:v>
                </c:pt>
                <c:pt idx="5">
                  <c:v>1070</c:v>
                </c:pt>
                <c:pt idx="6">
                  <c:v>3330</c:v>
                </c:pt>
                <c:pt idx="7">
                  <c:v>1060</c:v>
                </c:pt>
                <c:pt idx="8">
                  <c:v>860</c:v>
                </c:pt>
                <c:pt idx="9">
                  <c:v>6790</c:v>
                </c:pt>
                <c:pt idx="10">
                  <c:v>3040</c:v>
                </c:pt>
                <c:pt idx="11">
                  <c:v>1441</c:v>
                </c:pt>
                <c:pt idx="12">
                  <c:v>1010</c:v>
                </c:pt>
                <c:pt idx="13">
                  <c:v>3570</c:v>
                </c:pt>
                <c:pt idx="14">
                  <c:v>2500</c:v>
                </c:pt>
                <c:pt idx="15">
                  <c:v>62320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828736"/>
        <c:axId val="338713920"/>
      </c:lineChart>
      <c:catAx>
        <c:axId val="7478287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8713920"/>
        <c:crosses val="autoZero"/>
        <c:auto val="1"/>
        <c:lblAlgn val="ctr"/>
        <c:lblOffset val="100"/>
        <c:noMultiLvlLbl val="0"/>
      </c:catAx>
      <c:valAx>
        <c:axId val="3387139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7828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"/>
                <c:pt idx="0">
                  <c:v>0% 79% 8% 0% 0% 0% 83% 25% 0% 0% 0% 0% 21% 71% 58%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0.79047797797797792</c:v>
                </c:pt>
                <c:pt idx="2">
                  <c:v>7.5821355236139629E-2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0.83233233233233239</c:v>
                </c:pt>
                <c:pt idx="7">
                  <c:v>0.24858490566037736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0.20792079207920794</c:v>
                </c:pt>
                <c:pt idx="13">
                  <c:v>0.70793650793650797</c:v>
                </c:pt>
                <c:pt idx="14">
                  <c:v>0.58169999999999999</c:v>
                </c:pt>
                <c:pt idx="15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SAM</c:v>
                </c:pt>
                <c:pt idx="10">
                  <c:v>COVER</c:v>
                </c:pt>
                <c:pt idx="11">
                  <c:v>GUIDE</c:v>
                </c:pt>
                <c:pt idx="12">
                  <c:v>LEAD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0.29631825808150292</c:v>
                </c:pt>
                <c:pt idx="1">
                  <c:v>0.29631825808150292</c:v>
                </c:pt>
                <c:pt idx="2">
                  <c:v>0.29631825808150292</c:v>
                </c:pt>
                <c:pt idx="3">
                  <c:v>0.29631825808150292</c:v>
                </c:pt>
                <c:pt idx="4">
                  <c:v>0.29631825808150292</c:v>
                </c:pt>
                <c:pt idx="5">
                  <c:v>0.29631825808150292</c:v>
                </c:pt>
                <c:pt idx="6">
                  <c:v>0.29631825808150292</c:v>
                </c:pt>
                <c:pt idx="7">
                  <c:v>0.29631825808150292</c:v>
                </c:pt>
                <c:pt idx="8">
                  <c:v>0.29631825808150292</c:v>
                </c:pt>
                <c:pt idx="9">
                  <c:v>0.29631825808150292</c:v>
                </c:pt>
                <c:pt idx="10">
                  <c:v>0.29631825808150292</c:v>
                </c:pt>
                <c:pt idx="11">
                  <c:v>0.29631825808150292</c:v>
                </c:pt>
                <c:pt idx="12">
                  <c:v>0.29631825808150292</c:v>
                </c:pt>
                <c:pt idx="13">
                  <c:v>0.29631825808150292</c:v>
                </c:pt>
                <c:pt idx="14">
                  <c:v>0.29631825808150292</c:v>
                </c:pt>
                <c:pt idx="15">
                  <c:v>0.29631825808150292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829248"/>
        <c:axId val="338863232"/>
      </c:lineChart>
      <c:catAx>
        <c:axId val="74782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8863232"/>
        <c:crosses val="autoZero"/>
        <c:auto val="1"/>
        <c:lblAlgn val="ctr"/>
        <c:lblOffset val="100"/>
        <c:noMultiLvlLbl val="0"/>
      </c:catAx>
      <c:valAx>
        <c:axId val="3388632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7829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7829760"/>
        <c:axId val="33886553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829760"/>
        <c:axId val="338865536"/>
      </c:lineChart>
      <c:catAx>
        <c:axId val="74782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338865536"/>
        <c:crosses val="autoZero"/>
        <c:auto val="1"/>
        <c:lblAlgn val="ctr"/>
        <c:lblOffset val="100"/>
        <c:noMultiLvlLbl val="0"/>
      </c:catAx>
      <c:valAx>
        <c:axId val="3388655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78297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ADAPTER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SAM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1">
                  <c:v>5269</c:v>
                </c:pt>
                <c:pt idx="2">
                  <c:v>3182</c:v>
                </c:pt>
                <c:pt idx="3">
                  <c:v>464</c:v>
                </c:pt>
                <c:pt idx="4">
                  <c:v>778</c:v>
                </c:pt>
                <c:pt idx="6">
                  <c:v>3172</c:v>
                </c:pt>
                <c:pt idx="7">
                  <c:v>4514</c:v>
                </c:pt>
                <c:pt idx="10">
                  <c:v>5588</c:v>
                </c:pt>
                <c:pt idx="12">
                  <c:v>5723</c:v>
                </c:pt>
                <c:pt idx="13">
                  <c:v>5013</c:v>
                </c:pt>
                <c:pt idx="14">
                  <c:v>60260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ADAPTER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SAM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5270</c:v>
                </c:pt>
                <c:pt idx="2">
                  <c:v>3190</c:v>
                </c:pt>
                <c:pt idx="3">
                  <c:v>470</c:v>
                </c:pt>
                <c:pt idx="4">
                  <c:v>780</c:v>
                </c:pt>
                <c:pt idx="5">
                  <c:v>1070</c:v>
                </c:pt>
                <c:pt idx="6">
                  <c:v>3180</c:v>
                </c:pt>
                <c:pt idx="7">
                  <c:v>4520</c:v>
                </c:pt>
                <c:pt idx="8">
                  <c:v>860</c:v>
                </c:pt>
                <c:pt idx="9">
                  <c:v>6790</c:v>
                </c:pt>
                <c:pt idx="10">
                  <c:v>5590</c:v>
                </c:pt>
                <c:pt idx="11">
                  <c:v>1441</c:v>
                </c:pt>
                <c:pt idx="12">
                  <c:v>5730</c:v>
                </c:pt>
                <c:pt idx="13">
                  <c:v>5020</c:v>
                </c:pt>
                <c:pt idx="14">
                  <c:v>60260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536768"/>
        <c:axId val="338867840"/>
      </c:lineChart>
      <c:catAx>
        <c:axId val="7495367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8867840"/>
        <c:crosses val="autoZero"/>
        <c:auto val="1"/>
        <c:lblAlgn val="ctr"/>
        <c:lblOffset val="100"/>
        <c:noMultiLvlLbl val="0"/>
      </c:catAx>
      <c:valAx>
        <c:axId val="3388678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9536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"/>
                <c:pt idx="0">
                  <c:v>0% 100% 62% 16% 25% 0% 79% 87% 0% 0% 96% 0% 100%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ADAPTER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SAM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0.99981024667931684</c:v>
                </c:pt>
                <c:pt idx="2">
                  <c:v>0.62343260188087768</c:v>
                </c:pt>
                <c:pt idx="3">
                  <c:v>0.16453900709219857</c:v>
                </c:pt>
                <c:pt idx="4">
                  <c:v>0.24935897435897436</c:v>
                </c:pt>
                <c:pt idx="5">
                  <c:v>0</c:v>
                </c:pt>
                <c:pt idx="6">
                  <c:v>0.78967505241090141</c:v>
                </c:pt>
                <c:pt idx="7">
                  <c:v>0.87383849557522131</c:v>
                </c:pt>
                <c:pt idx="8">
                  <c:v>0</c:v>
                </c:pt>
                <c:pt idx="9">
                  <c:v>0</c:v>
                </c:pt>
                <c:pt idx="10">
                  <c:v>0.95799045915324987</c:v>
                </c:pt>
                <c:pt idx="11">
                  <c:v>0</c:v>
                </c:pt>
                <c:pt idx="12">
                  <c:v>0.99877835951134375</c:v>
                </c:pt>
                <c:pt idx="13">
                  <c:v>0.99860557768924307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ADAPTER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SAM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0.51040191829008852</c:v>
                </c:pt>
                <c:pt idx="1">
                  <c:v>0.51040191829008852</c:v>
                </c:pt>
                <c:pt idx="2">
                  <c:v>0.51040191829008852</c:v>
                </c:pt>
                <c:pt idx="3">
                  <c:v>0.51040191829008852</c:v>
                </c:pt>
                <c:pt idx="4">
                  <c:v>0.51040191829008852</c:v>
                </c:pt>
                <c:pt idx="5">
                  <c:v>0.51040191829008852</c:v>
                </c:pt>
                <c:pt idx="6">
                  <c:v>0.51040191829008852</c:v>
                </c:pt>
                <c:pt idx="7">
                  <c:v>0.51040191829008852</c:v>
                </c:pt>
                <c:pt idx="8">
                  <c:v>0.51040191829008852</c:v>
                </c:pt>
                <c:pt idx="9">
                  <c:v>0.51040191829008852</c:v>
                </c:pt>
                <c:pt idx="10">
                  <c:v>0.51040191829008852</c:v>
                </c:pt>
                <c:pt idx="11">
                  <c:v>0.51040191829008852</c:v>
                </c:pt>
                <c:pt idx="12">
                  <c:v>0.51040191829008852</c:v>
                </c:pt>
                <c:pt idx="13">
                  <c:v>0.51040191829008852</c:v>
                </c:pt>
                <c:pt idx="14">
                  <c:v>0.51040191829008852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538816"/>
        <c:axId val="338869568"/>
      </c:lineChart>
      <c:catAx>
        <c:axId val="74953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8869568"/>
        <c:crosses val="autoZero"/>
        <c:auto val="1"/>
        <c:lblAlgn val="ctr"/>
        <c:lblOffset val="100"/>
        <c:noMultiLvlLbl val="0"/>
      </c:catAx>
      <c:valAx>
        <c:axId val="3388695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9538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ADAPTER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SAM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1">
                  <c:v>5269</c:v>
                </c:pt>
                <c:pt idx="2">
                  <c:v>3182</c:v>
                </c:pt>
                <c:pt idx="3">
                  <c:v>464</c:v>
                </c:pt>
                <c:pt idx="4">
                  <c:v>778</c:v>
                </c:pt>
                <c:pt idx="6">
                  <c:v>3172</c:v>
                </c:pt>
                <c:pt idx="7">
                  <c:v>4514</c:v>
                </c:pt>
                <c:pt idx="10">
                  <c:v>5588</c:v>
                </c:pt>
                <c:pt idx="12">
                  <c:v>5723</c:v>
                </c:pt>
                <c:pt idx="13">
                  <c:v>5013</c:v>
                </c:pt>
                <c:pt idx="14">
                  <c:v>60260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ADAPTER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SAM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5270</c:v>
                </c:pt>
                <c:pt idx="2">
                  <c:v>3190</c:v>
                </c:pt>
                <c:pt idx="3">
                  <c:v>470</c:v>
                </c:pt>
                <c:pt idx="4">
                  <c:v>780</c:v>
                </c:pt>
                <c:pt idx="5">
                  <c:v>1070</c:v>
                </c:pt>
                <c:pt idx="6">
                  <c:v>3180</c:v>
                </c:pt>
                <c:pt idx="7">
                  <c:v>4520</c:v>
                </c:pt>
                <c:pt idx="8">
                  <c:v>860</c:v>
                </c:pt>
                <c:pt idx="9">
                  <c:v>6790</c:v>
                </c:pt>
                <c:pt idx="10">
                  <c:v>5590</c:v>
                </c:pt>
                <c:pt idx="11">
                  <c:v>1441</c:v>
                </c:pt>
                <c:pt idx="12">
                  <c:v>5730</c:v>
                </c:pt>
                <c:pt idx="13">
                  <c:v>5020</c:v>
                </c:pt>
                <c:pt idx="14">
                  <c:v>60260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023616"/>
        <c:axId val="357590720"/>
      </c:lineChart>
      <c:catAx>
        <c:axId val="7910236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57590720"/>
        <c:crosses val="autoZero"/>
        <c:auto val="1"/>
        <c:lblAlgn val="ctr"/>
        <c:lblOffset val="100"/>
        <c:noMultiLvlLbl val="0"/>
      </c:catAx>
      <c:valAx>
        <c:axId val="3575907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91023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"/>
                <c:pt idx="0">
                  <c:v>0% 100% 62% 16% 25% 0% 79% 87% 0% 0% 96% 0% 100%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ADAPTER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SAM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0.99981024667931684</c:v>
                </c:pt>
                <c:pt idx="2">
                  <c:v>0.62343260188087768</c:v>
                </c:pt>
                <c:pt idx="3">
                  <c:v>0.16453900709219857</c:v>
                </c:pt>
                <c:pt idx="4">
                  <c:v>0.24935897435897436</c:v>
                </c:pt>
                <c:pt idx="5">
                  <c:v>0</c:v>
                </c:pt>
                <c:pt idx="6">
                  <c:v>0.78967505241090141</c:v>
                </c:pt>
                <c:pt idx="7">
                  <c:v>0.87383849557522131</c:v>
                </c:pt>
                <c:pt idx="8">
                  <c:v>0</c:v>
                </c:pt>
                <c:pt idx="9">
                  <c:v>0</c:v>
                </c:pt>
                <c:pt idx="10">
                  <c:v>0.95799045915324987</c:v>
                </c:pt>
                <c:pt idx="11">
                  <c:v>0</c:v>
                </c:pt>
                <c:pt idx="12">
                  <c:v>0.99877835951134375</c:v>
                </c:pt>
                <c:pt idx="13">
                  <c:v>0.99860557768924307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ADAPTER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SAM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0.51040191829008852</c:v>
                </c:pt>
                <c:pt idx="1">
                  <c:v>0.51040191829008852</c:v>
                </c:pt>
                <c:pt idx="2">
                  <c:v>0.51040191829008852</c:v>
                </c:pt>
                <c:pt idx="3">
                  <c:v>0.51040191829008852</c:v>
                </c:pt>
                <c:pt idx="4">
                  <c:v>0.51040191829008852</c:v>
                </c:pt>
                <c:pt idx="5">
                  <c:v>0.51040191829008852</c:v>
                </c:pt>
                <c:pt idx="6">
                  <c:v>0.51040191829008852</c:v>
                </c:pt>
                <c:pt idx="7">
                  <c:v>0.51040191829008852</c:v>
                </c:pt>
                <c:pt idx="8">
                  <c:v>0.51040191829008852</c:v>
                </c:pt>
                <c:pt idx="9">
                  <c:v>0.51040191829008852</c:v>
                </c:pt>
                <c:pt idx="10">
                  <c:v>0.51040191829008852</c:v>
                </c:pt>
                <c:pt idx="11">
                  <c:v>0.51040191829008852</c:v>
                </c:pt>
                <c:pt idx="12">
                  <c:v>0.51040191829008852</c:v>
                </c:pt>
                <c:pt idx="13">
                  <c:v>0.51040191829008852</c:v>
                </c:pt>
                <c:pt idx="14">
                  <c:v>0.51040191829008852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025152"/>
        <c:axId val="357592448"/>
      </c:lineChart>
      <c:catAx>
        <c:axId val="79102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57592448"/>
        <c:crosses val="autoZero"/>
        <c:auto val="1"/>
        <c:lblAlgn val="ctr"/>
        <c:lblOffset val="100"/>
        <c:noMultiLvlLbl val="0"/>
      </c:catAx>
      <c:valAx>
        <c:axId val="3575924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91025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026688"/>
        <c:axId val="3575947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026688"/>
        <c:axId val="357594752"/>
      </c:lineChart>
      <c:catAx>
        <c:axId val="79102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357594752"/>
        <c:crosses val="autoZero"/>
        <c:auto val="1"/>
        <c:lblAlgn val="ctr"/>
        <c:lblOffset val="100"/>
        <c:noMultiLvlLbl val="0"/>
      </c:catAx>
      <c:valAx>
        <c:axId val="357594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9102668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1">
                  <c:v>4135</c:v>
                </c:pt>
                <c:pt idx="2">
                  <c:v>4438</c:v>
                </c:pt>
                <c:pt idx="4">
                  <c:v>896</c:v>
                </c:pt>
                <c:pt idx="5">
                  <c:v>2308</c:v>
                </c:pt>
                <c:pt idx="6">
                  <c:v>2679</c:v>
                </c:pt>
                <c:pt idx="7">
                  <c:v>1750</c:v>
                </c:pt>
                <c:pt idx="8">
                  <c:v>238</c:v>
                </c:pt>
                <c:pt idx="9">
                  <c:v>756</c:v>
                </c:pt>
                <c:pt idx="10">
                  <c:v>3017</c:v>
                </c:pt>
                <c:pt idx="12">
                  <c:v>4710</c:v>
                </c:pt>
                <c:pt idx="13">
                  <c:v>4458</c:v>
                </c:pt>
                <c:pt idx="14">
                  <c:v>9068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4140</c:v>
                </c:pt>
                <c:pt idx="2">
                  <c:v>4440</c:v>
                </c:pt>
                <c:pt idx="3">
                  <c:v>470</c:v>
                </c:pt>
                <c:pt idx="4">
                  <c:v>900</c:v>
                </c:pt>
                <c:pt idx="5">
                  <c:v>2310</c:v>
                </c:pt>
                <c:pt idx="6">
                  <c:v>2680</c:v>
                </c:pt>
                <c:pt idx="7">
                  <c:v>1750</c:v>
                </c:pt>
                <c:pt idx="8">
                  <c:v>240</c:v>
                </c:pt>
                <c:pt idx="9">
                  <c:v>760</c:v>
                </c:pt>
                <c:pt idx="10">
                  <c:v>3020</c:v>
                </c:pt>
                <c:pt idx="11">
                  <c:v>1441</c:v>
                </c:pt>
                <c:pt idx="12">
                  <c:v>4710</c:v>
                </c:pt>
                <c:pt idx="13">
                  <c:v>4460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960448"/>
        <c:axId val="359318080"/>
      </c:lineChart>
      <c:catAx>
        <c:axId val="7939604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59318080"/>
        <c:crosses val="autoZero"/>
        <c:auto val="1"/>
        <c:lblAlgn val="ctr"/>
        <c:lblOffset val="100"/>
        <c:noMultiLvlLbl val="0"/>
      </c:catAx>
      <c:valAx>
        <c:axId val="359318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93960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"/>
                <c:pt idx="0">
                  <c:v>0% 96% 100% 0% 41% 58% 75% 38% 25% 21% 75% 0% 100% 100% 21%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0.95717592592592593</c:v>
                </c:pt>
                <c:pt idx="2">
                  <c:v>0.99954954954954955</c:v>
                </c:pt>
                <c:pt idx="3">
                  <c:v>0</c:v>
                </c:pt>
                <c:pt idx="4">
                  <c:v>0.4148148148148148</c:v>
                </c:pt>
                <c:pt idx="5">
                  <c:v>0.58282828282828281</c:v>
                </c:pt>
                <c:pt idx="6">
                  <c:v>0.74972014925373132</c:v>
                </c:pt>
                <c:pt idx="7">
                  <c:v>0.375</c:v>
                </c:pt>
                <c:pt idx="8">
                  <c:v>0.24791666666666667</c:v>
                </c:pt>
                <c:pt idx="9">
                  <c:v>0.20723684210526316</c:v>
                </c:pt>
                <c:pt idx="10">
                  <c:v>0.74925496688741722</c:v>
                </c:pt>
                <c:pt idx="11">
                  <c:v>0</c:v>
                </c:pt>
                <c:pt idx="12">
                  <c:v>1</c:v>
                </c:pt>
                <c:pt idx="13">
                  <c:v>0.99955156950672641</c:v>
                </c:pt>
                <c:pt idx="14">
                  <c:v>0.20828739434031607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0.49942241079191291</c:v>
                </c:pt>
                <c:pt idx="1">
                  <c:v>0.49942241079191291</c:v>
                </c:pt>
                <c:pt idx="2">
                  <c:v>0.49942241079191291</c:v>
                </c:pt>
                <c:pt idx="3">
                  <c:v>0.49942241079191291</c:v>
                </c:pt>
                <c:pt idx="4">
                  <c:v>0.49942241079191291</c:v>
                </c:pt>
                <c:pt idx="5">
                  <c:v>0.49942241079191291</c:v>
                </c:pt>
                <c:pt idx="6">
                  <c:v>0.49942241079191291</c:v>
                </c:pt>
                <c:pt idx="7">
                  <c:v>0.49942241079191291</c:v>
                </c:pt>
                <c:pt idx="8">
                  <c:v>0.49942241079191291</c:v>
                </c:pt>
                <c:pt idx="9">
                  <c:v>0.49942241079191291</c:v>
                </c:pt>
                <c:pt idx="10">
                  <c:v>0.49942241079191291</c:v>
                </c:pt>
                <c:pt idx="11">
                  <c:v>0.49942241079191291</c:v>
                </c:pt>
                <c:pt idx="12">
                  <c:v>0.49942241079191291</c:v>
                </c:pt>
                <c:pt idx="13">
                  <c:v>0.49942241079191291</c:v>
                </c:pt>
                <c:pt idx="14">
                  <c:v>0.49942241079191291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961984"/>
        <c:axId val="359319808"/>
      </c:lineChart>
      <c:catAx>
        <c:axId val="793961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59319808"/>
        <c:crosses val="autoZero"/>
        <c:auto val="1"/>
        <c:lblAlgn val="ctr"/>
        <c:lblOffset val="100"/>
        <c:noMultiLvlLbl val="0"/>
      </c:catAx>
      <c:valAx>
        <c:axId val="3593198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93961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1">
                  <c:v>4135</c:v>
                </c:pt>
                <c:pt idx="2">
                  <c:v>4438</c:v>
                </c:pt>
                <c:pt idx="4">
                  <c:v>896</c:v>
                </c:pt>
                <c:pt idx="5">
                  <c:v>2308</c:v>
                </c:pt>
                <c:pt idx="6">
                  <c:v>2679</c:v>
                </c:pt>
                <c:pt idx="7">
                  <c:v>1750</c:v>
                </c:pt>
                <c:pt idx="8">
                  <c:v>238</c:v>
                </c:pt>
                <c:pt idx="9">
                  <c:v>756</c:v>
                </c:pt>
                <c:pt idx="10">
                  <c:v>3017</c:v>
                </c:pt>
                <c:pt idx="12">
                  <c:v>4710</c:v>
                </c:pt>
                <c:pt idx="13">
                  <c:v>4458</c:v>
                </c:pt>
                <c:pt idx="14">
                  <c:v>9068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4140</c:v>
                </c:pt>
                <c:pt idx="2">
                  <c:v>4440</c:v>
                </c:pt>
                <c:pt idx="3">
                  <c:v>470</c:v>
                </c:pt>
                <c:pt idx="4">
                  <c:v>900</c:v>
                </c:pt>
                <c:pt idx="5">
                  <c:v>2310</c:v>
                </c:pt>
                <c:pt idx="6">
                  <c:v>2680</c:v>
                </c:pt>
                <c:pt idx="7">
                  <c:v>1750</c:v>
                </c:pt>
                <c:pt idx="8">
                  <c:v>240</c:v>
                </c:pt>
                <c:pt idx="9">
                  <c:v>760</c:v>
                </c:pt>
                <c:pt idx="10">
                  <c:v>3020</c:v>
                </c:pt>
                <c:pt idx="11">
                  <c:v>1441</c:v>
                </c:pt>
                <c:pt idx="12">
                  <c:v>4710</c:v>
                </c:pt>
                <c:pt idx="13">
                  <c:v>4460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962496"/>
        <c:axId val="359322112"/>
      </c:lineChart>
      <c:catAx>
        <c:axId val="7939624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59322112"/>
        <c:crosses val="autoZero"/>
        <c:auto val="1"/>
        <c:lblAlgn val="ctr"/>
        <c:lblOffset val="100"/>
        <c:noMultiLvlLbl val="0"/>
      </c:catAx>
      <c:valAx>
        <c:axId val="3593221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93962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"/>
                <c:pt idx="0">
                  <c:v>0% 96% 100% 0% 41% 58% 75% 38% 25% 21% 75% 0% 100% 100% 21%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0.95717592592592593</c:v>
                </c:pt>
                <c:pt idx="2">
                  <c:v>0.99954954954954955</c:v>
                </c:pt>
                <c:pt idx="3">
                  <c:v>0</c:v>
                </c:pt>
                <c:pt idx="4">
                  <c:v>0.4148148148148148</c:v>
                </c:pt>
                <c:pt idx="5">
                  <c:v>0.58282828282828281</c:v>
                </c:pt>
                <c:pt idx="6">
                  <c:v>0.74972014925373132</c:v>
                </c:pt>
                <c:pt idx="7">
                  <c:v>0.375</c:v>
                </c:pt>
                <c:pt idx="8">
                  <c:v>0.24791666666666667</c:v>
                </c:pt>
                <c:pt idx="9">
                  <c:v>0.20723684210526316</c:v>
                </c:pt>
                <c:pt idx="10">
                  <c:v>0.74925496688741722</c:v>
                </c:pt>
                <c:pt idx="11">
                  <c:v>0</c:v>
                </c:pt>
                <c:pt idx="12">
                  <c:v>1</c:v>
                </c:pt>
                <c:pt idx="13">
                  <c:v>0.99955156950672641</c:v>
                </c:pt>
                <c:pt idx="14">
                  <c:v>0.20828739434031607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0.49942241079191291</c:v>
                </c:pt>
                <c:pt idx="1">
                  <c:v>0.49942241079191291</c:v>
                </c:pt>
                <c:pt idx="2">
                  <c:v>0.49942241079191291</c:v>
                </c:pt>
                <c:pt idx="3">
                  <c:v>0.49942241079191291</c:v>
                </c:pt>
                <c:pt idx="4">
                  <c:v>0.49942241079191291</c:v>
                </c:pt>
                <c:pt idx="5">
                  <c:v>0.49942241079191291</c:v>
                </c:pt>
                <c:pt idx="6">
                  <c:v>0.49942241079191291</c:v>
                </c:pt>
                <c:pt idx="7">
                  <c:v>0.49942241079191291</c:v>
                </c:pt>
                <c:pt idx="8">
                  <c:v>0.49942241079191291</c:v>
                </c:pt>
                <c:pt idx="9">
                  <c:v>0.49942241079191291</c:v>
                </c:pt>
                <c:pt idx="10">
                  <c:v>0.49942241079191291</c:v>
                </c:pt>
                <c:pt idx="11">
                  <c:v>0.49942241079191291</c:v>
                </c:pt>
                <c:pt idx="12">
                  <c:v>0.49942241079191291</c:v>
                </c:pt>
                <c:pt idx="13">
                  <c:v>0.49942241079191291</c:v>
                </c:pt>
                <c:pt idx="14">
                  <c:v>0.49942241079191291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963520"/>
        <c:axId val="359323840"/>
      </c:lineChart>
      <c:catAx>
        <c:axId val="79396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59323840"/>
        <c:crosses val="autoZero"/>
        <c:auto val="1"/>
        <c:lblAlgn val="ctr"/>
        <c:lblOffset val="100"/>
        <c:noMultiLvlLbl val="0"/>
      </c:catAx>
      <c:valAx>
        <c:axId val="3593238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93963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024640"/>
        <c:axId val="48903840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024640"/>
        <c:axId val="489038400"/>
      </c:lineChart>
      <c:catAx>
        <c:axId val="791024640"/>
        <c:scaling>
          <c:orientation val="minMax"/>
        </c:scaling>
        <c:delete val="0"/>
        <c:axPos val="b"/>
        <c:majorTickMark val="out"/>
        <c:minorTickMark val="none"/>
        <c:tickLblPos val="nextTo"/>
        <c:crossAx val="489038400"/>
        <c:crosses val="autoZero"/>
        <c:auto val="1"/>
        <c:lblAlgn val="ctr"/>
        <c:lblOffset val="100"/>
        <c:noMultiLvlLbl val="0"/>
      </c:catAx>
      <c:valAx>
        <c:axId val="489038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910246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1">
                  <c:v>4735</c:v>
                </c:pt>
                <c:pt idx="2">
                  <c:v>5374</c:v>
                </c:pt>
                <c:pt idx="4">
                  <c:v>641</c:v>
                </c:pt>
                <c:pt idx="5">
                  <c:v>4605</c:v>
                </c:pt>
                <c:pt idx="6">
                  <c:v>3513</c:v>
                </c:pt>
                <c:pt idx="7">
                  <c:v>3165</c:v>
                </c:pt>
                <c:pt idx="8">
                  <c:v>432</c:v>
                </c:pt>
                <c:pt idx="10">
                  <c:v>5739</c:v>
                </c:pt>
                <c:pt idx="12">
                  <c:v>1285</c:v>
                </c:pt>
                <c:pt idx="13">
                  <c:v>4955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4740</c:v>
                </c:pt>
                <c:pt idx="2">
                  <c:v>5380</c:v>
                </c:pt>
                <c:pt idx="3">
                  <c:v>470</c:v>
                </c:pt>
                <c:pt idx="4">
                  <c:v>650</c:v>
                </c:pt>
                <c:pt idx="5">
                  <c:v>4610</c:v>
                </c:pt>
                <c:pt idx="6">
                  <c:v>3520</c:v>
                </c:pt>
                <c:pt idx="7">
                  <c:v>3170</c:v>
                </c:pt>
                <c:pt idx="8">
                  <c:v>440</c:v>
                </c:pt>
                <c:pt idx="9">
                  <c:v>760</c:v>
                </c:pt>
                <c:pt idx="10">
                  <c:v>5740</c:v>
                </c:pt>
                <c:pt idx="11">
                  <c:v>1441</c:v>
                </c:pt>
                <c:pt idx="12">
                  <c:v>1290</c:v>
                </c:pt>
                <c:pt idx="13">
                  <c:v>4960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691392"/>
        <c:axId val="489041280"/>
      </c:lineChart>
      <c:catAx>
        <c:axId val="7976913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89041280"/>
        <c:crosses val="autoZero"/>
        <c:auto val="1"/>
        <c:lblAlgn val="ctr"/>
        <c:lblOffset val="100"/>
        <c:noMultiLvlLbl val="0"/>
      </c:catAx>
      <c:valAx>
        <c:axId val="4890412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97691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"/>
                <c:pt idx="0">
                  <c:v>0% 100% 100% 0% 25% 100% 79% 67% 25% 0% 96% 0% 42%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0.99894514767932485</c:v>
                </c:pt>
                <c:pt idx="2">
                  <c:v>0.99888475836431223</c:v>
                </c:pt>
                <c:pt idx="3">
                  <c:v>0</c:v>
                </c:pt>
                <c:pt idx="4">
                  <c:v>0.24653846153846154</c:v>
                </c:pt>
                <c:pt idx="5">
                  <c:v>0.99891540130151846</c:v>
                </c:pt>
                <c:pt idx="6">
                  <c:v>0.7900923295454545</c:v>
                </c:pt>
                <c:pt idx="7">
                  <c:v>0.66561514195583593</c:v>
                </c:pt>
                <c:pt idx="8">
                  <c:v>0.24545454545454545</c:v>
                </c:pt>
                <c:pt idx="9">
                  <c:v>0</c:v>
                </c:pt>
                <c:pt idx="10">
                  <c:v>0.95816637630662016</c:v>
                </c:pt>
                <c:pt idx="11">
                  <c:v>0</c:v>
                </c:pt>
                <c:pt idx="12">
                  <c:v>0.4150516795865633</c:v>
                </c:pt>
                <c:pt idx="13">
                  <c:v>0.998991935483871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0.48777705181443382</c:v>
                </c:pt>
                <c:pt idx="1">
                  <c:v>0.48777705181443382</c:v>
                </c:pt>
                <c:pt idx="2">
                  <c:v>0.48777705181443382</c:v>
                </c:pt>
                <c:pt idx="3">
                  <c:v>0.48777705181443382</c:v>
                </c:pt>
                <c:pt idx="4">
                  <c:v>0.48777705181443382</c:v>
                </c:pt>
                <c:pt idx="5">
                  <c:v>0.48777705181443382</c:v>
                </c:pt>
                <c:pt idx="6">
                  <c:v>0.48777705181443382</c:v>
                </c:pt>
                <c:pt idx="7">
                  <c:v>0.48777705181443382</c:v>
                </c:pt>
                <c:pt idx="8">
                  <c:v>0.48777705181443382</c:v>
                </c:pt>
                <c:pt idx="9">
                  <c:v>0.48777705181443382</c:v>
                </c:pt>
                <c:pt idx="10">
                  <c:v>0.48777705181443382</c:v>
                </c:pt>
                <c:pt idx="11">
                  <c:v>0.48777705181443382</c:v>
                </c:pt>
                <c:pt idx="12">
                  <c:v>0.48777705181443382</c:v>
                </c:pt>
                <c:pt idx="13">
                  <c:v>0.48777705181443382</c:v>
                </c:pt>
                <c:pt idx="14">
                  <c:v>0.48777705181443382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033408"/>
        <c:axId val="489043008"/>
      </c:lineChart>
      <c:catAx>
        <c:axId val="79803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89043008"/>
        <c:crosses val="autoZero"/>
        <c:auto val="1"/>
        <c:lblAlgn val="ctr"/>
        <c:lblOffset val="100"/>
        <c:noMultiLvlLbl val="0"/>
      </c:catAx>
      <c:valAx>
        <c:axId val="4890430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98033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1">
                  <c:v>4735</c:v>
                </c:pt>
                <c:pt idx="2">
                  <c:v>5374</c:v>
                </c:pt>
                <c:pt idx="4">
                  <c:v>641</c:v>
                </c:pt>
                <c:pt idx="5">
                  <c:v>4605</c:v>
                </c:pt>
                <c:pt idx="6">
                  <c:v>3513</c:v>
                </c:pt>
                <c:pt idx="7">
                  <c:v>3165</c:v>
                </c:pt>
                <c:pt idx="8">
                  <c:v>432</c:v>
                </c:pt>
                <c:pt idx="10">
                  <c:v>5739</c:v>
                </c:pt>
                <c:pt idx="12">
                  <c:v>1285</c:v>
                </c:pt>
                <c:pt idx="13">
                  <c:v>4955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4740</c:v>
                </c:pt>
                <c:pt idx="2">
                  <c:v>5380</c:v>
                </c:pt>
                <c:pt idx="3">
                  <c:v>470</c:v>
                </c:pt>
                <c:pt idx="4">
                  <c:v>650</c:v>
                </c:pt>
                <c:pt idx="5">
                  <c:v>4610</c:v>
                </c:pt>
                <c:pt idx="6">
                  <c:v>3520</c:v>
                </c:pt>
                <c:pt idx="7">
                  <c:v>3170</c:v>
                </c:pt>
                <c:pt idx="8">
                  <c:v>440</c:v>
                </c:pt>
                <c:pt idx="9">
                  <c:v>760</c:v>
                </c:pt>
                <c:pt idx="10">
                  <c:v>5740</c:v>
                </c:pt>
                <c:pt idx="11">
                  <c:v>1441</c:v>
                </c:pt>
                <c:pt idx="12">
                  <c:v>1290</c:v>
                </c:pt>
                <c:pt idx="13">
                  <c:v>4960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033920"/>
        <c:axId val="489045312"/>
      </c:lineChart>
      <c:catAx>
        <c:axId val="7980339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89045312"/>
        <c:crosses val="autoZero"/>
        <c:auto val="1"/>
        <c:lblAlgn val="ctr"/>
        <c:lblOffset val="100"/>
        <c:noMultiLvlLbl val="0"/>
      </c:catAx>
      <c:valAx>
        <c:axId val="4890453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98033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"/>
                <c:pt idx="0">
                  <c:v>0% 100% 100% 0% 25% 100% 79% 67% 25% 0% 96% 0% 42%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0.99894514767932485</c:v>
                </c:pt>
                <c:pt idx="2">
                  <c:v>0.99888475836431223</c:v>
                </c:pt>
                <c:pt idx="3">
                  <c:v>0</c:v>
                </c:pt>
                <c:pt idx="4">
                  <c:v>0.24653846153846154</c:v>
                </c:pt>
                <c:pt idx="5">
                  <c:v>0.99891540130151846</c:v>
                </c:pt>
                <c:pt idx="6">
                  <c:v>0.7900923295454545</c:v>
                </c:pt>
                <c:pt idx="7">
                  <c:v>0.66561514195583593</c:v>
                </c:pt>
                <c:pt idx="8">
                  <c:v>0.24545454545454545</c:v>
                </c:pt>
                <c:pt idx="9">
                  <c:v>0</c:v>
                </c:pt>
                <c:pt idx="10">
                  <c:v>0.95816637630662016</c:v>
                </c:pt>
                <c:pt idx="11">
                  <c:v>0</c:v>
                </c:pt>
                <c:pt idx="12">
                  <c:v>0.4150516795865633</c:v>
                </c:pt>
                <c:pt idx="13">
                  <c:v>0.998991935483871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0.48777705181443382</c:v>
                </c:pt>
                <c:pt idx="1">
                  <c:v>0.48777705181443382</c:v>
                </c:pt>
                <c:pt idx="2">
                  <c:v>0.48777705181443382</c:v>
                </c:pt>
                <c:pt idx="3">
                  <c:v>0.48777705181443382</c:v>
                </c:pt>
                <c:pt idx="4">
                  <c:v>0.48777705181443382</c:v>
                </c:pt>
                <c:pt idx="5">
                  <c:v>0.48777705181443382</c:v>
                </c:pt>
                <c:pt idx="6">
                  <c:v>0.48777705181443382</c:v>
                </c:pt>
                <c:pt idx="7">
                  <c:v>0.48777705181443382</c:v>
                </c:pt>
                <c:pt idx="8">
                  <c:v>0.48777705181443382</c:v>
                </c:pt>
                <c:pt idx="9">
                  <c:v>0.48777705181443382</c:v>
                </c:pt>
                <c:pt idx="10">
                  <c:v>0.48777705181443382</c:v>
                </c:pt>
                <c:pt idx="11">
                  <c:v>0.48777705181443382</c:v>
                </c:pt>
                <c:pt idx="12">
                  <c:v>0.48777705181443382</c:v>
                </c:pt>
                <c:pt idx="13">
                  <c:v>0.48777705181443382</c:v>
                </c:pt>
                <c:pt idx="14">
                  <c:v>0.48777705181443382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034944"/>
        <c:axId val="490906752"/>
      </c:lineChart>
      <c:catAx>
        <c:axId val="79803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90906752"/>
        <c:crosses val="autoZero"/>
        <c:auto val="1"/>
        <c:lblAlgn val="ctr"/>
        <c:lblOffset val="100"/>
        <c:noMultiLvlLbl val="0"/>
      </c:catAx>
      <c:valAx>
        <c:axId val="4909067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98034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8032896"/>
        <c:axId val="4909090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032896"/>
        <c:axId val="490909056"/>
      </c:lineChart>
      <c:catAx>
        <c:axId val="798032896"/>
        <c:scaling>
          <c:orientation val="minMax"/>
        </c:scaling>
        <c:delete val="0"/>
        <c:axPos val="b"/>
        <c:majorTickMark val="out"/>
        <c:minorTickMark val="none"/>
        <c:tickLblPos val="nextTo"/>
        <c:crossAx val="490909056"/>
        <c:crosses val="autoZero"/>
        <c:auto val="1"/>
        <c:lblAlgn val="ctr"/>
        <c:lblOffset val="100"/>
        <c:noMultiLvlLbl val="0"/>
      </c:catAx>
      <c:valAx>
        <c:axId val="4909090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9803289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2">
                  <c:v>5210</c:v>
                </c:pt>
                <c:pt idx="3">
                  <c:v>820</c:v>
                </c:pt>
                <c:pt idx="5">
                  <c:v>4724</c:v>
                </c:pt>
                <c:pt idx="6">
                  <c:v>4059</c:v>
                </c:pt>
                <c:pt idx="7">
                  <c:v>5810</c:v>
                </c:pt>
                <c:pt idx="12">
                  <c:v>4932</c:v>
                </c:pt>
                <c:pt idx="13">
                  <c:v>4633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4740</c:v>
                </c:pt>
                <c:pt idx="2">
                  <c:v>5210</c:v>
                </c:pt>
                <c:pt idx="3">
                  <c:v>820</c:v>
                </c:pt>
                <c:pt idx="4">
                  <c:v>650</c:v>
                </c:pt>
                <c:pt idx="5">
                  <c:v>4730</c:v>
                </c:pt>
                <c:pt idx="6">
                  <c:v>4060</c:v>
                </c:pt>
                <c:pt idx="7">
                  <c:v>5810</c:v>
                </c:pt>
                <c:pt idx="8">
                  <c:v>440</c:v>
                </c:pt>
                <c:pt idx="9">
                  <c:v>760</c:v>
                </c:pt>
                <c:pt idx="10">
                  <c:v>5740</c:v>
                </c:pt>
                <c:pt idx="11">
                  <c:v>1441</c:v>
                </c:pt>
                <c:pt idx="12">
                  <c:v>4940</c:v>
                </c:pt>
                <c:pt idx="13">
                  <c:v>4640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962944"/>
        <c:axId val="490911936"/>
      </c:lineChart>
      <c:catAx>
        <c:axId val="8029629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90911936"/>
        <c:crosses val="autoZero"/>
        <c:auto val="1"/>
        <c:lblAlgn val="ctr"/>
        <c:lblOffset val="100"/>
        <c:noMultiLvlLbl val="0"/>
      </c:catAx>
      <c:valAx>
        <c:axId val="4909119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802962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0% 0% 100% 21% 0% 100% 92% 100% 0% 0% 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0.20833333333333334</c:v>
                </c:pt>
                <c:pt idx="4">
                  <c:v>0</c:v>
                </c:pt>
                <c:pt idx="5">
                  <c:v>0.99873150105708242</c:v>
                </c:pt>
                <c:pt idx="6">
                  <c:v>0.91644088669950741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0.99838056680161946</c:v>
                </c:pt>
                <c:pt idx="13">
                  <c:v>0.99849137931034482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0.40802517781345921</c:v>
                </c:pt>
                <c:pt idx="1">
                  <c:v>0.40802517781345921</c:v>
                </c:pt>
                <c:pt idx="2">
                  <c:v>0.40802517781345921</c:v>
                </c:pt>
                <c:pt idx="3">
                  <c:v>0.40802517781345921</c:v>
                </c:pt>
                <c:pt idx="4">
                  <c:v>0.40802517781345921</c:v>
                </c:pt>
                <c:pt idx="5">
                  <c:v>0.40802517781345921</c:v>
                </c:pt>
                <c:pt idx="6">
                  <c:v>0.40802517781345921</c:v>
                </c:pt>
                <c:pt idx="7">
                  <c:v>0.40802517781345921</c:v>
                </c:pt>
                <c:pt idx="8">
                  <c:v>0.40802517781345921</c:v>
                </c:pt>
                <c:pt idx="9">
                  <c:v>0.40802517781345921</c:v>
                </c:pt>
                <c:pt idx="10">
                  <c:v>0.40802517781345921</c:v>
                </c:pt>
                <c:pt idx="11">
                  <c:v>0.40802517781345921</c:v>
                </c:pt>
                <c:pt idx="12">
                  <c:v>0.40802517781345921</c:v>
                </c:pt>
                <c:pt idx="13">
                  <c:v>0.40802517781345921</c:v>
                </c:pt>
                <c:pt idx="14">
                  <c:v>0.40802517781345921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004928"/>
        <c:axId val="335609856"/>
      </c:lineChart>
      <c:catAx>
        <c:axId val="80300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5609856"/>
        <c:crosses val="autoZero"/>
        <c:auto val="1"/>
        <c:lblAlgn val="ctr"/>
        <c:lblOffset val="100"/>
        <c:noMultiLvlLbl val="0"/>
      </c:catAx>
      <c:valAx>
        <c:axId val="3356098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803004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2">
                  <c:v>5210</c:v>
                </c:pt>
                <c:pt idx="3">
                  <c:v>820</c:v>
                </c:pt>
                <c:pt idx="5">
                  <c:v>4724</c:v>
                </c:pt>
                <c:pt idx="6">
                  <c:v>4059</c:v>
                </c:pt>
                <c:pt idx="7">
                  <c:v>5810</c:v>
                </c:pt>
                <c:pt idx="12">
                  <c:v>4932</c:v>
                </c:pt>
                <c:pt idx="13">
                  <c:v>4633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4740</c:v>
                </c:pt>
                <c:pt idx="2">
                  <c:v>5210</c:v>
                </c:pt>
                <c:pt idx="3">
                  <c:v>820</c:v>
                </c:pt>
                <c:pt idx="4">
                  <c:v>650</c:v>
                </c:pt>
                <c:pt idx="5">
                  <c:v>4730</c:v>
                </c:pt>
                <c:pt idx="6">
                  <c:v>4060</c:v>
                </c:pt>
                <c:pt idx="7">
                  <c:v>5810</c:v>
                </c:pt>
                <c:pt idx="8">
                  <c:v>440</c:v>
                </c:pt>
                <c:pt idx="9">
                  <c:v>760</c:v>
                </c:pt>
                <c:pt idx="10">
                  <c:v>5740</c:v>
                </c:pt>
                <c:pt idx="11">
                  <c:v>1441</c:v>
                </c:pt>
                <c:pt idx="12">
                  <c:v>4940</c:v>
                </c:pt>
                <c:pt idx="13">
                  <c:v>4640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005952"/>
        <c:axId val="335612160"/>
      </c:lineChart>
      <c:catAx>
        <c:axId val="8030059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5612160"/>
        <c:crosses val="autoZero"/>
        <c:auto val="1"/>
        <c:lblAlgn val="ctr"/>
        <c:lblOffset val="100"/>
        <c:noMultiLvlLbl val="0"/>
      </c:catAx>
      <c:valAx>
        <c:axId val="3356121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803005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0% 0% 100% 21% 0% 100% 92% 100% 0% 0% 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0.20833333333333334</c:v>
                </c:pt>
                <c:pt idx="4">
                  <c:v>0</c:v>
                </c:pt>
                <c:pt idx="5">
                  <c:v>0.99873150105708242</c:v>
                </c:pt>
                <c:pt idx="6">
                  <c:v>0.91644088669950741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0.99838056680161946</c:v>
                </c:pt>
                <c:pt idx="13">
                  <c:v>0.99849137931034482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F/ADAPTER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0.40802517781345921</c:v>
                </c:pt>
                <c:pt idx="1">
                  <c:v>0.40802517781345921</c:v>
                </c:pt>
                <c:pt idx="2">
                  <c:v>0.40802517781345921</c:v>
                </c:pt>
                <c:pt idx="3">
                  <c:v>0.40802517781345921</c:v>
                </c:pt>
                <c:pt idx="4">
                  <c:v>0.40802517781345921</c:v>
                </c:pt>
                <c:pt idx="5">
                  <c:v>0.40802517781345921</c:v>
                </c:pt>
                <c:pt idx="6">
                  <c:v>0.40802517781345921</c:v>
                </c:pt>
                <c:pt idx="7">
                  <c:v>0.40802517781345921</c:v>
                </c:pt>
                <c:pt idx="8">
                  <c:v>0.40802517781345921</c:v>
                </c:pt>
                <c:pt idx="9">
                  <c:v>0.40802517781345921</c:v>
                </c:pt>
                <c:pt idx="10">
                  <c:v>0.40802517781345921</c:v>
                </c:pt>
                <c:pt idx="11">
                  <c:v>0.40802517781345921</c:v>
                </c:pt>
                <c:pt idx="12">
                  <c:v>0.40802517781345921</c:v>
                </c:pt>
                <c:pt idx="13">
                  <c:v>0.40802517781345921</c:v>
                </c:pt>
                <c:pt idx="14">
                  <c:v>0.40802517781345921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006464"/>
        <c:axId val="335613888"/>
      </c:lineChart>
      <c:catAx>
        <c:axId val="80300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5613888"/>
        <c:crosses val="autoZero"/>
        <c:auto val="1"/>
        <c:lblAlgn val="ctr"/>
        <c:lblOffset val="100"/>
        <c:noMultiLvlLbl val="0"/>
      </c:catAx>
      <c:valAx>
        <c:axId val="3356138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803006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3006976"/>
        <c:axId val="3356161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006976"/>
        <c:axId val="335616192"/>
      </c:lineChart>
      <c:catAx>
        <c:axId val="80300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335616192"/>
        <c:crosses val="autoZero"/>
        <c:auto val="1"/>
        <c:lblAlgn val="ctr"/>
        <c:lblOffset val="100"/>
        <c:noMultiLvlLbl val="0"/>
      </c:catAx>
      <c:valAx>
        <c:axId val="3356161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030069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2">
                  <c:v>5298</c:v>
                </c:pt>
                <c:pt idx="3">
                  <c:v>3027</c:v>
                </c:pt>
                <c:pt idx="4">
                  <c:v>3094</c:v>
                </c:pt>
                <c:pt idx="5">
                  <c:v>4396</c:v>
                </c:pt>
                <c:pt idx="6">
                  <c:v>4770</c:v>
                </c:pt>
                <c:pt idx="7">
                  <c:v>1380</c:v>
                </c:pt>
                <c:pt idx="8">
                  <c:v>2880</c:v>
                </c:pt>
                <c:pt idx="9">
                  <c:v>420</c:v>
                </c:pt>
                <c:pt idx="12">
                  <c:v>1215</c:v>
                </c:pt>
                <c:pt idx="13">
                  <c:v>5973</c:v>
                </c:pt>
                <c:pt idx="14">
                  <c:v>5456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4740</c:v>
                </c:pt>
                <c:pt idx="2">
                  <c:v>5300</c:v>
                </c:pt>
                <c:pt idx="3">
                  <c:v>3030</c:v>
                </c:pt>
                <c:pt idx="4">
                  <c:v>3094</c:v>
                </c:pt>
                <c:pt idx="5">
                  <c:v>4400</c:v>
                </c:pt>
                <c:pt idx="6">
                  <c:v>4770</c:v>
                </c:pt>
                <c:pt idx="7">
                  <c:v>1380</c:v>
                </c:pt>
                <c:pt idx="8">
                  <c:v>2880</c:v>
                </c:pt>
                <c:pt idx="9">
                  <c:v>420</c:v>
                </c:pt>
                <c:pt idx="10">
                  <c:v>760</c:v>
                </c:pt>
                <c:pt idx="11">
                  <c:v>5740</c:v>
                </c:pt>
                <c:pt idx="12">
                  <c:v>1220</c:v>
                </c:pt>
                <c:pt idx="13">
                  <c:v>5980</c:v>
                </c:pt>
                <c:pt idx="14">
                  <c:v>5460</c:v>
                </c:pt>
                <c:pt idx="15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211456"/>
        <c:axId val="515671168"/>
      </c:lineChart>
      <c:catAx>
        <c:axId val="8162114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15671168"/>
        <c:crosses val="autoZero"/>
        <c:auto val="1"/>
        <c:lblAlgn val="ctr"/>
        <c:lblOffset val="100"/>
        <c:noMultiLvlLbl val="0"/>
      </c:catAx>
      <c:valAx>
        <c:axId val="515671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816211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"/>
                <c:pt idx="0">
                  <c:v>0% 0% 100% 67% 42% 100% 100% 29% 71% 50% 0% 0% 41%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0.99962264150943392</c:v>
                </c:pt>
                <c:pt idx="3">
                  <c:v>0.66600660066006601</c:v>
                </c:pt>
                <c:pt idx="4">
                  <c:v>0.41666666666666669</c:v>
                </c:pt>
                <c:pt idx="5">
                  <c:v>0.99909090909090914</c:v>
                </c:pt>
                <c:pt idx="6">
                  <c:v>1</c:v>
                </c:pt>
                <c:pt idx="7">
                  <c:v>0.29166666666666669</c:v>
                </c:pt>
                <c:pt idx="8">
                  <c:v>0.70833333333333337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0.41495901639344268</c:v>
                </c:pt>
                <c:pt idx="13">
                  <c:v>0.99882943143812708</c:v>
                </c:pt>
                <c:pt idx="14">
                  <c:v>0.99926739926739927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0.53296284433506957</c:v>
                </c:pt>
                <c:pt idx="1">
                  <c:v>0.53296284433506957</c:v>
                </c:pt>
                <c:pt idx="2">
                  <c:v>0.53296284433506957</c:v>
                </c:pt>
                <c:pt idx="3">
                  <c:v>0.53296284433506957</c:v>
                </c:pt>
                <c:pt idx="4">
                  <c:v>0.53296284433506957</c:v>
                </c:pt>
                <c:pt idx="5">
                  <c:v>0.53296284433506957</c:v>
                </c:pt>
                <c:pt idx="6">
                  <c:v>0.53296284433506957</c:v>
                </c:pt>
                <c:pt idx="7">
                  <c:v>0.53296284433506957</c:v>
                </c:pt>
                <c:pt idx="8">
                  <c:v>0.53296284433506957</c:v>
                </c:pt>
                <c:pt idx="9">
                  <c:v>0.53296284433506957</c:v>
                </c:pt>
                <c:pt idx="10">
                  <c:v>0.53296284433506957</c:v>
                </c:pt>
                <c:pt idx="11">
                  <c:v>0.53296284433506957</c:v>
                </c:pt>
                <c:pt idx="12">
                  <c:v>0.53296284433506957</c:v>
                </c:pt>
                <c:pt idx="13">
                  <c:v>0.53296284433506957</c:v>
                </c:pt>
                <c:pt idx="14">
                  <c:v>0.53296284433506957</c:v>
                </c:pt>
                <c:pt idx="15">
                  <c:v>0.53296284433506957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213504"/>
        <c:axId val="515672896"/>
      </c:lineChart>
      <c:catAx>
        <c:axId val="81621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5672896"/>
        <c:crosses val="autoZero"/>
        <c:auto val="1"/>
        <c:lblAlgn val="ctr"/>
        <c:lblOffset val="100"/>
        <c:noMultiLvlLbl val="0"/>
      </c:catAx>
      <c:valAx>
        <c:axId val="5156728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816213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2">
                  <c:v>5298</c:v>
                </c:pt>
                <c:pt idx="3">
                  <c:v>3027</c:v>
                </c:pt>
                <c:pt idx="4">
                  <c:v>3094</c:v>
                </c:pt>
                <c:pt idx="5">
                  <c:v>4396</c:v>
                </c:pt>
                <c:pt idx="6">
                  <c:v>4770</c:v>
                </c:pt>
                <c:pt idx="7">
                  <c:v>1380</c:v>
                </c:pt>
                <c:pt idx="8">
                  <c:v>2880</c:v>
                </c:pt>
                <c:pt idx="9">
                  <c:v>420</c:v>
                </c:pt>
                <c:pt idx="12">
                  <c:v>1215</c:v>
                </c:pt>
                <c:pt idx="13">
                  <c:v>5973</c:v>
                </c:pt>
                <c:pt idx="14">
                  <c:v>5456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4740</c:v>
                </c:pt>
                <c:pt idx="2">
                  <c:v>5300</c:v>
                </c:pt>
                <c:pt idx="3">
                  <c:v>3030</c:v>
                </c:pt>
                <c:pt idx="4">
                  <c:v>3094</c:v>
                </c:pt>
                <c:pt idx="5">
                  <c:v>4400</c:v>
                </c:pt>
                <c:pt idx="6">
                  <c:v>4770</c:v>
                </c:pt>
                <c:pt idx="7">
                  <c:v>1380</c:v>
                </c:pt>
                <c:pt idx="8">
                  <c:v>2880</c:v>
                </c:pt>
                <c:pt idx="9">
                  <c:v>420</c:v>
                </c:pt>
                <c:pt idx="10">
                  <c:v>760</c:v>
                </c:pt>
                <c:pt idx="11">
                  <c:v>5740</c:v>
                </c:pt>
                <c:pt idx="12">
                  <c:v>1220</c:v>
                </c:pt>
                <c:pt idx="13">
                  <c:v>5980</c:v>
                </c:pt>
                <c:pt idx="14">
                  <c:v>5460</c:v>
                </c:pt>
                <c:pt idx="15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618944"/>
        <c:axId val="515675200"/>
      </c:lineChart>
      <c:catAx>
        <c:axId val="8176189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15675200"/>
        <c:crosses val="autoZero"/>
        <c:auto val="1"/>
        <c:lblAlgn val="ctr"/>
        <c:lblOffset val="100"/>
        <c:noMultiLvlLbl val="0"/>
      </c:catAx>
      <c:valAx>
        <c:axId val="5156752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817618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"/>
                <c:pt idx="0">
                  <c:v>0% 0% 100% 67% 42% 100% 100% 29% 71% 50% 0% 0% 41%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0.99962264150943392</c:v>
                </c:pt>
                <c:pt idx="3">
                  <c:v>0.66600660066006601</c:v>
                </c:pt>
                <c:pt idx="4">
                  <c:v>0.41666666666666669</c:v>
                </c:pt>
                <c:pt idx="5">
                  <c:v>0.99909090909090914</c:v>
                </c:pt>
                <c:pt idx="6">
                  <c:v>1</c:v>
                </c:pt>
                <c:pt idx="7">
                  <c:v>0.29166666666666669</c:v>
                </c:pt>
                <c:pt idx="8">
                  <c:v>0.70833333333333337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0.41495901639344268</c:v>
                </c:pt>
                <c:pt idx="13">
                  <c:v>0.99882943143812708</c:v>
                </c:pt>
                <c:pt idx="14">
                  <c:v>0.99926739926739927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0.53296284433506957</c:v>
                </c:pt>
                <c:pt idx="1">
                  <c:v>0.53296284433506957</c:v>
                </c:pt>
                <c:pt idx="2">
                  <c:v>0.53296284433506957</c:v>
                </c:pt>
                <c:pt idx="3">
                  <c:v>0.53296284433506957</c:v>
                </c:pt>
                <c:pt idx="4">
                  <c:v>0.53296284433506957</c:v>
                </c:pt>
                <c:pt idx="5">
                  <c:v>0.53296284433506957</c:v>
                </c:pt>
                <c:pt idx="6">
                  <c:v>0.53296284433506957</c:v>
                </c:pt>
                <c:pt idx="7">
                  <c:v>0.53296284433506957</c:v>
                </c:pt>
                <c:pt idx="8">
                  <c:v>0.53296284433506957</c:v>
                </c:pt>
                <c:pt idx="9">
                  <c:v>0.53296284433506957</c:v>
                </c:pt>
                <c:pt idx="10">
                  <c:v>0.53296284433506957</c:v>
                </c:pt>
                <c:pt idx="11">
                  <c:v>0.53296284433506957</c:v>
                </c:pt>
                <c:pt idx="12">
                  <c:v>0.53296284433506957</c:v>
                </c:pt>
                <c:pt idx="13">
                  <c:v>0.53296284433506957</c:v>
                </c:pt>
                <c:pt idx="14">
                  <c:v>0.53296284433506957</c:v>
                </c:pt>
                <c:pt idx="15">
                  <c:v>0.53296284433506957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620480"/>
        <c:axId val="515676928"/>
      </c:lineChart>
      <c:catAx>
        <c:axId val="81762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5676928"/>
        <c:crosses val="autoZero"/>
        <c:auto val="1"/>
        <c:lblAlgn val="ctr"/>
        <c:lblOffset val="100"/>
        <c:noMultiLvlLbl val="0"/>
      </c:catAx>
      <c:valAx>
        <c:axId val="5156769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817620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7620992"/>
        <c:axId val="5157776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620992"/>
        <c:axId val="515777664"/>
      </c:lineChart>
      <c:catAx>
        <c:axId val="817620992"/>
        <c:scaling>
          <c:orientation val="minMax"/>
        </c:scaling>
        <c:delete val="0"/>
        <c:axPos val="b"/>
        <c:majorTickMark val="out"/>
        <c:minorTickMark val="none"/>
        <c:tickLblPos val="nextTo"/>
        <c:crossAx val="515777664"/>
        <c:crosses val="autoZero"/>
        <c:auto val="1"/>
        <c:lblAlgn val="ctr"/>
        <c:lblOffset val="100"/>
        <c:noMultiLvlLbl val="0"/>
      </c:catAx>
      <c:valAx>
        <c:axId val="5157776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176209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5397</c:v>
                </c:pt>
                <c:pt idx="3">
                  <c:v>4508</c:v>
                </c:pt>
                <c:pt idx="6">
                  <c:v>4877</c:v>
                </c:pt>
                <c:pt idx="7">
                  <c:v>1201</c:v>
                </c:pt>
                <c:pt idx="10">
                  <c:v>3585</c:v>
                </c:pt>
                <c:pt idx="11">
                  <c:v>876</c:v>
                </c:pt>
                <c:pt idx="12">
                  <c:v>2523</c:v>
                </c:pt>
                <c:pt idx="13">
                  <c:v>3865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4740</c:v>
                </c:pt>
                <c:pt idx="2">
                  <c:v>5400</c:v>
                </c:pt>
                <c:pt idx="3">
                  <c:v>4510</c:v>
                </c:pt>
                <c:pt idx="4">
                  <c:v>3094</c:v>
                </c:pt>
                <c:pt idx="5">
                  <c:v>4400</c:v>
                </c:pt>
                <c:pt idx="6">
                  <c:v>4880</c:v>
                </c:pt>
                <c:pt idx="7">
                  <c:v>1201</c:v>
                </c:pt>
                <c:pt idx="8">
                  <c:v>420</c:v>
                </c:pt>
                <c:pt idx="9">
                  <c:v>760</c:v>
                </c:pt>
                <c:pt idx="10">
                  <c:v>3590</c:v>
                </c:pt>
                <c:pt idx="11">
                  <c:v>876</c:v>
                </c:pt>
                <c:pt idx="12">
                  <c:v>2530</c:v>
                </c:pt>
                <c:pt idx="13">
                  <c:v>3870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606976"/>
        <c:axId val="515780544"/>
      </c:lineChart>
      <c:catAx>
        <c:axId val="8206069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15780544"/>
        <c:crosses val="autoZero"/>
        <c:auto val="1"/>
        <c:lblAlgn val="ctr"/>
        <c:lblOffset val="100"/>
        <c:noMultiLvlLbl val="0"/>
      </c:catAx>
      <c:valAx>
        <c:axId val="5157805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820606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"/>
                <c:pt idx="0">
                  <c:v>0% 0% 100% 92% 0% 0% 100% 50% 0% 0% 62% 33% 62%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0.99944444444444447</c:v>
                </c:pt>
                <c:pt idx="3">
                  <c:v>0.9162601626016259</c:v>
                </c:pt>
                <c:pt idx="4">
                  <c:v>0</c:v>
                </c:pt>
                <c:pt idx="5">
                  <c:v>0</c:v>
                </c:pt>
                <c:pt idx="6">
                  <c:v>0.99938524590163935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0.62412952646239561</c:v>
                </c:pt>
                <c:pt idx="11">
                  <c:v>0.33333333333333331</c:v>
                </c:pt>
                <c:pt idx="12">
                  <c:v>0.62327075098814233</c:v>
                </c:pt>
                <c:pt idx="13">
                  <c:v>0.83225667527993108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0.3885386759341008</c:v>
                </c:pt>
                <c:pt idx="1">
                  <c:v>0.3885386759341008</c:v>
                </c:pt>
                <c:pt idx="2">
                  <c:v>0.3885386759341008</c:v>
                </c:pt>
                <c:pt idx="3">
                  <c:v>0.3885386759341008</c:v>
                </c:pt>
                <c:pt idx="4">
                  <c:v>0.3885386759341008</c:v>
                </c:pt>
                <c:pt idx="5">
                  <c:v>0.3885386759341008</c:v>
                </c:pt>
                <c:pt idx="6">
                  <c:v>0.3885386759341008</c:v>
                </c:pt>
                <c:pt idx="7">
                  <c:v>0.3885386759341008</c:v>
                </c:pt>
                <c:pt idx="8">
                  <c:v>0.3885386759341008</c:v>
                </c:pt>
                <c:pt idx="9">
                  <c:v>0.3885386759341008</c:v>
                </c:pt>
                <c:pt idx="10">
                  <c:v>0.3885386759341008</c:v>
                </c:pt>
                <c:pt idx="11">
                  <c:v>0.3885386759341008</c:v>
                </c:pt>
                <c:pt idx="12">
                  <c:v>0.3885386759341008</c:v>
                </c:pt>
                <c:pt idx="13">
                  <c:v>0.3885386759341008</c:v>
                </c:pt>
                <c:pt idx="14">
                  <c:v>0.3885386759341008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608512"/>
        <c:axId val="515782272"/>
      </c:lineChart>
      <c:catAx>
        <c:axId val="82060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5782272"/>
        <c:crosses val="autoZero"/>
        <c:auto val="1"/>
        <c:lblAlgn val="ctr"/>
        <c:lblOffset val="100"/>
        <c:noMultiLvlLbl val="0"/>
      </c:catAx>
      <c:valAx>
        <c:axId val="5157822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820608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5397</c:v>
                </c:pt>
                <c:pt idx="3">
                  <c:v>4508</c:v>
                </c:pt>
                <c:pt idx="6">
                  <c:v>4877</c:v>
                </c:pt>
                <c:pt idx="7">
                  <c:v>1201</c:v>
                </c:pt>
                <c:pt idx="10">
                  <c:v>3585</c:v>
                </c:pt>
                <c:pt idx="11">
                  <c:v>876</c:v>
                </c:pt>
                <c:pt idx="12">
                  <c:v>2523</c:v>
                </c:pt>
                <c:pt idx="13">
                  <c:v>3865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4740</c:v>
                </c:pt>
                <c:pt idx="2">
                  <c:v>5400</c:v>
                </c:pt>
                <c:pt idx="3">
                  <c:v>4510</c:v>
                </c:pt>
                <c:pt idx="4">
                  <c:v>3094</c:v>
                </c:pt>
                <c:pt idx="5">
                  <c:v>4400</c:v>
                </c:pt>
                <c:pt idx="6">
                  <c:v>4880</c:v>
                </c:pt>
                <c:pt idx="7">
                  <c:v>1201</c:v>
                </c:pt>
                <c:pt idx="8">
                  <c:v>420</c:v>
                </c:pt>
                <c:pt idx="9">
                  <c:v>760</c:v>
                </c:pt>
                <c:pt idx="10">
                  <c:v>3590</c:v>
                </c:pt>
                <c:pt idx="11">
                  <c:v>876</c:v>
                </c:pt>
                <c:pt idx="12">
                  <c:v>2530</c:v>
                </c:pt>
                <c:pt idx="13">
                  <c:v>3870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829632"/>
        <c:axId val="515710976"/>
      </c:lineChart>
      <c:catAx>
        <c:axId val="8218296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15710976"/>
        <c:crosses val="autoZero"/>
        <c:auto val="1"/>
        <c:lblAlgn val="ctr"/>
        <c:lblOffset val="100"/>
        <c:noMultiLvlLbl val="0"/>
      </c:catAx>
      <c:valAx>
        <c:axId val="5157109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821829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"/>
                <c:pt idx="0">
                  <c:v>0% 0% 100% 92% 0% 0% 100% 50% 0% 0% 62% 33% 62%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0.99944444444444447</c:v>
                </c:pt>
                <c:pt idx="3">
                  <c:v>0.9162601626016259</c:v>
                </c:pt>
                <c:pt idx="4">
                  <c:v>0</c:v>
                </c:pt>
                <c:pt idx="5">
                  <c:v>0</c:v>
                </c:pt>
                <c:pt idx="6">
                  <c:v>0.99938524590163935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0.62412952646239561</c:v>
                </c:pt>
                <c:pt idx="11">
                  <c:v>0.33333333333333331</c:v>
                </c:pt>
                <c:pt idx="12">
                  <c:v>0.62327075098814233</c:v>
                </c:pt>
                <c:pt idx="13">
                  <c:v>0.83225667527993108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0.3885386759341008</c:v>
                </c:pt>
                <c:pt idx="1">
                  <c:v>0.3885386759341008</c:v>
                </c:pt>
                <c:pt idx="2">
                  <c:v>0.3885386759341008</c:v>
                </c:pt>
                <c:pt idx="3">
                  <c:v>0.3885386759341008</c:v>
                </c:pt>
                <c:pt idx="4">
                  <c:v>0.3885386759341008</c:v>
                </c:pt>
                <c:pt idx="5">
                  <c:v>0.3885386759341008</c:v>
                </c:pt>
                <c:pt idx="6">
                  <c:v>0.3885386759341008</c:v>
                </c:pt>
                <c:pt idx="7">
                  <c:v>0.3885386759341008</c:v>
                </c:pt>
                <c:pt idx="8">
                  <c:v>0.3885386759341008</c:v>
                </c:pt>
                <c:pt idx="9">
                  <c:v>0.3885386759341008</c:v>
                </c:pt>
                <c:pt idx="10">
                  <c:v>0.3885386759341008</c:v>
                </c:pt>
                <c:pt idx="11">
                  <c:v>0.3885386759341008</c:v>
                </c:pt>
                <c:pt idx="12">
                  <c:v>0.3885386759341008</c:v>
                </c:pt>
                <c:pt idx="13">
                  <c:v>0.3885386759341008</c:v>
                </c:pt>
                <c:pt idx="14">
                  <c:v>0.3885386759341008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830656"/>
        <c:axId val="515712704"/>
      </c:lineChart>
      <c:catAx>
        <c:axId val="82183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5712704"/>
        <c:crosses val="autoZero"/>
        <c:auto val="1"/>
        <c:lblAlgn val="ctr"/>
        <c:lblOffset val="100"/>
        <c:noMultiLvlLbl val="0"/>
      </c:catAx>
      <c:valAx>
        <c:axId val="5157127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821830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7621504"/>
        <c:axId val="5157150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621504"/>
        <c:axId val="515715008"/>
      </c:lineChart>
      <c:catAx>
        <c:axId val="817621504"/>
        <c:scaling>
          <c:orientation val="minMax"/>
        </c:scaling>
        <c:delete val="0"/>
        <c:axPos val="b"/>
        <c:majorTickMark val="out"/>
        <c:minorTickMark val="none"/>
        <c:tickLblPos val="nextTo"/>
        <c:crossAx val="515715008"/>
        <c:crosses val="autoZero"/>
        <c:auto val="1"/>
        <c:lblAlgn val="ctr"/>
        <c:lblOffset val="100"/>
        <c:noMultiLvlLbl val="0"/>
      </c:catAx>
      <c:valAx>
        <c:axId val="5157150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1762150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4707</c:v>
                </c:pt>
                <c:pt idx="3">
                  <c:v>110</c:v>
                </c:pt>
                <c:pt idx="6">
                  <c:v>2848</c:v>
                </c:pt>
                <c:pt idx="7">
                  <c:v>2819</c:v>
                </c:pt>
                <c:pt idx="10">
                  <c:v>4577</c:v>
                </c:pt>
                <c:pt idx="12">
                  <c:v>5481</c:v>
                </c:pt>
                <c:pt idx="13">
                  <c:v>4711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4740</c:v>
                </c:pt>
                <c:pt idx="2">
                  <c:v>4710</c:v>
                </c:pt>
                <c:pt idx="3">
                  <c:v>110</c:v>
                </c:pt>
                <c:pt idx="4">
                  <c:v>3094</c:v>
                </c:pt>
                <c:pt idx="5">
                  <c:v>4400</c:v>
                </c:pt>
                <c:pt idx="6">
                  <c:v>2850</c:v>
                </c:pt>
                <c:pt idx="7">
                  <c:v>2820</c:v>
                </c:pt>
                <c:pt idx="8">
                  <c:v>420</c:v>
                </c:pt>
                <c:pt idx="9">
                  <c:v>760</c:v>
                </c:pt>
                <c:pt idx="10">
                  <c:v>4580</c:v>
                </c:pt>
                <c:pt idx="11">
                  <c:v>876</c:v>
                </c:pt>
                <c:pt idx="12">
                  <c:v>5490</c:v>
                </c:pt>
                <c:pt idx="13">
                  <c:v>4720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389504"/>
        <c:axId val="645582784"/>
      </c:lineChart>
      <c:catAx>
        <c:axId val="4663895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45582784"/>
        <c:crosses val="autoZero"/>
        <c:auto val="1"/>
        <c:lblAlgn val="ctr"/>
        <c:lblOffset val="100"/>
        <c:noMultiLvlLbl val="0"/>
      </c:catAx>
      <c:valAx>
        <c:axId val="6455827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66389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"/>
                <c:pt idx="0">
                  <c:v>0% 0% 96% 17% 0% 0% 75% 58% 0% 0%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0.95772292993630581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0.74947368421052629</c:v>
                </c:pt>
                <c:pt idx="7">
                  <c:v>0.58312647754137126</c:v>
                </c:pt>
                <c:pt idx="8">
                  <c:v>0</c:v>
                </c:pt>
                <c:pt idx="9">
                  <c:v>0</c:v>
                </c:pt>
                <c:pt idx="10">
                  <c:v>0.99934497816593881</c:v>
                </c:pt>
                <c:pt idx="11">
                  <c:v>0</c:v>
                </c:pt>
                <c:pt idx="12">
                  <c:v>0.99836065573770494</c:v>
                </c:pt>
                <c:pt idx="13">
                  <c:v>0.99809322033898307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0.36351924083983317</c:v>
                </c:pt>
                <c:pt idx="1">
                  <c:v>0.36351924083983317</c:v>
                </c:pt>
                <c:pt idx="2">
                  <c:v>0.36351924083983317</c:v>
                </c:pt>
                <c:pt idx="3">
                  <c:v>0.36351924083983317</c:v>
                </c:pt>
                <c:pt idx="4">
                  <c:v>0.36351924083983317</c:v>
                </c:pt>
                <c:pt idx="5">
                  <c:v>0.36351924083983317</c:v>
                </c:pt>
                <c:pt idx="6">
                  <c:v>0.36351924083983317</c:v>
                </c:pt>
                <c:pt idx="7">
                  <c:v>0.36351924083983317</c:v>
                </c:pt>
                <c:pt idx="8">
                  <c:v>0.36351924083983317</c:v>
                </c:pt>
                <c:pt idx="9">
                  <c:v>0.36351924083983317</c:v>
                </c:pt>
                <c:pt idx="10">
                  <c:v>0.36351924083983317</c:v>
                </c:pt>
                <c:pt idx="11">
                  <c:v>0.36351924083983317</c:v>
                </c:pt>
                <c:pt idx="12">
                  <c:v>0.36351924083983317</c:v>
                </c:pt>
                <c:pt idx="13">
                  <c:v>0.36351924083983317</c:v>
                </c:pt>
                <c:pt idx="14">
                  <c:v>0.36351924083983317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388480"/>
        <c:axId val="645585088"/>
      </c:lineChart>
      <c:catAx>
        <c:axId val="46638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45585088"/>
        <c:crosses val="autoZero"/>
        <c:auto val="1"/>
        <c:lblAlgn val="ctr"/>
        <c:lblOffset val="100"/>
        <c:noMultiLvlLbl val="0"/>
      </c:catAx>
      <c:valAx>
        <c:axId val="6455850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66388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4707</c:v>
                </c:pt>
                <c:pt idx="3">
                  <c:v>110</c:v>
                </c:pt>
                <c:pt idx="6">
                  <c:v>2848</c:v>
                </c:pt>
                <c:pt idx="7">
                  <c:v>2819</c:v>
                </c:pt>
                <c:pt idx="10">
                  <c:v>4577</c:v>
                </c:pt>
                <c:pt idx="12">
                  <c:v>5481</c:v>
                </c:pt>
                <c:pt idx="13">
                  <c:v>4711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4740</c:v>
                </c:pt>
                <c:pt idx="2">
                  <c:v>4710</c:v>
                </c:pt>
                <c:pt idx="3">
                  <c:v>110</c:v>
                </c:pt>
                <c:pt idx="4">
                  <c:v>3094</c:v>
                </c:pt>
                <c:pt idx="5">
                  <c:v>4400</c:v>
                </c:pt>
                <c:pt idx="6">
                  <c:v>2850</c:v>
                </c:pt>
                <c:pt idx="7">
                  <c:v>2820</c:v>
                </c:pt>
                <c:pt idx="8">
                  <c:v>420</c:v>
                </c:pt>
                <c:pt idx="9">
                  <c:v>760</c:v>
                </c:pt>
                <c:pt idx="10">
                  <c:v>4580</c:v>
                </c:pt>
                <c:pt idx="11">
                  <c:v>876</c:v>
                </c:pt>
                <c:pt idx="12">
                  <c:v>5490</c:v>
                </c:pt>
                <c:pt idx="13">
                  <c:v>4720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390528"/>
        <c:axId val="645703360"/>
      </c:lineChart>
      <c:catAx>
        <c:axId val="4663905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45703360"/>
        <c:crosses val="autoZero"/>
        <c:auto val="1"/>
        <c:lblAlgn val="ctr"/>
        <c:lblOffset val="100"/>
        <c:noMultiLvlLbl val="0"/>
      </c:catAx>
      <c:valAx>
        <c:axId val="6457033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66390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"/>
                <c:pt idx="0">
                  <c:v>0% 0% 96% 17% 0% 0% 75% 58% 0% 0%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0.95772292993630581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0.74947368421052629</c:v>
                </c:pt>
                <c:pt idx="7">
                  <c:v>0.58312647754137126</c:v>
                </c:pt>
                <c:pt idx="8">
                  <c:v>0</c:v>
                </c:pt>
                <c:pt idx="9">
                  <c:v>0</c:v>
                </c:pt>
                <c:pt idx="10">
                  <c:v>0.99934497816593881</c:v>
                </c:pt>
                <c:pt idx="11">
                  <c:v>0</c:v>
                </c:pt>
                <c:pt idx="12">
                  <c:v>0.99836065573770494</c:v>
                </c:pt>
                <c:pt idx="13">
                  <c:v>0.99809322033898307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0.36351924083983317</c:v>
                </c:pt>
                <c:pt idx="1">
                  <c:v>0.36351924083983317</c:v>
                </c:pt>
                <c:pt idx="2">
                  <c:v>0.36351924083983317</c:v>
                </c:pt>
                <c:pt idx="3">
                  <c:v>0.36351924083983317</c:v>
                </c:pt>
                <c:pt idx="4">
                  <c:v>0.36351924083983317</c:v>
                </c:pt>
                <c:pt idx="5">
                  <c:v>0.36351924083983317</c:v>
                </c:pt>
                <c:pt idx="6">
                  <c:v>0.36351924083983317</c:v>
                </c:pt>
                <c:pt idx="7">
                  <c:v>0.36351924083983317</c:v>
                </c:pt>
                <c:pt idx="8">
                  <c:v>0.36351924083983317</c:v>
                </c:pt>
                <c:pt idx="9">
                  <c:v>0.36351924083983317</c:v>
                </c:pt>
                <c:pt idx="10">
                  <c:v>0.36351924083983317</c:v>
                </c:pt>
                <c:pt idx="11">
                  <c:v>0.36351924083983317</c:v>
                </c:pt>
                <c:pt idx="12">
                  <c:v>0.36351924083983317</c:v>
                </c:pt>
                <c:pt idx="13">
                  <c:v>0.36351924083983317</c:v>
                </c:pt>
                <c:pt idx="14">
                  <c:v>0.36351924083983317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387456"/>
        <c:axId val="645705664"/>
      </c:lineChart>
      <c:catAx>
        <c:axId val="46638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45705664"/>
        <c:crosses val="autoZero"/>
        <c:auto val="1"/>
        <c:lblAlgn val="ctr"/>
        <c:lblOffset val="100"/>
        <c:noMultiLvlLbl val="0"/>
      </c:catAx>
      <c:valAx>
        <c:axId val="6457056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66387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07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0.12238571327776246</c:v>
                </c:pt>
                <c:pt idx="2">
                  <c:v>0.41901417490547177</c:v>
                </c:pt>
                <c:pt idx="3">
                  <c:v>0.5604319991424056</c:v>
                </c:pt>
                <c:pt idx="4">
                  <c:v>0.47437358973058885</c:v>
                </c:pt>
                <c:pt idx="5">
                  <c:v>0.41319286012797513</c:v>
                </c:pt>
                <c:pt idx="6">
                  <c:v>0.46062905018381617</c:v>
                </c:pt>
                <c:pt idx="7">
                  <c:v>0.43013012993664584</c:v>
                </c:pt>
                <c:pt idx="9">
                  <c:v>0.3299440538558342</c:v>
                </c:pt>
                <c:pt idx="10">
                  <c:v>0.3881914675341675</c:v>
                </c:pt>
                <c:pt idx="11">
                  <c:v>0.3857216893619238</c:v>
                </c:pt>
                <c:pt idx="12">
                  <c:v>0.31050403733011006</c:v>
                </c:pt>
                <c:pt idx="13">
                  <c:v>0.16331471631589778</c:v>
                </c:pt>
                <c:pt idx="16">
                  <c:v>0.52405141446347003</c:v>
                </c:pt>
                <c:pt idx="17">
                  <c:v>0.55205567497000496</c:v>
                </c:pt>
                <c:pt idx="18">
                  <c:v>0.36067945384557387</c:v>
                </c:pt>
                <c:pt idx="19">
                  <c:v>0.29631825808150292</c:v>
                </c:pt>
                <c:pt idx="20">
                  <c:v>0.51040191829008852</c:v>
                </c:pt>
                <c:pt idx="23">
                  <c:v>0.49942241079191291</c:v>
                </c:pt>
                <c:pt idx="24">
                  <c:v>0.48777705181443382</c:v>
                </c:pt>
                <c:pt idx="25">
                  <c:v>0.40802517781345921</c:v>
                </c:pt>
                <c:pt idx="26">
                  <c:v>0.53296284433506957</c:v>
                </c:pt>
                <c:pt idx="27">
                  <c:v>0.3885386759341008</c:v>
                </c:pt>
                <c:pt idx="30">
                  <c:v>0.36351924083983317</c:v>
                </c:pt>
                <c:pt idx="31">
                  <c:v>0.30263179364135639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387968"/>
        <c:axId val="6457091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387968"/>
        <c:axId val="645709120"/>
      </c:lineChart>
      <c:catAx>
        <c:axId val="46638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645709120"/>
        <c:crosses val="autoZero"/>
        <c:auto val="1"/>
        <c:lblAlgn val="ctr"/>
        <c:lblOffset val="100"/>
        <c:noMultiLvlLbl val="0"/>
      </c:catAx>
      <c:valAx>
        <c:axId val="6457091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6638796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377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377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377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377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377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377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H15" sqref="AH15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6" style="75" customWidth="1"/>
    <col min="19" max="33" width="5.5" style="75" bestFit="1" customWidth="1"/>
    <col min="34" max="16384" width="9" style="75"/>
  </cols>
  <sheetData>
    <row r="1" spans="1:33" ht="33.75" customHeight="1" thickBot="1">
      <c r="A1" s="367" t="s">
        <v>178</v>
      </c>
      <c r="B1" s="367"/>
      <c r="C1" s="367"/>
      <c r="D1" s="367"/>
      <c r="E1" s="367"/>
      <c r="F1" s="367"/>
      <c r="G1" s="367"/>
      <c r="H1" s="367"/>
    </row>
    <row r="2" spans="1:33" ht="21.75" customHeight="1" thickBot="1">
      <c r="A2" s="96" t="s">
        <v>62</v>
      </c>
      <c r="B2" s="98" t="s">
        <v>77</v>
      </c>
      <c r="C2" s="99" t="s">
        <v>78</v>
      </c>
      <c r="D2" s="99" t="s">
        <v>79</v>
      </c>
      <c r="E2" s="99" t="s">
        <v>80</v>
      </c>
      <c r="F2" s="99" t="s">
        <v>81</v>
      </c>
      <c r="G2" s="99" t="s">
        <v>82</v>
      </c>
      <c r="H2" s="99" t="s">
        <v>83</v>
      </c>
      <c r="I2" s="99" t="s">
        <v>84</v>
      </c>
      <c r="J2" s="99" t="s">
        <v>85</v>
      </c>
      <c r="K2" s="99" t="s">
        <v>86</v>
      </c>
      <c r="L2" s="99" t="s">
        <v>87</v>
      </c>
      <c r="M2" s="99" t="s">
        <v>88</v>
      </c>
      <c r="N2" s="99" t="s">
        <v>89</v>
      </c>
      <c r="O2" s="99" t="s">
        <v>90</v>
      </c>
      <c r="P2" s="99" t="s">
        <v>91</v>
      </c>
      <c r="Q2" s="99" t="s">
        <v>92</v>
      </c>
      <c r="R2" s="99" t="s">
        <v>93</v>
      </c>
      <c r="S2" s="99" t="s">
        <v>94</v>
      </c>
      <c r="T2" s="99" t="s">
        <v>95</v>
      </c>
      <c r="U2" s="99" t="s">
        <v>96</v>
      </c>
      <c r="V2" s="99" t="s">
        <v>97</v>
      </c>
      <c r="W2" s="99" t="s">
        <v>98</v>
      </c>
      <c r="X2" s="99" t="s">
        <v>99</v>
      </c>
      <c r="Y2" s="99" t="s">
        <v>100</v>
      </c>
      <c r="Z2" s="99" t="s">
        <v>101</v>
      </c>
      <c r="AA2" s="99" t="s">
        <v>102</v>
      </c>
      <c r="AB2" s="99" t="s">
        <v>103</v>
      </c>
      <c r="AC2" s="99" t="s">
        <v>104</v>
      </c>
      <c r="AD2" s="99" t="s">
        <v>105</v>
      </c>
      <c r="AE2" s="99" t="s">
        <v>106</v>
      </c>
      <c r="AF2" s="100" t="s">
        <v>107</v>
      </c>
      <c r="AG2" s="96" t="s">
        <v>109</v>
      </c>
    </row>
    <row r="3" spans="1:33" ht="21.75" customHeight="1">
      <c r="A3" s="116" t="s">
        <v>63</v>
      </c>
      <c r="B3" s="111">
        <f>'01'!AD6</f>
        <v>0</v>
      </c>
      <c r="C3" s="111"/>
      <c r="D3" s="104">
        <f>'03'!AD6</f>
        <v>0</v>
      </c>
      <c r="E3" s="104">
        <f>'04'!AD6</f>
        <v>0</v>
      </c>
      <c r="F3" s="104">
        <f>'05'!AD6</f>
        <v>0</v>
      </c>
      <c r="G3" s="104">
        <f>'06'!AD6</f>
        <v>0</v>
      </c>
      <c r="H3" s="104">
        <f>'07'!AD6</f>
        <v>0</v>
      </c>
      <c r="I3" s="104">
        <f>'08'!AD6</f>
        <v>0</v>
      </c>
      <c r="J3" s="104"/>
      <c r="K3" s="104">
        <f>'10'!AD6</f>
        <v>0</v>
      </c>
      <c r="L3" s="104">
        <f>'11'!AD6</f>
        <v>0</v>
      </c>
      <c r="M3" s="104">
        <f>'12'!AD6</f>
        <v>0</v>
      </c>
      <c r="N3" s="122">
        <f>'13'!AD6</f>
        <v>0</v>
      </c>
      <c r="O3" s="104">
        <f>'14'!AD6</f>
        <v>0</v>
      </c>
      <c r="P3" s="104"/>
      <c r="Q3" s="104"/>
      <c r="R3" s="104">
        <f>'17'!AD6</f>
        <v>0</v>
      </c>
      <c r="S3" s="104">
        <f>'18'!AD6</f>
        <v>0</v>
      </c>
      <c r="T3" s="104">
        <f>'19'!AD6</f>
        <v>0</v>
      </c>
      <c r="U3" s="104">
        <f>'20'!AD6</f>
        <v>0</v>
      </c>
      <c r="V3" s="104">
        <f>'21'!AD6</f>
        <v>0</v>
      </c>
      <c r="W3" s="122"/>
      <c r="X3" s="104"/>
      <c r="Y3" s="104">
        <f>'24'!AD6</f>
        <v>0</v>
      </c>
      <c r="Z3" s="104">
        <f>'25'!AD6</f>
        <v>0</v>
      </c>
      <c r="AA3" s="104">
        <f>'26'!AD6</f>
        <v>0</v>
      </c>
      <c r="AB3" s="104">
        <f>'27'!AD6</f>
        <v>0</v>
      </c>
      <c r="AC3" s="104">
        <f>'28'!AD6</f>
        <v>0</v>
      </c>
      <c r="AD3" s="104"/>
      <c r="AE3" s="104"/>
      <c r="AF3" s="105">
        <f>'31'!AD6</f>
        <v>0</v>
      </c>
      <c r="AG3" s="107">
        <f>SUM(B3:AF3)/31</f>
        <v>0</v>
      </c>
    </row>
    <row r="4" spans="1:33" ht="21.75" customHeight="1">
      <c r="A4" s="117" t="s">
        <v>64</v>
      </c>
      <c r="B4" s="112">
        <f>'01'!AD7</f>
        <v>0.33226495726495725</v>
      </c>
      <c r="C4" s="112"/>
      <c r="D4" s="81">
        <f>'03'!AD7</f>
        <v>0.78953980099502485</v>
      </c>
      <c r="E4" s="81">
        <f>'04'!AD7</f>
        <v>0.99898373983739841</v>
      </c>
      <c r="F4" s="81">
        <f>'05'!AD7</f>
        <v>0</v>
      </c>
      <c r="G4" s="81">
        <f>'06'!AD7</f>
        <v>0</v>
      </c>
      <c r="H4" s="81">
        <f>'07'!AD7</f>
        <v>0</v>
      </c>
      <c r="I4" s="81">
        <f>'08'!AD7</f>
        <v>0</v>
      </c>
      <c r="J4" s="81"/>
      <c r="K4" s="81">
        <f>'10'!AD7</f>
        <v>0</v>
      </c>
      <c r="L4" s="81">
        <f>'11'!AD7</f>
        <v>0</v>
      </c>
      <c r="M4" s="81">
        <f>'12'!AD7</f>
        <v>0.5</v>
      </c>
      <c r="N4" s="81">
        <f>'13'!AD7</f>
        <v>0.99960435212660737</v>
      </c>
      <c r="O4" s="81">
        <f>'14'!AD7</f>
        <v>0.45741666666666664</v>
      </c>
      <c r="P4" s="81"/>
      <c r="Q4" s="81"/>
      <c r="R4" s="81">
        <f>'17'!AD7</f>
        <v>0.99962769918093819</v>
      </c>
      <c r="S4" s="81">
        <f>'18'!AD7</f>
        <v>0.91658918005071854</v>
      </c>
      <c r="T4" s="81">
        <f>'19'!AD7</f>
        <v>0</v>
      </c>
      <c r="U4" s="81">
        <f>'20'!AD7</f>
        <v>0.79047797797797792</v>
      </c>
      <c r="V4" s="81">
        <f>'21'!AD7</f>
        <v>0.99981024667931684</v>
      </c>
      <c r="W4" s="81"/>
      <c r="X4" s="81"/>
      <c r="Y4" s="81">
        <f>'24'!AD7</f>
        <v>0.95717592592592593</v>
      </c>
      <c r="Z4" s="81">
        <f>'25'!AD7</f>
        <v>0.99894514767932485</v>
      </c>
      <c r="AA4" s="81">
        <f>'26'!AD7</f>
        <v>0</v>
      </c>
      <c r="AB4" s="81">
        <f>'27'!AD7</f>
        <v>0</v>
      </c>
      <c r="AC4" s="81">
        <f>'28'!AD7</f>
        <v>0</v>
      </c>
      <c r="AD4" s="81"/>
      <c r="AE4" s="81"/>
      <c r="AF4" s="82">
        <f>'31'!AD7</f>
        <v>0</v>
      </c>
      <c r="AG4" s="83">
        <f t="shared" ref="AG4:AG18" si="0">SUM(B4:AF4)/31</f>
        <v>0.31420760304467288</v>
      </c>
    </row>
    <row r="5" spans="1:33" ht="21.75" customHeight="1">
      <c r="A5" s="118" t="s">
        <v>65</v>
      </c>
      <c r="B5" s="113">
        <f>'01'!AD8</f>
        <v>0</v>
      </c>
      <c r="C5" s="113"/>
      <c r="D5" s="84">
        <f>'03'!AD8</f>
        <v>0</v>
      </c>
      <c r="E5" s="84">
        <f>'04'!AD8</f>
        <v>1</v>
      </c>
      <c r="F5" s="84">
        <f>'05'!AD8</f>
        <v>1</v>
      </c>
      <c r="G5" s="84">
        <f>'06'!AD8</f>
        <v>0.95650212314225058</v>
      </c>
      <c r="H5" s="84">
        <f>'07'!AD8</f>
        <v>0.9979775280898876</v>
      </c>
      <c r="I5" s="84">
        <f>'08'!AD8</f>
        <v>1</v>
      </c>
      <c r="J5" s="84"/>
      <c r="K5" s="84">
        <f>'10'!AD8</f>
        <v>0.95625000000000004</v>
      </c>
      <c r="L5" s="84">
        <f>'11'!AD8</f>
        <v>0.45691872427983538</v>
      </c>
      <c r="M5" s="84">
        <f>'12'!AD8</f>
        <v>0.9980477223427332</v>
      </c>
      <c r="N5" s="84">
        <f>'13'!AD8</f>
        <v>0.33295668549905838</v>
      </c>
      <c r="O5" s="84">
        <f>'14'!AD8</f>
        <v>0.33099415204678362</v>
      </c>
      <c r="P5" s="84"/>
      <c r="Q5" s="84"/>
      <c r="R5" s="84">
        <f>'17'!AD8</f>
        <v>1</v>
      </c>
      <c r="S5" s="84">
        <f>'18'!AD8</f>
        <v>0.95702353834472287</v>
      </c>
      <c r="T5" s="84">
        <f>'19'!AD8</f>
        <v>0.99979466119096505</v>
      </c>
      <c r="U5" s="84">
        <f>'20'!AD8</f>
        <v>7.5821355236139629E-2</v>
      </c>
      <c r="V5" s="84">
        <f>'21'!AD8</f>
        <v>0.62343260188087768</v>
      </c>
      <c r="W5" s="123"/>
      <c r="X5" s="84"/>
      <c r="Y5" s="84">
        <f>'24'!AD8</f>
        <v>0.99954954954954955</v>
      </c>
      <c r="Z5" s="84">
        <f>'25'!AD8</f>
        <v>0.99888475836431223</v>
      </c>
      <c r="AA5" s="84">
        <f>'26'!AD8</f>
        <v>1</v>
      </c>
      <c r="AB5" s="84">
        <f>'27'!AD8</f>
        <v>0.99962264150943392</v>
      </c>
      <c r="AC5" s="84">
        <f>'28'!AD8</f>
        <v>0.99944444444444447</v>
      </c>
      <c r="AD5" s="84"/>
      <c r="AE5" s="84"/>
      <c r="AF5" s="85">
        <f>'31'!AD8</f>
        <v>0.95772292993630581</v>
      </c>
      <c r="AG5" s="86">
        <f t="shared" si="0"/>
        <v>0.56906269083410643</v>
      </c>
    </row>
    <row r="6" spans="1:33" ht="21.75" customHeight="1">
      <c r="A6" s="119" t="s">
        <v>66</v>
      </c>
      <c r="B6" s="114">
        <f>'01'!AD9</f>
        <v>0</v>
      </c>
      <c r="C6" s="114"/>
      <c r="D6" s="87">
        <f>'03'!AD9</f>
        <v>0.91664593932541927</v>
      </c>
      <c r="E6" s="87">
        <f>'04'!AD9</f>
        <v>0.24953125000000001</v>
      </c>
      <c r="F6" s="87">
        <f>'05'!AD9</f>
        <v>0.95695867486338804</v>
      </c>
      <c r="G6" s="87">
        <f>'06'!AD9</f>
        <v>0</v>
      </c>
      <c r="H6" s="87">
        <f>'07'!AD9</f>
        <v>0</v>
      </c>
      <c r="I6" s="87">
        <f>'08'!AD9</f>
        <v>0.70784982935153584</v>
      </c>
      <c r="J6" s="87"/>
      <c r="K6" s="87">
        <f>'10'!AD9</f>
        <v>0</v>
      </c>
      <c r="L6" s="87">
        <f>'11'!AD9</f>
        <v>0.62453531598513012</v>
      </c>
      <c r="M6" s="87">
        <f>'12'!AD9</f>
        <v>0.16633986928104574</v>
      </c>
      <c r="N6" s="87">
        <f>'13'!AD9</f>
        <v>0.49858490566037733</v>
      </c>
      <c r="O6" s="87">
        <f>'14'!AD9</f>
        <v>0.37234513274336278</v>
      </c>
      <c r="P6" s="87"/>
      <c r="Q6" s="87"/>
      <c r="R6" s="87">
        <f>'17'!AD9</f>
        <v>0.75</v>
      </c>
      <c r="S6" s="87">
        <f>'18'!AD9</f>
        <v>0.20762711864406783</v>
      </c>
      <c r="T6" s="87">
        <f>'19'!AD9</f>
        <v>0.20794753086419754</v>
      </c>
      <c r="U6" s="87">
        <f>'20'!AD9</f>
        <v>0</v>
      </c>
      <c r="V6" s="87">
        <f>'21'!AD9</f>
        <v>0.16453900709219857</v>
      </c>
      <c r="W6" s="87"/>
      <c r="X6" s="87"/>
      <c r="Y6" s="87">
        <f>'24'!AD9</f>
        <v>0</v>
      </c>
      <c r="Z6" s="87">
        <f>'25'!AD9</f>
        <v>0</v>
      </c>
      <c r="AA6" s="87">
        <f>'26'!AD9</f>
        <v>0.20833333333333334</v>
      </c>
      <c r="AB6" s="87">
        <f>'27'!AD9</f>
        <v>0.66600660066006601</v>
      </c>
      <c r="AC6" s="87">
        <f>'28'!AD9</f>
        <v>0.9162601626016259</v>
      </c>
      <c r="AD6" s="87"/>
      <c r="AE6" s="87"/>
      <c r="AF6" s="88">
        <f>'31'!AD9</f>
        <v>0.16666666666666666</v>
      </c>
      <c r="AG6" s="89">
        <f t="shared" si="0"/>
        <v>0.25097326893781985</v>
      </c>
    </row>
    <row r="7" spans="1:33" ht="21.75" customHeight="1">
      <c r="A7" s="119" t="s">
        <v>67</v>
      </c>
      <c r="B7" s="114">
        <f>'01'!AD10</f>
        <v>0</v>
      </c>
      <c r="C7" s="114"/>
      <c r="D7" s="87">
        <f>'03'!AD10</f>
        <v>0.87458133971291863</v>
      </c>
      <c r="E7" s="87">
        <f>'04'!AD10</f>
        <v>0.41516786570743408</v>
      </c>
      <c r="F7" s="87">
        <f>'05'!AD10</f>
        <v>0</v>
      </c>
      <c r="G7" s="87">
        <f>'06'!AD10</f>
        <v>0.16538461538461538</v>
      </c>
      <c r="H7" s="87">
        <f>'07'!AD10</f>
        <v>0.16666666666666666</v>
      </c>
      <c r="I7" s="87">
        <f>'08'!AD10</f>
        <v>0</v>
      </c>
      <c r="J7" s="87"/>
      <c r="K7" s="87">
        <f>'10'!AD10</f>
        <v>0.33282051282051284</v>
      </c>
      <c r="L7" s="87">
        <f>'11'!AD10</f>
        <v>0</v>
      </c>
      <c r="M7" s="87">
        <f>'12'!AD10</f>
        <v>0</v>
      </c>
      <c r="N7" s="87">
        <f>'13'!AD10</f>
        <v>0.33076923076923076</v>
      </c>
      <c r="O7" s="87">
        <f>'14'!AD10</f>
        <v>0</v>
      </c>
      <c r="P7" s="87"/>
      <c r="Q7" s="87"/>
      <c r="R7" s="87">
        <f>'17'!AD10</f>
        <v>0.79019151138716348</v>
      </c>
      <c r="S7" s="87">
        <f>'18'!AD10</f>
        <v>0.83309108527131792</v>
      </c>
      <c r="T7" s="87">
        <f>'19'!AD10</f>
        <v>0</v>
      </c>
      <c r="U7" s="87">
        <f>'20'!AD10</f>
        <v>0</v>
      </c>
      <c r="V7" s="87">
        <f>'21'!AD10</f>
        <v>0.24935897435897436</v>
      </c>
      <c r="W7" s="87"/>
      <c r="X7" s="87"/>
      <c r="Y7" s="87">
        <f>'24'!AD10</f>
        <v>0.4148148148148148</v>
      </c>
      <c r="Z7" s="87">
        <f>'25'!AD10</f>
        <v>0.24653846153846154</v>
      </c>
      <c r="AA7" s="87">
        <f>'26'!AD10</f>
        <v>0</v>
      </c>
      <c r="AB7" s="87">
        <f>'27'!AD10</f>
        <v>0.41666666666666669</v>
      </c>
      <c r="AC7" s="87">
        <f>'28'!AD10</f>
        <v>0</v>
      </c>
      <c r="AD7" s="87"/>
      <c r="AE7" s="87"/>
      <c r="AF7" s="88">
        <f>'31'!AD10</f>
        <v>0</v>
      </c>
      <c r="AG7" s="89">
        <f t="shared" si="0"/>
        <v>0.16890489500318639</v>
      </c>
    </row>
    <row r="8" spans="1:33" ht="21.75" customHeight="1">
      <c r="A8" s="119" t="s">
        <v>68</v>
      </c>
      <c r="B8" s="114">
        <f>'01'!AD11</f>
        <v>0.29109477124183009</v>
      </c>
      <c r="C8" s="114"/>
      <c r="D8" s="87">
        <f>'03'!AD11</f>
        <v>0</v>
      </c>
      <c r="E8" s="87">
        <f>'04'!AD11</f>
        <v>0</v>
      </c>
      <c r="F8" s="87">
        <f>'05'!AD11</f>
        <v>0</v>
      </c>
      <c r="G8" s="87">
        <f>'06'!AD11</f>
        <v>0</v>
      </c>
      <c r="H8" s="87">
        <f>'07'!AD11</f>
        <v>0</v>
      </c>
      <c r="I8" s="87">
        <f>'08'!AD11</f>
        <v>0.33228070175438595</v>
      </c>
      <c r="J8" s="87"/>
      <c r="K8" s="87">
        <f>'10'!AD11</f>
        <v>0</v>
      </c>
      <c r="L8" s="87">
        <f>'11'!AD11</f>
        <v>0</v>
      </c>
      <c r="M8" s="87">
        <f>'12'!AD11</f>
        <v>0</v>
      </c>
      <c r="N8" s="87">
        <f>'13'!AD11</f>
        <v>0</v>
      </c>
      <c r="O8" s="87">
        <f>'14'!AD11</f>
        <v>0</v>
      </c>
      <c r="P8" s="87"/>
      <c r="Q8" s="87"/>
      <c r="R8" s="87">
        <f>'17'!AD11</f>
        <v>0.87477390180878545</v>
      </c>
      <c r="S8" s="87">
        <f>'18'!AD11</f>
        <v>0.37394859813084114</v>
      </c>
      <c r="T8" s="87">
        <f>'19'!AD11</f>
        <v>0</v>
      </c>
      <c r="U8" s="87">
        <f>'20'!AD11</f>
        <v>0</v>
      </c>
      <c r="V8" s="87">
        <f>'21'!AD11</f>
        <v>0</v>
      </c>
      <c r="W8" s="87"/>
      <c r="X8" s="87"/>
      <c r="Y8" s="87">
        <f>'24'!AD11</f>
        <v>0.58282828282828281</v>
      </c>
      <c r="Z8" s="87">
        <f>'25'!AD11</f>
        <v>0.99891540130151846</v>
      </c>
      <c r="AA8" s="87">
        <f>'26'!AD11</f>
        <v>0.99873150105708242</v>
      </c>
      <c r="AB8" s="87">
        <f>'27'!AD11</f>
        <v>0.99909090909090914</v>
      </c>
      <c r="AC8" s="87">
        <f>'28'!AD11</f>
        <v>0</v>
      </c>
      <c r="AD8" s="87"/>
      <c r="AE8" s="87"/>
      <c r="AF8" s="88">
        <f>'31'!AD11</f>
        <v>0</v>
      </c>
      <c r="AG8" s="89">
        <f t="shared" si="0"/>
        <v>0.17586013120043986</v>
      </c>
    </row>
    <row r="9" spans="1:33" ht="21.75" customHeight="1">
      <c r="A9" s="119" t="s">
        <v>69</v>
      </c>
      <c r="B9" s="114">
        <f>'01'!AD12</f>
        <v>0.33317152103559866</v>
      </c>
      <c r="C9" s="114"/>
      <c r="D9" s="87">
        <f>'03'!AD12</f>
        <v>0.83104674796747979</v>
      </c>
      <c r="E9" s="87">
        <f>'04'!AD12</f>
        <v>0.99835390946502056</v>
      </c>
      <c r="F9" s="87">
        <f>'05'!AD12</f>
        <v>0.99979591836734694</v>
      </c>
      <c r="G9" s="87">
        <f>'06'!AD12</f>
        <v>0.66525821596244128</v>
      </c>
      <c r="H9" s="87">
        <f>'07'!AD12</f>
        <v>0.875</v>
      </c>
      <c r="I9" s="87">
        <f>'08'!AD12</f>
        <v>0.99980079681274903</v>
      </c>
      <c r="J9" s="87"/>
      <c r="K9" s="87">
        <f>'10'!AD12</f>
        <v>0.83265398550724645</v>
      </c>
      <c r="L9" s="87">
        <f>'11'!AD12</f>
        <v>0.87371323529411771</v>
      </c>
      <c r="M9" s="87">
        <f>'12'!AD12</f>
        <v>0.83311403508771931</v>
      </c>
      <c r="N9" s="87">
        <f>'13'!AD12</f>
        <v>0.20610119047619049</v>
      </c>
      <c r="O9" s="87">
        <f>'14'!AD12</f>
        <v>0.45756944444444442</v>
      </c>
      <c r="P9" s="87"/>
      <c r="Q9" s="87"/>
      <c r="R9" s="87">
        <f>'17'!AD12</f>
        <v>0.74675000000000002</v>
      </c>
      <c r="S9" s="87">
        <f>'18'!AD12</f>
        <v>0.99827586206896557</v>
      </c>
      <c r="T9" s="87">
        <f>'19'!AD12</f>
        <v>0.33298791018998269</v>
      </c>
      <c r="U9" s="87">
        <f>'20'!AD12</f>
        <v>0.83233233233233239</v>
      </c>
      <c r="V9" s="87">
        <f>'21'!AD12</f>
        <v>0.78967505241090141</v>
      </c>
      <c r="W9" s="87"/>
      <c r="X9" s="87"/>
      <c r="Y9" s="87">
        <f>'24'!AD12</f>
        <v>0.74972014925373132</v>
      </c>
      <c r="Z9" s="87">
        <f>'25'!AD12</f>
        <v>0.7900923295454545</v>
      </c>
      <c r="AA9" s="87">
        <f>'26'!AD12</f>
        <v>0.91644088669950741</v>
      </c>
      <c r="AB9" s="87">
        <f>'27'!AD12</f>
        <v>1</v>
      </c>
      <c r="AC9" s="87">
        <f>'28'!AD12</f>
        <v>0.99938524590163935</v>
      </c>
      <c r="AD9" s="87"/>
      <c r="AE9" s="87"/>
      <c r="AF9" s="88">
        <f>'31'!AD12</f>
        <v>0.74947368421052629</v>
      </c>
      <c r="AG9" s="89">
        <f t="shared" si="0"/>
        <v>0.57453911138817404</v>
      </c>
    </row>
    <row r="10" spans="1:33" ht="21.75" customHeight="1">
      <c r="A10" s="119" t="s">
        <v>70</v>
      </c>
      <c r="B10" s="114">
        <f>'01'!AD13</f>
        <v>0.28995098039215689</v>
      </c>
      <c r="C10" s="114"/>
      <c r="D10" s="87">
        <f>'03'!AD13</f>
        <v>0.41617933723196882</v>
      </c>
      <c r="E10" s="87">
        <f>'04'!AD13</f>
        <v>0.66619552414605421</v>
      </c>
      <c r="F10" s="87">
        <f>'05'!AD13</f>
        <v>0.45804575163398692</v>
      </c>
      <c r="G10" s="87">
        <f>'06'!AD13</f>
        <v>0.58238970588235295</v>
      </c>
      <c r="H10" s="87">
        <f>'07'!AD13</f>
        <v>0.99992094861660075</v>
      </c>
      <c r="I10" s="87">
        <f>'08'!AD13</f>
        <v>0.99967819790828638</v>
      </c>
      <c r="J10" s="87"/>
      <c r="K10" s="87">
        <f>'10'!AD13+'10'!AD14</f>
        <v>0.95650213958978902</v>
      </c>
      <c r="L10" s="87">
        <f>'11'!AD13</f>
        <v>0.99929078014184403</v>
      </c>
      <c r="M10" s="87">
        <f>'12'!AD13</f>
        <v>0.99941520467836253</v>
      </c>
      <c r="N10" s="87">
        <f>'13'!AD13</f>
        <v>0</v>
      </c>
      <c r="O10" s="87">
        <f>'14'!AD13</f>
        <v>0</v>
      </c>
      <c r="P10" s="87"/>
      <c r="Q10" s="87"/>
      <c r="R10" s="87">
        <f>'17'!AD13</f>
        <v>0.875</v>
      </c>
      <c r="S10" s="87">
        <f>'18'!AD13+'18'!AD14</f>
        <v>0.54081971259324269</v>
      </c>
      <c r="T10" s="87">
        <f>'19'!AD13</f>
        <v>0.70425505050505055</v>
      </c>
      <c r="U10" s="87">
        <f>'20'!AD13</f>
        <v>0.24858490566037736</v>
      </c>
      <c r="V10" s="87">
        <f>'21'!AD13</f>
        <v>0.87383849557522131</v>
      </c>
      <c r="W10" s="87"/>
      <c r="X10" s="87"/>
      <c r="Y10" s="87">
        <f>'24'!AD13</f>
        <v>0.375</v>
      </c>
      <c r="Z10" s="87">
        <f>'25'!AD13</f>
        <v>0.66561514195583593</v>
      </c>
      <c r="AA10" s="87">
        <f>'26'!AD13</f>
        <v>1</v>
      </c>
      <c r="AB10" s="87">
        <f>'27'!AD13+'27'!AD14</f>
        <v>1</v>
      </c>
      <c r="AC10" s="87">
        <f>'28'!AD13</f>
        <v>0.5</v>
      </c>
      <c r="AD10" s="87"/>
      <c r="AE10" s="87"/>
      <c r="AF10" s="88">
        <f>'31'!AD13</f>
        <v>0.58312647754137126</v>
      </c>
      <c r="AG10" s="89">
        <f t="shared" si="0"/>
        <v>0.47528414045330647</v>
      </c>
    </row>
    <row r="11" spans="1:33" ht="21.75" customHeight="1">
      <c r="A11" s="118" t="s">
        <v>71</v>
      </c>
      <c r="B11" s="113">
        <f>'01'!AD14</f>
        <v>6.2103929024081104E-3</v>
      </c>
      <c r="C11" s="113"/>
      <c r="D11" s="84">
        <f>'03'!AD14</f>
        <v>0</v>
      </c>
      <c r="E11" s="84">
        <f>'04'!AD14+'04'!AD15</f>
        <v>0.5797619047619047</v>
      </c>
      <c r="F11" s="84">
        <f>'05'!AD14+'05'!AD15</f>
        <v>0.66268339768339768</v>
      </c>
      <c r="G11" s="84">
        <f>'06'!AD14</f>
        <v>0.99926650366748171</v>
      </c>
      <c r="H11" s="84">
        <f>'07'!AD14</f>
        <v>0.99933481152993353</v>
      </c>
      <c r="I11" s="84">
        <f>'08'!AD14</f>
        <v>0.99885496183206102</v>
      </c>
      <c r="J11" s="84"/>
      <c r="K11" s="84">
        <f>'10'!AD15</f>
        <v>0.16382113821138211</v>
      </c>
      <c r="L11" s="84">
        <f>'11'!AD14</f>
        <v>0</v>
      </c>
      <c r="M11" s="84">
        <f>'12'!AD14</f>
        <v>0</v>
      </c>
      <c r="N11" s="84">
        <f>'13'!AD14</f>
        <v>0</v>
      </c>
      <c r="O11" s="84">
        <f>'14'!AD14</f>
        <v>0.41472868217054265</v>
      </c>
      <c r="P11" s="84"/>
      <c r="Q11" s="84"/>
      <c r="R11" s="84">
        <f>'17'!AD14</f>
        <v>0</v>
      </c>
      <c r="S11" s="84">
        <f>'18'!AD15</f>
        <v>0</v>
      </c>
      <c r="T11" s="84">
        <f>'19'!AD14</f>
        <v>0</v>
      </c>
      <c r="U11" s="84">
        <f>'20'!AD14</f>
        <v>0</v>
      </c>
      <c r="V11" s="84">
        <f>'21'!AD14</f>
        <v>0</v>
      </c>
      <c r="W11" s="84"/>
      <c r="X11" s="84"/>
      <c r="Y11" s="84">
        <f>'24'!AD14</f>
        <v>0.24791666666666667</v>
      </c>
      <c r="Z11" s="84">
        <f>'25'!AD14</f>
        <v>0.24545454545454545</v>
      </c>
      <c r="AA11" s="84">
        <f>'26'!AD14</f>
        <v>0</v>
      </c>
      <c r="AB11" s="84">
        <f>'27'!AD15</f>
        <v>0.5</v>
      </c>
      <c r="AC11" s="84">
        <f>'28'!AD14</f>
        <v>0</v>
      </c>
      <c r="AD11" s="84"/>
      <c r="AE11" s="84"/>
      <c r="AF11" s="85">
        <f>'31'!AD14</f>
        <v>0</v>
      </c>
      <c r="AG11" s="86">
        <f t="shared" si="0"/>
        <v>0.18767848402839754</v>
      </c>
    </row>
    <row r="12" spans="1:33" ht="21.75" customHeight="1">
      <c r="A12" s="118" t="s">
        <v>72</v>
      </c>
      <c r="B12" s="113">
        <f>'01'!AD15</f>
        <v>0</v>
      </c>
      <c r="C12" s="113"/>
      <c r="D12" s="84">
        <f>'03'!AD15</f>
        <v>0</v>
      </c>
      <c r="E12" s="84">
        <f>'04'!AD16</f>
        <v>0.49996230682246512</v>
      </c>
      <c r="F12" s="84">
        <f>'05'!AD16</f>
        <v>0.45808823529411763</v>
      </c>
      <c r="G12" s="84">
        <f>'06'!AD15</f>
        <v>0</v>
      </c>
      <c r="H12" s="84">
        <f>'07'!AD15</f>
        <v>0</v>
      </c>
      <c r="I12" s="84">
        <f>'08'!AD15</f>
        <v>0</v>
      </c>
      <c r="J12" s="84"/>
      <c r="K12" s="84">
        <f>'10'!AD16</f>
        <v>0</v>
      </c>
      <c r="L12" s="84">
        <f>'11'!AD15</f>
        <v>0.91640096618357481</v>
      </c>
      <c r="M12" s="84">
        <f>'12'!AD15</f>
        <v>0.99930475086906145</v>
      </c>
      <c r="N12" s="84">
        <f>'13'!AD15+'13'!AD16</f>
        <v>0.87383040935672518</v>
      </c>
      <c r="O12" s="84">
        <f>'14'!AD15</f>
        <v>0</v>
      </c>
      <c r="P12" s="84"/>
      <c r="Q12" s="84"/>
      <c r="R12" s="84">
        <f>'17'!AD15</f>
        <v>0.83137254901960789</v>
      </c>
      <c r="S12" s="84">
        <f>'18'!AD16</f>
        <v>0.99862778730703261</v>
      </c>
      <c r="T12" s="84">
        <f>'19'!AD15</f>
        <v>0.99882179675994109</v>
      </c>
      <c r="U12" s="84">
        <f>'20'!AD15</f>
        <v>0</v>
      </c>
      <c r="V12" s="84">
        <f>'21'!AD15</f>
        <v>0</v>
      </c>
      <c r="W12" s="84"/>
      <c r="X12" s="84"/>
      <c r="Y12" s="84">
        <f>'24'!AD15</f>
        <v>0.20723684210526316</v>
      </c>
      <c r="Z12" s="84">
        <f>'25'!AD15</f>
        <v>0</v>
      </c>
      <c r="AA12" s="84">
        <f>'26'!AD15</f>
        <v>0</v>
      </c>
      <c r="AB12" s="84">
        <f>'27'!AD16</f>
        <v>0</v>
      </c>
      <c r="AC12" s="84">
        <f>'28'!AD15</f>
        <v>0</v>
      </c>
      <c r="AD12" s="84"/>
      <c r="AE12" s="84"/>
      <c r="AF12" s="85">
        <f>'31'!AD15</f>
        <v>0</v>
      </c>
      <c r="AG12" s="86">
        <f t="shared" si="0"/>
        <v>0.21882727882960609</v>
      </c>
    </row>
    <row r="13" spans="1:33" ht="21.75" customHeight="1">
      <c r="A13" s="118" t="s">
        <v>73</v>
      </c>
      <c r="B13" s="113">
        <f>'01'!AD16</f>
        <v>0</v>
      </c>
      <c r="C13" s="113"/>
      <c r="D13" s="84">
        <f>'03'!AD16</f>
        <v>0.91630530004380195</v>
      </c>
      <c r="E13" s="84">
        <f>'04'!AD17</f>
        <v>0.99948051948051952</v>
      </c>
      <c r="F13" s="84">
        <f>'05'!AD17</f>
        <v>0.99973787680209703</v>
      </c>
      <c r="G13" s="84">
        <f>'06'!AD16+'06'!AD17</f>
        <v>0.83173743892876528</v>
      </c>
      <c r="H13" s="84">
        <f>'07'!AD16</f>
        <v>0.99920634920634921</v>
      </c>
      <c r="I13" s="84">
        <f>'08'!AD16</f>
        <v>0</v>
      </c>
      <c r="J13" s="84"/>
      <c r="K13" s="84">
        <f>'10'!AD17</f>
        <v>0</v>
      </c>
      <c r="L13" s="84">
        <f>'11'!AD16</f>
        <v>0</v>
      </c>
      <c r="M13" s="84">
        <f>'12'!AD16</f>
        <v>0</v>
      </c>
      <c r="N13" s="84">
        <f>'13'!AD17</f>
        <v>0.99982593559617061</v>
      </c>
      <c r="O13" s="84">
        <f>'14'!AD16</f>
        <v>0.41666666666666669</v>
      </c>
      <c r="P13" s="84"/>
      <c r="Q13" s="84"/>
      <c r="R13" s="84">
        <f>'17'!AD16</f>
        <v>0</v>
      </c>
      <c r="S13" s="84">
        <f>'18'!AD17</f>
        <v>0.87395833333333339</v>
      </c>
      <c r="T13" s="84">
        <f>'19'!AD16</f>
        <v>0.16655701754385965</v>
      </c>
      <c r="U13" s="84">
        <f>'20'!AD16</f>
        <v>0</v>
      </c>
      <c r="V13" s="84">
        <f>'21'!AD16</f>
        <v>0.95799045915324987</v>
      </c>
      <c r="W13" s="84"/>
      <c r="X13" s="84"/>
      <c r="Y13" s="84">
        <f>'24'!AD16</f>
        <v>0.74925496688741722</v>
      </c>
      <c r="Z13" s="84">
        <f>'25'!AD16</f>
        <v>0.95816637630662016</v>
      </c>
      <c r="AA13" s="84">
        <f>'26'!AD16</f>
        <v>0</v>
      </c>
      <c r="AB13" s="84">
        <f>'27'!AD17</f>
        <v>0</v>
      </c>
      <c r="AC13" s="84">
        <f>'28'!AD16</f>
        <v>0.62412952646239561</v>
      </c>
      <c r="AD13" s="84"/>
      <c r="AE13" s="84"/>
      <c r="AF13" s="85">
        <f>'31'!AD16</f>
        <v>0.99934497816593881</v>
      </c>
      <c r="AG13" s="86">
        <f t="shared" si="0"/>
        <v>0.37072134659926403</v>
      </c>
    </row>
    <row r="14" spans="1:33" ht="21.75" customHeight="1">
      <c r="A14" s="118" t="s">
        <v>74</v>
      </c>
      <c r="B14" s="113">
        <f>'01'!AD17</f>
        <v>0</v>
      </c>
      <c r="C14" s="113"/>
      <c r="D14" s="84">
        <f>'03'!AD17</f>
        <v>0</v>
      </c>
      <c r="E14" s="84">
        <f>'04'!AD18</f>
        <v>0</v>
      </c>
      <c r="F14" s="84">
        <f>'05'!AD18</f>
        <v>0</v>
      </c>
      <c r="G14" s="84">
        <f>'06'!AD18</f>
        <v>0</v>
      </c>
      <c r="H14" s="84">
        <f>'07'!AD17</f>
        <v>0</v>
      </c>
      <c r="I14" s="84">
        <f>'08'!AD17</f>
        <v>0</v>
      </c>
      <c r="J14" s="84"/>
      <c r="K14" s="84">
        <f>'10'!AD18</f>
        <v>0</v>
      </c>
      <c r="L14" s="84">
        <f>'11'!AD17</f>
        <v>0</v>
      </c>
      <c r="M14" s="84">
        <f>'12'!AD17</f>
        <v>0</v>
      </c>
      <c r="N14" s="84">
        <f>'13'!AD18</f>
        <v>0</v>
      </c>
      <c r="O14" s="84">
        <f>'14'!AD17</f>
        <v>0</v>
      </c>
      <c r="P14" s="84"/>
      <c r="Q14" s="84"/>
      <c r="R14" s="84">
        <f>'17'!AD17</f>
        <v>0</v>
      </c>
      <c r="S14" s="84">
        <f>'18'!AD18</f>
        <v>0</v>
      </c>
      <c r="T14" s="84">
        <f>'19'!AD17</f>
        <v>0</v>
      </c>
      <c r="U14" s="84">
        <f>'20'!AD17</f>
        <v>0</v>
      </c>
      <c r="V14" s="84">
        <f>'21'!AD17</f>
        <v>0</v>
      </c>
      <c r="W14" s="84"/>
      <c r="X14" s="84"/>
      <c r="Y14" s="84">
        <f>'24'!AD17</f>
        <v>0</v>
      </c>
      <c r="Z14" s="84">
        <f>'25'!AD17</f>
        <v>0</v>
      </c>
      <c r="AA14" s="84">
        <f>'26'!AD17</f>
        <v>0</v>
      </c>
      <c r="AB14" s="84">
        <f>'27'!AD18</f>
        <v>0.41495901639344268</v>
      </c>
      <c r="AC14" s="84">
        <f>'28'!AD17</f>
        <v>0.33333333333333331</v>
      </c>
      <c r="AD14" s="84"/>
      <c r="AE14" s="84"/>
      <c r="AF14" s="85">
        <f>'31'!AD17</f>
        <v>0</v>
      </c>
      <c r="AG14" s="86">
        <f t="shared" si="0"/>
        <v>2.4138462894412127E-2</v>
      </c>
    </row>
    <row r="15" spans="1:33" ht="21.75" customHeight="1">
      <c r="A15" s="119" t="s">
        <v>75</v>
      </c>
      <c r="B15" s="114">
        <f>'01'!AD18</f>
        <v>0.33318584070796459</v>
      </c>
      <c r="C15" s="114"/>
      <c r="D15" s="87">
        <f>'03'!AD18</f>
        <v>0.79166666666666663</v>
      </c>
      <c r="E15" s="87">
        <f>'04'!AD19</f>
        <v>0.99924098671726758</v>
      </c>
      <c r="F15" s="87">
        <f>'05'!AD19</f>
        <v>0.66646216768916156</v>
      </c>
      <c r="G15" s="87">
        <f>'06'!AD19</f>
        <v>0.99868173258003767</v>
      </c>
      <c r="H15" s="87">
        <f>'07'!AD18</f>
        <v>0.99847036328871897</v>
      </c>
      <c r="I15" s="87">
        <f>'08'!AD18</f>
        <v>0.99886578449905483</v>
      </c>
      <c r="J15" s="87"/>
      <c r="K15" s="87">
        <f>'10'!AD19</f>
        <v>0.79068322981366457</v>
      </c>
      <c r="L15" s="87">
        <f>'11'!AD18</f>
        <v>0.99942965779467685</v>
      </c>
      <c r="M15" s="87">
        <f>'12'!AD18+'12'!AD19</f>
        <v>0.37361111111111112</v>
      </c>
      <c r="N15" s="87">
        <f>'13'!AD19</f>
        <v>0.41588785046728971</v>
      </c>
      <c r="O15" s="87">
        <f>'14'!AD18</f>
        <v>0</v>
      </c>
      <c r="P15" s="87"/>
      <c r="Q15" s="87"/>
      <c r="R15" s="87">
        <f>'17'!AD18</f>
        <v>0.82694444444444448</v>
      </c>
      <c r="S15" s="87">
        <f>'18'!AD19</f>
        <v>0.91582761250953459</v>
      </c>
      <c r="T15" s="87">
        <f>'19'!AD18</f>
        <v>0.875</v>
      </c>
      <c r="U15" s="87">
        <f>'20'!AD18+'20'!AD19</f>
        <v>0.91585730001571597</v>
      </c>
      <c r="V15" s="87">
        <f>'21'!AD18</f>
        <v>0.99877835951134375</v>
      </c>
      <c r="W15" s="87"/>
      <c r="X15" s="87"/>
      <c r="Y15" s="87">
        <f>'24'!AD18</f>
        <v>1</v>
      </c>
      <c r="Z15" s="87">
        <f>'25'!AD18</f>
        <v>0.4150516795865633</v>
      </c>
      <c r="AA15" s="87">
        <f>'26'!AD18</f>
        <v>0.99838056680161946</v>
      </c>
      <c r="AB15" s="87">
        <f>'27'!AD19</f>
        <v>0.99882943143812708</v>
      </c>
      <c r="AC15" s="87">
        <f>'28'!AD18</f>
        <v>0.62327075098814233</v>
      </c>
      <c r="AD15" s="87"/>
      <c r="AE15" s="87"/>
      <c r="AF15" s="88">
        <f>'31'!AD18</f>
        <v>0.99836065573770494</v>
      </c>
      <c r="AG15" s="89">
        <f t="shared" si="0"/>
        <v>0.57846729652802609</v>
      </c>
    </row>
    <row r="16" spans="1:33" ht="21.75" customHeight="1">
      <c r="A16" s="119" t="s">
        <v>76</v>
      </c>
      <c r="B16" s="114">
        <f>'01'!AD19</f>
        <v>0</v>
      </c>
      <c r="C16" s="114"/>
      <c r="D16" s="87">
        <f>'03'!AD19</f>
        <v>0.749247491638796</v>
      </c>
      <c r="E16" s="87">
        <f>'04'!AD20</f>
        <v>0.9998019801980198</v>
      </c>
      <c r="F16" s="87">
        <f>'05'!AD20+'05'!AD21</f>
        <v>0.91383182362533766</v>
      </c>
      <c r="G16" s="87">
        <f>'06'!AD20</f>
        <v>0.99867256637168145</v>
      </c>
      <c r="H16" s="87">
        <f>'07'!AD19+'07'!AD20+'07'!AD21</f>
        <v>0.87285908535908541</v>
      </c>
      <c r="I16" s="87">
        <f>'08'!AD19</f>
        <v>0.41462167689161555</v>
      </c>
      <c r="J16" s="87"/>
      <c r="K16" s="87">
        <f>'10'!AD20</f>
        <v>0.91642980189491807</v>
      </c>
      <c r="L16" s="87">
        <f>'11'!AD19</f>
        <v>0.95258333333333334</v>
      </c>
      <c r="M16" s="87">
        <f>'12'!AD20</f>
        <v>0.91599264705882355</v>
      </c>
      <c r="N16" s="87">
        <f>'13'!AD20</f>
        <v>0</v>
      </c>
      <c r="O16" s="87">
        <f>'14'!AD19</f>
        <v>0</v>
      </c>
      <c r="P16" s="87"/>
      <c r="Q16" s="87"/>
      <c r="R16" s="87">
        <f>'17'!AD19</f>
        <v>0.1661111111111111</v>
      </c>
      <c r="S16" s="87">
        <f>'18'!AD20</f>
        <v>0.66504629629629619</v>
      </c>
      <c r="T16" s="87">
        <f>'19'!AD19</f>
        <v>0.25</v>
      </c>
      <c r="U16" s="87">
        <f>'20'!AD20</f>
        <v>0.58169999999999999</v>
      </c>
      <c r="V16" s="87">
        <f>'21'!AD19</f>
        <v>0.99860557768924307</v>
      </c>
      <c r="W16" s="87"/>
      <c r="X16" s="87"/>
      <c r="Y16" s="87">
        <f>'24'!AD19</f>
        <v>0.99955156950672641</v>
      </c>
      <c r="Z16" s="87">
        <f>'25'!AD19</f>
        <v>0.998991935483871</v>
      </c>
      <c r="AA16" s="87">
        <f>'26'!AD19</f>
        <v>0.99849137931034482</v>
      </c>
      <c r="AB16" s="87">
        <f>'27'!AD20</f>
        <v>0.99926739926739927</v>
      </c>
      <c r="AC16" s="87">
        <f>'28'!AD19</f>
        <v>0.83225667527993108</v>
      </c>
      <c r="AD16" s="87"/>
      <c r="AE16" s="87"/>
      <c r="AF16" s="88">
        <f>'31'!AD19</f>
        <v>0.99809322033898307</v>
      </c>
      <c r="AG16" s="89">
        <f t="shared" si="0"/>
        <v>0.52329534098888764</v>
      </c>
    </row>
    <row r="17" spans="1:33" ht="21.75" customHeight="1" thickBot="1">
      <c r="A17" s="120" t="s">
        <v>114</v>
      </c>
      <c r="B17" s="115">
        <f>'01'!AD20</f>
        <v>0.24990723562152134</v>
      </c>
      <c r="C17" s="115"/>
      <c r="D17" s="90">
        <f>'03'!AD20</f>
        <v>0</v>
      </c>
      <c r="E17" s="90">
        <f>'04'!AD21</f>
        <v>0</v>
      </c>
      <c r="F17" s="90">
        <f>'05'!AD22</f>
        <v>0</v>
      </c>
      <c r="G17" s="90">
        <f>'06'!AD21</f>
        <v>0</v>
      </c>
      <c r="H17" s="90">
        <f>'07'!AD22</f>
        <v>0</v>
      </c>
      <c r="I17" s="90">
        <f>'08'!AD20</f>
        <v>0</v>
      </c>
      <c r="J17" s="90"/>
      <c r="K17" s="90">
        <f>'10'!AD21</f>
        <v>0</v>
      </c>
      <c r="L17" s="90">
        <f>'11'!AD20</f>
        <v>0</v>
      </c>
      <c r="M17" s="90">
        <f>'12'!AD21</f>
        <v>0</v>
      </c>
      <c r="N17" s="90">
        <f>'13'!AD21</f>
        <v>0</v>
      </c>
      <c r="O17" s="90">
        <f>'14'!AD20</f>
        <v>0</v>
      </c>
      <c r="P17" s="90"/>
      <c r="Q17" s="90"/>
      <c r="R17" s="90">
        <f>'17'!AD20</f>
        <v>0</v>
      </c>
      <c r="S17" s="90">
        <f>'18'!AD21</f>
        <v>0</v>
      </c>
      <c r="T17" s="90">
        <f>'19'!AD20</f>
        <v>0.8748278406296115</v>
      </c>
      <c r="U17" s="90">
        <f>'20'!AD21</f>
        <v>1</v>
      </c>
      <c r="V17" s="90">
        <f>'21'!AD20</f>
        <v>1</v>
      </c>
      <c r="W17" s="90"/>
      <c r="X17" s="90"/>
      <c r="Y17" s="90">
        <f>'24'!AD20</f>
        <v>0.20828739434031607</v>
      </c>
      <c r="Z17" s="90">
        <f>'25'!AD20</f>
        <v>0</v>
      </c>
      <c r="AA17" s="90">
        <f>'26'!AD20</f>
        <v>0</v>
      </c>
      <c r="AB17" s="90">
        <f>'27'!AD21</f>
        <v>0</v>
      </c>
      <c r="AC17" s="90">
        <f>'28'!AD20</f>
        <v>0</v>
      </c>
      <c r="AD17" s="90"/>
      <c r="AE17" s="90"/>
      <c r="AF17" s="91">
        <f>'31'!AD20</f>
        <v>0</v>
      </c>
      <c r="AG17" s="92">
        <f t="shared" si="0"/>
        <v>0.10751685389004674</v>
      </c>
    </row>
    <row r="18" spans="1:33" s="93" customFormat="1" ht="21.75" customHeight="1">
      <c r="A18" s="97" t="s">
        <v>108</v>
      </c>
      <c r="B18" s="101">
        <f>'01'!AD21</f>
        <v>0.12238571327776246</v>
      </c>
      <c r="C18" s="101"/>
      <c r="D18" s="102">
        <f>'03'!AD21</f>
        <v>0.41901417490547177</v>
      </c>
      <c r="E18" s="102">
        <f>'04'!AD22</f>
        <v>0.5604319991424056</v>
      </c>
      <c r="F18" s="102">
        <f>'05'!AD23</f>
        <v>0.47437358973058885</v>
      </c>
      <c r="G18" s="102">
        <f>'06'!AD22</f>
        <v>0.41319286012797513</v>
      </c>
      <c r="H18" s="102">
        <f>'07'!AD23</f>
        <v>0.46062905018381617</v>
      </c>
      <c r="I18" s="102">
        <f>'08'!AD21</f>
        <v>0.43013012993664584</v>
      </c>
      <c r="J18" s="102"/>
      <c r="K18" s="102">
        <f>'10'!AD22</f>
        <v>0.3299440538558342</v>
      </c>
      <c r="L18" s="102">
        <f>'11'!AD21</f>
        <v>0.3881914675341675</v>
      </c>
      <c r="M18" s="102">
        <f>'12'!AD22</f>
        <v>0.3857216893619238</v>
      </c>
      <c r="N18" s="102">
        <f>'13'!AD22</f>
        <v>0.31050403733011006</v>
      </c>
      <c r="O18" s="102">
        <f>'14'!AD21</f>
        <v>0.16331471631589778</v>
      </c>
      <c r="P18" s="102"/>
      <c r="Q18" s="102"/>
      <c r="R18" s="102">
        <f>'17'!AD21</f>
        <v>0.52405141446347003</v>
      </c>
      <c r="S18" s="102">
        <f>'18'!AD22</f>
        <v>0.55205567497000496</v>
      </c>
      <c r="T18" s="102">
        <f>'19'!AD21</f>
        <v>0.36067945384557387</v>
      </c>
      <c r="U18" s="102">
        <f>'20'!AD22</f>
        <v>0.29631825808150292</v>
      </c>
      <c r="V18" s="102">
        <f>'21'!AD21</f>
        <v>0.51040191829008852</v>
      </c>
      <c r="W18" s="102"/>
      <c r="X18" s="102"/>
      <c r="Y18" s="102">
        <f>'24'!AD21</f>
        <v>0.49942241079191291</v>
      </c>
      <c r="Z18" s="102">
        <f>'25'!AD21</f>
        <v>0.48777705181443382</v>
      </c>
      <c r="AA18" s="102">
        <f>'26'!AD21</f>
        <v>0.40802517781345921</v>
      </c>
      <c r="AB18" s="102">
        <f>'27'!AD22</f>
        <v>0.53296284433506957</v>
      </c>
      <c r="AC18" s="102">
        <f>'28'!AD21</f>
        <v>0.3885386759341008</v>
      </c>
      <c r="AD18" s="102"/>
      <c r="AE18" s="102"/>
      <c r="AF18" s="103">
        <f>'31'!AD21</f>
        <v>0.36351924083983317</v>
      </c>
      <c r="AG18" s="106">
        <f t="shared" si="0"/>
        <v>0.30263179364135639</v>
      </c>
    </row>
    <row r="19" spans="1:33" ht="21.75" customHeight="1" thickBot="1">
      <c r="A19" s="76" t="s">
        <v>112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F86"/>
  <sheetViews>
    <sheetView zoomScale="72" zoomScaleNormal="72" zoomScaleSheetLayoutView="70" workbookViewId="0">
      <selection activeCell="T13" sqref="T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177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136" t="s">
        <v>17</v>
      </c>
      <c r="L5" s="136" t="s">
        <v>18</v>
      </c>
      <c r="M5" s="136" t="s">
        <v>19</v>
      </c>
      <c r="N5" s="13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0.12238571327776246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132</v>
      </c>
      <c r="D7" s="55" t="s">
        <v>167</v>
      </c>
      <c r="E7" s="56" t="s">
        <v>148</v>
      </c>
      <c r="F7" s="12" t="s">
        <v>168</v>
      </c>
      <c r="G7" s="36">
        <v>1</v>
      </c>
      <c r="H7" s="38">
        <v>25</v>
      </c>
      <c r="I7" s="7">
        <v>10000</v>
      </c>
      <c r="J7" s="14">
        <v>1560</v>
      </c>
      <c r="K7" s="15">
        <f>L7+4038+5006</f>
        <v>10599</v>
      </c>
      <c r="L7" s="15">
        <v>1555</v>
      </c>
      <c r="M7" s="16">
        <f t="shared" si="0"/>
        <v>1555</v>
      </c>
      <c r="N7" s="16">
        <v>0</v>
      </c>
      <c r="O7" s="62">
        <f t="shared" si="1"/>
        <v>0</v>
      </c>
      <c r="P7" s="42">
        <f t="shared" si="2"/>
        <v>8</v>
      </c>
      <c r="Q7" s="43">
        <f t="shared" si="3"/>
        <v>16</v>
      </c>
      <c r="R7" s="7"/>
      <c r="S7" s="6"/>
      <c r="T7" s="17"/>
      <c r="U7" s="17"/>
      <c r="V7" s="18"/>
      <c r="W7" s="19">
        <v>16</v>
      </c>
      <c r="X7" s="17"/>
      <c r="Y7" s="20"/>
      <c r="Z7" s="20"/>
      <c r="AA7" s="21"/>
      <c r="AB7" s="8">
        <f t="shared" si="4"/>
        <v>0.99679487179487181</v>
      </c>
      <c r="AC7" s="9">
        <f t="shared" si="5"/>
        <v>0.33333333333333331</v>
      </c>
      <c r="AD7" s="10">
        <f t="shared" si="6"/>
        <v>0.33226495726495725</v>
      </c>
      <c r="AE7" s="39">
        <f t="shared" si="7"/>
        <v>0.12238571327776246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132</v>
      </c>
      <c r="D8" s="55" t="s">
        <v>169</v>
      </c>
      <c r="E8" s="57" t="s">
        <v>170</v>
      </c>
      <c r="F8" s="12" t="s">
        <v>131</v>
      </c>
      <c r="G8" s="36">
        <v>1</v>
      </c>
      <c r="H8" s="38">
        <v>25</v>
      </c>
      <c r="I8" s="7">
        <v>20000</v>
      </c>
      <c r="J8" s="14">
        <v>4420</v>
      </c>
      <c r="K8" s="15">
        <f>L8+3500+4412</f>
        <v>7912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0.12238571327776246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119</v>
      </c>
      <c r="D9" s="55" t="s">
        <v>135</v>
      </c>
      <c r="E9" s="57" t="s">
        <v>156</v>
      </c>
      <c r="F9" s="12">
        <v>7301</v>
      </c>
      <c r="G9" s="12">
        <v>1</v>
      </c>
      <c r="H9" s="13">
        <v>25</v>
      </c>
      <c r="I9" s="34">
        <v>1000</v>
      </c>
      <c r="J9" s="5">
        <v>1210</v>
      </c>
      <c r="K9" s="15">
        <f>L9+1206</f>
        <v>1206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0.12238571327776246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119</v>
      </c>
      <c r="D10" s="55" t="s">
        <v>165</v>
      </c>
      <c r="E10" s="57" t="s">
        <v>166</v>
      </c>
      <c r="F10" s="12">
        <v>8301</v>
      </c>
      <c r="G10" s="12">
        <v>1</v>
      </c>
      <c r="H10" s="13">
        <v>25</v>
      </c>
      <c r="I10" s="34">
        <v>10000</v>
      </c>
      <c r="J10" s="14">
        <v>1120</v>
      </c>
      <c r="K10" s="15">
        <f>L10+3821+6613+1116</f>
        <v>11550</v>
      </c>
      <c r="L10" s="15"/>
      <c r="M10" s="16">
        <f t="shared" ref="M10" si="10">L10-N10</f>
        <v>0</v>
      </c>
      <c r="N10" s="16">
        <v>0</v>
      </c>
      <c r="O10" s="62" t="str">
        <f t="shared" ref="O10" si="11">IF(L10=0,"0",N10/L10)</f>
        <v>0</v>
      </c>
      <c r="P10" s="42" t="str">
        <f t="shared" ref="P10" si="12">IF(L10=0,"0",(24-Q10))</f>
        <v>0</v>
      </c>
      <c r="Q10" s="43">
        <f t="shared" ref="Q10" si="13">SUM(R10:AA10)</f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ref="AB10" si="14">IF(J10=0,"0",(L10/J10))</f>
        <v>0</v>
      </c>
      <c r="AC10" s="9">
        <f t="shared" ref="AC10" si="15">IF(P10=0,"0",(P10/24))</f>
        <v>0</v>
      </c>
      <c r="AD10" s="10">
        <f t="shared" ref="AD10" si="16">AC10*AB10*(1-O10)</f>
        <v>0</v>
      </c>
      <c r="AE10" s="39">
        <f t="shared" si="7"/>
        <v>0.12238571327776246</v>
      </c>
      <c r="AF10" s="94">
        <f t="shared" ref="AF10" si="17">A10</f>
        <v>5</v>
      </c>
    </row>
    <row r="11" spans="1:32" ht="27" customHeight="1">
      <c r="A11" s="110">
        <v>6</v>
      </c>
      <c r="B11" s="11" t="s">
        <v>59</v>
      </c>
      <c r="C11" s="11" t="s">
        <v>136</v>
      </c>
      <c r="D11" s="55" t="s">
        <v>129</v>
      </c>
      <c r="E11" s="57" t="s">
        <v>174</v>
      </c>
      <c r="F11" s="12">
        <v>8301</v>
      </c>
      <c r="G11" s="12">
        <v>1</v>
      </c>
      <c r="H11" s="13">
        <v>25</v>
      </c>
      <c r="I11" s="34">
        <v>4000</v>
      </c>
      <c r="J11" s="14">
        <v>1020</v>
      </c>
      <c r="K11" s="15">
        <f>L11+3296</f>
        <v>4314</v>
      </c>
      <c r="L11" s="15">
        <v>1018</v>
      </c>
      <c r="M11" s="16">
        <f t="shared" si="0"/>
        <v>1018</v>
      </c>
      <c r="N11" s="16">
        <v>0</v>
      </c>
      <c r="O11" s="62">
        <f t="shared" si="1"/>
        <v>0</v>
      </c>
      <c r="P11" s="42">
        <f t="shared" si="2"/>
        <v>7</v>
      </c>
      <c r="Q11" s="43">
        <f t="shared" si="3"/>
        <v>17</v>
      </c>
      <c r="R11" s="7"/>
      <c r="S11" s="6"/>
      <c r="T11" s="17"/>
      <c r="U11" s="17"/>
      <c r="V11" s="18"/>
      <c r="W11" s="19">
        <v>17</v>
      </c>
      <c r="X11" s="17"/>
      <c r="Y11" s="20"/>
      <c r="Z11" s="20"/>
      <c r="AA11" s="21"/>
      <c r="AB11" s="8">
        <f t="shared" si="4"/>
        <v>0.99803921568627452</v>
      </c>
      <c r="AC11" s="9">
        <f t="shared" si="5"/>
        <v>0.29166666666666669</v>
      </c>
      <c r="AD11" s="10">
        <f t="shared" si="6"/>
        <v>0.29109477124183009</v>
      </c>
      <c r="AE11" s="39">
        <f t="shared" si="7"/>
        <v>0.12238571327776246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20000</v>
      </c>
      <c r="J12" s="14">
        <v>2060</v>
      </c>
      <c r="K12" s="15">
        <f>L12+3669+4855+2235+2780</f>
        <v>15598</v>
      </c>
      <c r="L12" s="15">
        <v>2059</v>
      </c>
      <c r="M12" s="16">
        <f t="shared" si="0"/>
        <v>2059</v>
      </c>
      <c r="N12" s="16">
        <v>0</v>
      </c>
      <c r="O12" s="62">
        <f t="shared" si="1"/>
        <v>0</v>
      </c>
      <c r="P12" s="42">
        <f t="shared" si="2"/>
        <v>8</v>
      </c>
      <c r="Q12" s="43">
        <f t="shared" si="3"/>
        <v>16</v>
      </c>
      <c r="R12" s="7"/>
      <c r="S12" s="6">
        <v>16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0.99951456310679609</v>
      </c>
      <c r="AC12" s="9">
        <f t="shared" si="5"/>
        <v>0.33333333333333331</v>
      </c>
      <c r="AD12" s="10">
        <f t="shared" si="6"/>
        <v>0.33317152103559866</v>
      </c>
      <c r="AE12" s="39">
        <f t="shared" si="7"/>
        <v>0.12238571327776246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119</v>
      </c>
      <c r="D13" s="55" t="s">
        <v>159</v>
      </c>
      <c r="E13" s="57" t="s">
        <v>175</v>
      </c>
      <c r="F13" s="12">
        <v>7301</v>
      </c>
      <c r="G13" s="12">
        <v>1</v>
      </c>
      <c r="H13" s="13">
        <v>20</v>
      </c>
      <c r="I13" s="7">
        <v>4000</v>
      </c>
      <c r="J13" s="14">
        <v>1530</v>
      </c>
      <c r="K13" s="15">
        <f>L13+4616</f>
        <v>6137</v>
      </c>
      <c r="L13" s="15">
        <v>1521</v>
      </c>
      <c r="M13" s="16">
        <f t="shared" si="0"/>
        <v>1521</v>
      </c>
      <c r="N13" s="16">
        <v>0</v>
      </c>
      <c r="O13" s="62">
        <f t="shared" si="1"/>
        <v>0</v>
      </c>
      <c r="P13" s="42">
        <f t="shared" si="2"/>
        <v>7</v>
      </c>
      <c r="Q13" s="43">
        <f t="shared" si="3"/>
        <v>17</v>
      </c>
      <c r="R13" s="7"/>
      <c r="S13" s="6"/>
      <c r="T13" s="17"/>
      <c r="U13" s="17"/>
      <c r="V13" s="18"/>
      <c r="W13" s="19">
        <v>17</v>
      </c>
      <c r="X13" s="17"/>
      <c r="Y13" s="20"/>
      <c r="Z13" s="20"/>
      <c r="AA13" s="21"/>
      <c r="AB13" s="8">
        <f t="shared" si="4"/>
        <v>0.99411764705882355</v>
      </c>
      <c r="AC13" s="9">
        <f t="shared" si="5"/>
        <v>0.29166666666666669</v>
      </c>
      <c r="AD13" s="10">
        <f t="shared" si="6"/>
        <v>0.28995098039215689</v>
      </c>
      <c r="AE13" s="39">
        <f t="shared" si="7"/>
        <v>0.12238571327776246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119</v>
      </c>
      <c r="D14" s="55" t="s">
        <v>58</v>
      </c>
      <c r="E14" s="57" t="s">
        <v>161</v>
      </c>
      <c r="F14" s="33" t="s">
        <v>131</v>
      </c>
      <c r="G14" s="36">
        <v>1</v>
      </c>
      <c r="H14" s="38">
        <v>25</v>
      </c>
      <c r="I14" s="7">
        <v>500</v>
      </c>
      <c r="J14" s="5">
        <v>2630</v>
      </c>
      <c r="K14" s="15">
        <f>L14</f>
        <v>98</v>
      </c>
      <c r="L14" s="15">
        <v>98</v>
      </c>
      <c r="M14" s="16">
        <f t="shared" si="0"/>
        <v>98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>
        <v>20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3.7262357414448666E-2</v>
      </c>
      <c r="AC14" s="9">
        <f t="shared" si="5"/>
        <v>0.16666666666666666</v>
      </c>
      <c r="AD14" s="10">
        <f t="shared" si="6"/>
        <v>6.2103929024081104E-3</v>
      </c>
      <c r="AE14" s="39">
        <f t="shared" si="7"/>
        <v>0.12238571327776246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142</v>
      </c>
      <c r="D15" s="55" t="s">
        <v>143</v>
      </c>
      <c r="E15" s="57" t="s">
        <v>144</v>
      </c>
      <c r="F15" s="12" t="s">
        <v>145</v>
      </c>
      <c r="G15" s="12">
        <v>8</v>
      </c>
      <c r="H15" s="13">
        <v>25</v>
      </c>
      <c r="I15" s="34">
        <v>50000</v>
      </c>
      <c r="J15" s="5">
        <v>7200</v>
      </c>
      <c r="K15" s="15">
        <f>L15+33536+7192</f>
        <v>40728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0.12238571327776246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120</v>
      </c>
      <c r="D16" s="55" t="s">
        <v>134</v>
      </c>
      <c r="E16" s="56" t="s">
        <v>146</v>
      </c>
      <c r="F16" s="12">
        <v>7301</v>
      </c>
      <c r="G16" s="36">
        <v>1</v>
      </c>
      <c r="H16" s="38">
        <v>25</v>
      </c>
      <c r="I16" s="7">
        <v>40000</v>
      </c>
      <c r="J16" s="14">
        <v>2690</v>
      </c>
      <c r="K16" s="15">
        <f>5330+5326+2689</f>
        <v>13345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>
        <v>24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0.12238571327776246</v>
      </c>
      <c r="AF16" s="94">
        <f>A16</f>
        <v>11</v>
      </c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0.12238571327776246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122</v>
      </c>
      <c r="E18" s="57" t="s">
        <v>137</v>
      </c>
      <c r="F18" s="12" t="s">
        <v>155</v>
      </c>
      <c r="G18" s="12">
        <v>1</v>
      </c>
      <c r="H18" s="13">
        <v>25</v>
      </c>
      <c r="I18" s="34">
        <v>23000</v>
      </c>
      <c r="J18" s="5">
        <v>2260</v>
      </c>
      <c r="K18" s="15">
        <f>L18+2373+5342+5324</f>
        <v>15298</v>
      </c>
      <c r="L18" s="15">
        <v>2259</v>
      </c>
      <c r="M18" s="16">
        <f t="shared" si="0"/>
        <v>2259</v>
      </c>
      <c r="N18" s="16">
        <v>0</v>
      </c>
      <c r="O18" s="62">
        <f t="shared" si="1"/>
        <v>0</v>
      </c>
      <c r="P18" s="42">
        <f t="shared" si="2"/>
        <v>8</v>
      </c>
      <c r="Q18" s="43">
        <f t="shared" si="3"/>
        <v>16</v>
      </c>
      <c r="R18" s="7"/>
      <c r="S18" s="6"/>
      <c r="T18" s="17"/>
      <c r="U18" s="17"/>
      <c r="V18" s="18">
        <v>16</v>
      </c>
      <c r="W18" s="19"/>
      <c r="X18" s="17"/>
      <c r="Y18" s="20"/>
      <c r="Z18" s="20"/>
      <c r="AA18" s="21"/>
      <c r="AB18" s="8">
        <f t="shared" si="4"/>
        <v>0.99955752212389382</v>
      </c>
      <c r="AC18" s="9">
        <f t="shared" si="5"/>
        <v>0.33333333333333331</v>
      </c>
      <c r="AD18" s="10">
        <f t="shared" si="6"/>
        <v>0.33318584070796459</v>
      </c>
      <c r="AE18" s="39">
        <f t="shared" si="7"/>
        <v>0.12238571327776246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58</v>
      </c>
      <c r="E19" s="57">
        <v>3151001</v>
      </c>
      <c r="F19" s="12" t="s">
        <v>171</v>
      </c>
      <c r="G19" s="12">
        <v>1</v>
      </c>
      <c r="H19" s="13">
        <v>25</v>
      </c>
      <c r="I19" s="34">
        <v>550</v>
      </c>
      <c r="J19" s="5">
        <v>270</v>
      </c>
      <c r="K19" s="15">
        <f>L19+270</f>
        <v>270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0.12238571327776246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172</v>
      </c>
      <c r="F20" s="12" t="s">
        <v>118</v>
      </c>
      <c r="G20" s="12">
        <v>4</v>
      </c>
      <c r="H20" s="38">
        <v>20</v>
      </c>
      <c r="I20" s="7">
        <v>200000</v>
      </c>
      <c r="J20" s="14">
        <v>16170</v>
      </c>
      <c r="K20" s="15">
        <f>L20+51172+67944</f>
        <v>135280</v>
      </c>
      <c r="L20" s="15">
        <f>4041*4</f>
        <v>16164</v>
      </c>
      <c r="M20" s="16">
        <f t="shared" si="0"/>
        <v>16164</v>
      </c>
      <c r="N20" s="16">
        <v>0</v>
      </c>
      <c r="O20" s="62">
        <f t="shared" si="1"/>
        <v>0</v>
      </c>
      <c r="P20" s="42">
        <f t="shared" si="2"/>
        <v>6</v>
      </c>
      <c r="Q20" s="43">
        <f t="shared" si="3"/>
        <v>18</v>
      </c>
      <c r="R20" s="7"/>
      <c r="S20" s="6"/>
      <c r="T20" s="17"/>
      <c r="U20" s="17"/>
      <c r="V20" s="18"/>
      <c r="W20" s="19">
        <v>18</v>
      </c>
      <c r="X20" s="17"/>
      <c r="Y20" s="20"/>
      <c r="Z20" s="20"/>
      <c r="AA20" s="21"/>
      <c r="AB20" s="8">
        <f t="shared" si="4"/>
        <v>0.99962894248608536</v>
      </c>
      <c r="AC20" s="9">
        <f t="shared" si="5"/>
        <v>0.25</v>
      </c>
      <c r="AD20" s="10">
        <f t="shared" si="6"/>
        <v>0.24990723562152134</v>
      </c>
      <c r="AE20" s="39">
        <f t="shared" si="7"/>
        <v>0.12238571327776246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8">SUM(I6:I20)</f>
        <v>384850</v>
      </c>
      <c r="J21" s="22">
        <f t="shared" si="18"/>
        <v>47551</v>
      </c>
      <c r="K21" s="23">
        <f t="shared" si="18"/>
        <v>265738</v>
      </c>
      <c r="L21" s="24">
        <f t="shared" si="18"/>
        <v>24674</v>
      </c>
      <c r="M21" s="23">
        <f t="shared" si="18"/>
        <v>24674</v>
      </c>
      <c r="N21" s="24">
        <f t="shared" si="18"/>
        <v>0</v>
      </c>
      <c r="O21" s="44">
        <f t="shared" si="1"/>
        <v>0</v>
      </c>
      <c r="P21" s="45">
        <f t="shared" ref="P21:AA21" si="19">SUM(P6:P20)</f>
        <v>48</v>
      </c>
      <c r="Q21" s="46">
        <f t="shared" si="19"/>
        <v>312</v>
      </c>
      <c r="R21" s="26">
        <f t="shared" si="19"/>
        <v>48</v>
      </c>
      <c r="S21" s="27">
        <f t="shared" si="19"/>
        <v>108</v>
      </c>
      <c r="T21" s="27">
        <f t="shared" si="19"/>
        <v>0</v>
      </c>
      <c r="U21" s="27">
        <f t="shared" si="19"/>
        <v>0</v>
      </c>
      <c r="V21" s="28">
        <f t="shared" si="19"/>
        <v>16</v>
      </c>
      <c r="W21" s="29">
        <f t="shared" si="19"/>
        <v>140</v>
      </c>
      <c r="X21" s="30">
        <f t="shared" si="19"/>
        <v>0</v>
      </c>
      <c r="Y21" s="30">
        <f t="shared" si="19"/>
        <v>0</v>
      </c>
      <c r="Z21" s="30">
        <f t="shared" si="19"/>
        <v>0</v>
      </c>
      <c r="AA21" s="30">
        <f t="shared" si="19"/>
        <v>0</v>
      </c>
      <c r="AB21" s="31">
        <f>SUM(AB6:AB20)/15</f>
        <v>0.40166100797807952</v>
      </c>
      <c r="AC21" s="4">
        <f>SUM(AC6:AC20)/15</f>
        <v>0.13333333333333333</v>
      </c>
      <c r="AD21" s="4">
        <f>SUM(AD6:AD20)/15</f>
        <v>0.12238571327776246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179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185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135" t="s">
        <v>47</v>
      </c>
      <c r="D50" s="135" t="s">
        <v>48</v>
      </c>
      <c r="E50" s="135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135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119</v>
      </c>
      <c r="B51" s="410"/>
      <c r="C51" s="137" t="s">
        <v>147</v>
      </c>
      <c r="D51" s="137" t="s">
        <v>173</v>
      </c>
      <c r="E51" s="138" t="s">
        <v>139</v>
      </c>
      <c r="F51" s="411" t="s">
        <v>180</v>
      </c>
      <c r="G51" s="411"/>
      <c r="H51" s="411"/>
      <c r="I51" s="411"/>
      <c r="J51" s="411"/>
      <c r="K51" s="411"/>
      <c r="L51" s="411"/>
      <c r="M51" s="412"/>
      <c r="N51" s="130" t="s">
        <v>119</v>
      </c>
      <c r="O51" s="74" t="s">
        <v>154</v>
      </c>
      <c r="P51" s="413" t="s">
        <v>158</v>
      </c>
      <c r="Q51" s="414"/>
      <c r="R51" s="410" t="s">
        <v>161</v>
      </c>
      <c r="S51" s="410"/>
      <c r="T51" s="410"/>
      <c r="U51" s="410"/>
      <c r="V51" s="411" t="s">
        <v>160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119</v>
      </c>
      <c r="B52" s="410"/>
      <c r="C52" s="131" t="s">
        <v>181</v>
      </c>
      <c r="D52" s="131" t="s">
        <v>182</v>
      </c>
      <c r="E52" s="134" t="s">
        <v>183</v>
      </c>
      <c r="F52" s="411" t="s">
        <v>184</v>
      </c>
      <c r="G52" s="411"/>
      <c r="H52" s="411"/>
      <c r="I52" s="411"/>
      <c r="J52" s="411"/>
      <c r="K52" s="411"/>
      <c r="L52" s="411"/>
      <c r="M52" s="412"/>
      <c r="N52" s="130" t="s">
        <v>186</v>
      </c>
      <c r="O52" s="74" t="s">
        <v>187</v>
      </c>
      <c r="P52" s="413" t="s">
        <v>188</v>
      </c>
      <c r="Q52" s="414"/>
      <c r="R52" s="410" t="s">
        <v>189</v>
      </c>
      <c r="S52" s="410"/>
      <c r="T52" s="410"/>
      <c r="U52" s="410"/>
      <c r="V52" s="411" t="s">
        <v>190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/>
      <c r="B53" s="410"/>
      <c r="C53" s="131"/>
      <c r="D53" s="131"/>
      <c r="E53" s="134"/>
      <c r="F53" s="411"/>
      <c r="G53" s="411"/>
      <c r="H53" s="411"/>
      <c r="I53" s="411"/>
      <c r="J53" s="411"/>
      <c r="K53" s="411"/>
      <c r="L53" s="411"/>
      <c r="M53" s="412"/>
      <c r="N53" s="130" t="s">
        <v>191</v>
      </c>
      <c r="O53" s="74" t="s">
        <v>192</v>
      </c>
      <c r="P53" s="410" t="s">
        <v>193</v>
      </c>
      <c r="Q53" s="410"/>
      <c r="R53" s="410" t="s">
        <v>194</v>
      </c>
      <c r="S53" s="410"/>
      <c r="T53" s="410"/>
      <c r="U53" s="410"/>
      <c r="V53" s="411" t="s">
        <v>133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/>
      <c r="B54" s="410"/>
      <c r="C54" s="131"/>
      <c r="D54" s="131"/>
      <c r="E54" s="134"/>
      <c r="F54" s="411"/>
      <c r="G54" s="411"/>
      <c r="H54" s="411"/>
      <c r="I54" s="411"/>
      <c r="J54" s="411"/>
      <c r="K54" s="411"/>
      <c r="L54" s="411"/>
      <c r="M54" s="412"/>
      <c r="N54" s="130" t="s">
        <v>191</v>
      </c>
      <c r="O54" s="74" t="s">
        <v>196</v>
      </c>
      <c r="P54" s="413" t="s">
        <v>197</v>
      </c>
      <c r="Q54" s="414"/>
      <c r="R54" s="410" t="s">
        <v>195</v>
      </c>
      <c r="S54" s="410"/>
      <c r="T54" s="410"/>
      <c r="U54" s="410"/>
      <c r="V54" s="411" t="s">
        <v>198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/>
      <c r="B55" s="410"/>
      <c r="C55" s="131"/>
      <c r="D55" s="131"/>
      <c r="E55" s="134"/>
      <c r="F55" s="411"/>
      <c r="G55" s="411"/>
      <c r="H55" s="411"/>
      <c r="I55" s="411"/>
      <c r="J55" s="411"/>
      <c r="K55" s="411"/>
      <c r="L55" s="411"/>
      <c r="M55" s="412"/>
      <c r="N55" s="130" t="s">
        <v>119</v>
      </c>
      <c r="O55" s="74" t="s">
        <v>200</v>
      </c>
      <c r="P55" s="413" t="s">
        <v>201</v>
      </c>
      <c r="Q55" s="414"/>
      <c r="R55" s="410" t="s">
        <v>199</v>
      </c>
      <c r="S55" s="410"/>
      <c r="T55" s="410"/>
      <c r="U55" s="410"/>
      <c r="V55" s="411" t="s">
        <v>198</v>
      </c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/>
      <c r="B56" s="410"/>
      <c r="C56" s="131"/>
      <c r="D56" s="131"/>
      <c r="E56" s="134"/>
      <c r="F56" s="411"/>
      <c r="G56" s="411"/>
      <c r="H56" s="411"/>
      <c r="I56" s="411"/>
      <c r="J56" s="411"/>
      <c r="K56" s="411"/>
      <c r="L56" s="411"/>
      <c r="M56" s="412"/>
      <c r="N56" s="130" t="s">
        <v>119</v>
      </c>
      <c r="O56" s="74" t="s">
        <v>202</v>
      </c>
      <c r="P56" s="410" t="s">
        <v>203</v>
      </c>
      <c r="Q56" s="410"/>
      <c r="R56" s="410" t="s">
        <v>204</v>
      </c>
      <c r="S56" s="410"/>
      <c r="T56" s="410"/>
      <c r="U56" s="410"/>
      <c r="V56" s="411" t="s">
        <v>133</v>
      </c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/>
      <c r="B57" s="410"/>
      <c r="C57" s="131"/>
      <c r="D57" s="131"/>
      <c r="E57" s="134"/>
      <c r="F57" s="411"/>
      <c r="G57" s="411"/>
      <c r="H57" s="411"/>
      <c r="I57" s="411"/>
      <c r="J57" s="411"/>
      <c r="K57" s="411"/>
      <c r="L57" s="411"/>
      <c r="M57" s="412"/>
      <c r="N57" s="130" t="s">
        <v>119</v>
      </c>
      <c r="O57" s="74" t="s">
        <v>205</v>
      </c>
      <c r="P57" s="413" t="s">
        <v>206</v>
      </c>
      <c r="Q57" s="414"/>
      <c r="R57" s="410" t="s">
        <v>207</v>
      </c>
      <c r="S57" s="410"/>
      <c r="T57" s="410"/>
      <c r="U57" s="410"/>
      <c r="V57" s="411" t="s">
        <v>208</v>
      </c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134"/>
      <c r="D58" s="131"/>
      <c r="E58" s="134"/>
      <c r="F58" s="411"/>
      <c r="G58" s="411"/>
      <c r="H58" s="411"/>
      <c r="I58" s="411"/>
      <c r="J58" s="411"/>
      <c r="K58" s="411"/>
      <c r="L58" s="411"/>
      <c r="M58" s="412"/>
      <c r="N58" s="130" t="s">
        <v>119</v>
      </c>
      <c r="O58" s="74" t="s">
        <v>209</v>
      </c>
      <c r="P58" s="410" t="s">
        <v>210</v>
      </c>
      <c r="Q58" s="410"/>
      <c r="R58" s="410" t="s">
        <v>211</v>
      </c>
      <c r="S58" s="410"/>
      <c r="T58" s="410"/>
      <c r="U58" s="410"/>
      <c r="V58" s="411" t="s">
        <v>208</v>
      </c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131"/>
      <c r="D59" s="131"/>
      <c r="E59" s="131"/>
      <c r="F59" s="411"/>
      <c r="G59" s="411"/>
      <c r="H59" s="411"/>
      <c r="I59" s="411"/>
      <c r="J59" s="411"/>
      <c r="K59" s="411"/>
      <c r="L59" s="411"/>
      <c r="M59" s="412"/>
      <c r="N59" s="130" t="s">
        <v>119</v>
      </c>
      <c r="O59" s="74" t="s">
        <v>212</v>
      </c>
      <c r="P59" s="410" t="s">
        <v>201</v>
      </c>
      <c r="Q59" s="410"/>
      <c r="R59" s="410" t="s">
        <v>213</v>
      </c>
      <c r="S59" s="410"/>
      <c r="T59" s="410"/>
      <c r="U59" s="410"/>
      <c r="V59" s="411" t="s">
        <v>214</v>
      </c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133"/>
      <c r="D60" s="133"/>
      <c r="E60" s="133"/>
      <c r="F60" s="417"/>
      <c r="G60" s="417"/>
      <c r="H60" s="417"/>
      <c r="I60" s="417"/>
      <c r="J60" s="417"/>
      <c r="K60" s="417"/>
      <c r="L60" s="417"/>
      <c r="M60" s="418"/>
      <c r="N60" s="132" t="s">
        <v>191</v>
      </c>
      <c r="O60" s="121" t="s">
        <v>215</v>
      </c>
      <c r="P60" s="416" t="s">
        <v>216</v>
      </c>
      <c r="Q60" s="416"/>
      <c r="R60" s="416" t="s">
        <v>217</v>
      </c>
      <c r="S60" s="416"/>
      <c r="T60" s="416"/>
      <c r="U60" s="416"/>
      <c r="V60" s="417" t="s">
        <v>208</v>
      </c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218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129" t="s">
        <v>2</v>
      </c>
      <c r="D62" s="129" t="s">
        <v>38</v>
      </c>
      <c r="E62" s="129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129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119</v>
      </c>
      <c r="D63" s="125"/>
      <c r="E63" s="127" t="s">
        <v>219</v>
      </c>
      <c r="F63" s="430" t="s">
        <v>220</v>
      </c>
      <c r="G63" s="431"/>
      <c r="H63" s="431"/>
      <c r="I63" s="431"/>
      <c r="J63" s="431"/>
      <c r="K63" s="431" t="s">
        <v>221</v>
      </c>
      <c r="L63" s="431"/>
      <c r="M63" s="54" t="s">
        <v>138</v>
      </c>
      <c r="N63" s="431">
        <v>4</v>
      </c>
      <c r="O63" s="431"/>
      <c r="P63" s="432"/>
      <c r="Q63" s="432"/>
      <c r="R63" s="411" t="s">
        <v>222</v>
      </c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 t="s">
        <v>119</v>
      </c>
      <c r="D64" s="125"/>
      <c r="E64" s="127" t="s">
        <v>223</v>
      </c>
      <c r="F64" s="430" t="s">
        <v>224</v>
      </c>
      <c r="G64" s="431"/>
      <c r="H64" s="431"/>
      <c r="I64" s="431"/>
      <c r="J64" s="431"/>
      <c r="K64" s="431" t="s">
        <v>225</v>
      </c>
      <c r="L64" s="431"/>
      <c r="M64" s="54" t="s">
        <v>226</v>
      </c>
      <c r="N64" s="431">
        <v>5</v>
      </c>
      <c r="O64" s="431"/>
      <c r="P64" s="432">
        <v>20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/>
      <c r="D65" s="125"/>
      <c r="E65" s="127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/>
      <c r="D66" s="125"/>
      <c r="E66" s="127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125"/>
      <c r="E67" s="127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125"/>
      <c r="E68" s="127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125"/>
      <c r="E69" s="127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125"/>
      <c r="E70" s="127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227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128" t="s">
        <v>2</v>
      </c>
      <c r="D72" s="128" t="s">
        <v>38</v>
      </c>
      <c r="E72" s="128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126" t="s">
        <v>119</v>
      </c>
      <c r="D73" s="126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125" t="s">
        <v>119</v>
      </c>
      <c r="D74" s="125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20">A74+1</f>
        <v>3</v>
      </c>
      <c r="B75" s="442"/>
      <c r="C75" s="125" t="s">
        <v>120</v>
      </c>
      <c r="D75" s="125"/>
      <c r="E75" s="35" t="s">
        <v>228</v>
      </c>
      <c r="F75" s="442" t="s">
        <v>229</v>
      </c>
      <c r="G75" s="442"/>
      <c r="H75" s="442"/>
      <c r="I75" s="442"/>
      <c r="J75" s="442"/>
      <c r="K75" s="443" t="s">
        <v>61</v>
      </c>
      <c r="L75" s="444"/>
      <c r="M75" s="444"/>
      <c r="N75" s="444"/>
      <c r="O75" s="444"/>
      <c r="P75" s="444"/>
      <c r="Q75" s="444"/>
      <c r="R75" s="444"/>
      <c r="S75" s="445"/>
      <c r="T75" s="446">
        <v>42913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20"/>
        <v>4</v>
      </c>
      <c r="B76" s="442"/>
      <c r="C76" s="125" t="s">
        <v>120</v>
      </c>
      <c r="D76" s="125"/>
      <c r="E76" s="35" t="s">
        <v>230</v>
      </c>
      <c r="F76" s="442" t="s">
        <v>194</v>
      </c>
      <c r="G76" s="442"/>
      <c r="H76" s="442"/>
      <c r="I76" s="442"/>
      <c r="J76" s="442"/>
      <c r="K76" s="443" t="s">
        <v>121</v>
      </c>
      <c r="L76" s="444"/>
      <c r="M76" s="444"/>
      <c r="N76" s="444"/>
      <c r="O76" s="444"/>
      <c r="P76" s="444"/>
      <c r="Q76" s="444"/>
      <c r="R76" s="444"/>
      <c r="S76" s="445"/>
      <c r="T76" s="446">
        <v>42916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20"/>
        <v>5</v>
      </c>
      <c r="B77" s="442"/>
      <c r="C77" s="125" t="s">
        <v>119</v>
      </c>
      <c r="D77" s="125"/>
      <c r="E77" s="35" t="s">
        <v>203</v>
      </c>
      <c r="F77" s="442" t="s">
        <v>204</v>
      </c>
      <c r="G77" s="442"/>
      <c r="H77" s="442"/>
      <c r="I77" s="442"/>
      <c r="J77" s="442"/>
      <c r="K77" s="443" t="s">
        <v>231</v>
      </c>
      <c r="L77" s="444"/>
      <c r="M77" s="444"/>
      <c r="N77" s="444"/>
      <c r="O77" s="444"/>
      <c r="P77" s="444"/>
      <c r="Q77" s="444"/>
      <c r="R77" s="444"/>
      <c r="S77" s="445"/>
      <c r="T77" s="446">
        <v>42917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20"/>
        <v>6</v>
      </c>
      <c r="B78" s="442"/>
      <c r="C78" s="125" t="s">
        <v>120</v>
      </c>
      <c r="D78" s="125"/>
      <c r="E78" s="35" t="s">
        <v>232</v>
      </c>
      <c r="F78" s="442" t="s">
        <v>233</v>
      </c>
      <c r="G78" s="442"/>
      <c r="H78" s="442"/>
      <c r="I78" s="442"/>
      <c r="J78" s="442"/>
      <c r="K78" s="443" t="s">
        <v>234</v>
      </c>
      <c r="L78" s="444"/>
      <c r="M78" s="444"/>
      <c r="N78" s="444"/>
      <c r="O78" s="444"/>
      <c r="P78" s="444"/>
      <c r="Q78" s="444"/>
      <c r="R78" s="444"/>
      <c r="S78" s="445"/>
      <c r="T78" s="446">
        <v>42917</v>
      </c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20"/>
        <v>7</v>
      </c>
      <c r="B79" s="442"/>
      <c r="C79" s="125" t="s">
        <v>119</v>
      </c>
      <c r="D79" s="125"/>
      <c r="E79" s="35" t="s">
        <v>216</v>
      </c>
      <c r="F79" s="442" t="s">
        <v>183</v>
      </c>
      <c r="G79" s="442"/>
      <c r="H79" s="442"/>
      <c r="I79" s="442"/>
      <c r="J79" s="442"/>
      <c r="K79" s="443" t="s">
        <v>121</v>
      </c>
      <c r="L79" s="444"/>
      <c r="M79" s="444"/>
      <c r="N79" s="444"/>
      <c r="O79" s="444"/>
      <c r="P79" s="444"/>
      <c r="Q79" s="444"/>
      <c r="R79" s="444"/>
      <c r="S79" s="445"/>
      <c r="T79" s="446">
        <v>42917</v>
      </c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20"/>
        <v>8</v>
      </c>
      <c r="B80" s="442"/>
      <c r="C80" s="125" t="s">
        <v>119</v>
      </c>
      <c r="D80" s="125"/>
      <c r="E80" s="35" t="s">
        <v>201</v>
      </c>
      <c r="F80" s="442" t="s">
        <v>213</v>
      </c>
      <c r="G80" s="442"/>
      <c r="H80" s="442"/>
      <c r="I80" s="442"/>
      <c r="J80" s="442"/>
      <c r="K80" s="443" t="s">
        <v>235</v>
      </c>
      <c r="L80" s="444"/>
      <c r="M80" s="444"/>
      <c r="N80" s="444"/>
      <c r="O80" s="444"/>
      <c r="P80" s="444"/>
      <c r="Q80" s="444"/>
      <c r="R80" s="444"/>
      <c r="S80" s="445"/>
      <c r="T80" s="446">
        <v>42919</v>
      </c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20"/>
        <v>9</v>
      </c>
      <c r="B81" s="442"/>
      <c r="C81" s="125"/>
      <c r="D81" s="125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236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176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F86"/>
  <sheetViews>
    <sheetView zoomScale="72" zoomScaleNormal="72" zoomScaleSheetLayoutView="70" workbookViewId="0">
      <selection activeCell="R68" sqref="R68:AA6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237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150" t="s">
        <v>17</v>
      </c>
      <c r="L5" s="150" t="s">
        <v>18</v>
      </c>
      <c r="M5" s="150" t="s">
        <v>19</v>
      </c>
      <c r="N5" s="15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0.41901417490547177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132</v>
      </c>
      <c r="D7" s="55" t="s">
        <v>167</v>
      </c>
      <c r="E7" s="56" t="s">
        <v>238</v>
      </c>
      <c r="F7" s="12" t="s">
        <v>168</v>
      </c>
      <c r="G7" s="36">
        <v>1</v>
      </c>
      <c r="H7" s="38">
        <v>25</v>
      </c>
      <c r="I7" s="7">
        <v>20000</v>
      </c>
      <c r="J7" s="14">
        <v>3350</v>
      </c>
      <c r="K7" s="15">
        <f>L7</f>
        <v>3341</v>
      </c>
      <c r="L7" s="15">
        <f>2420+921</f>
        <v>3341</v>
      </c>
      <c r="M7" s="16">
        <f t="shared" si="0"/>
        <v>3341</v>
      </c>
      <c r="N7" s="16">
        <v>0</v>
      </c>
      <c r="O7" s="62">
        <f t="shared" si="1"/>
        <v>0</v>
      </c>
      <c r="P7" s="42">
        <f t="shared" si="2"/>
        <v>19</v>
      </c>
      <c r="Q7" s="43">
        <f t="shared" si="3"/>
        <v>5</v>
      </c>
      <c r="R7" s="7"/>
      <c r="S7" s="6"/>
      <c r="T7" s="17">
        <v>5</v>
      </c>
      <c r="U7" s="17"/>
      <c r="V7" s="18"/>
      <c r="W7" s="19"/>
      <c r="X7" s="17"/>
      <c r="Y7" s="20"/>
      <c r="Z7" s="20"/>
      <c r="AA7" s="21"/>
      <c r="AB7" s="8">
        <f t="shared" si="4"/>
        <v>0.99731343283582086</v>
      </c>
      <c r="AC7" s="9">
        <f t="shared" si="5"/>
        <v>0.79166666666666663</v>
      </c>
      <c r="AD7" s="10">
        <f t="shared" si="6"/>
        <v>0.78953980099502485</v>
      </c>
      <c r="AE7" s="39">
        <f t="shared" si="7"/>
        <v>0.41901417490547177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132</v>
      </c>
      <c r="D8" s="55" t="s">
        <v>169</v>
      </c>
      <c r="E8" s="57" t="s">
        <v>170</v>
      </c>
      <c r="F8" s="12" t="s">
        <v>130</v>
      </c>
      <c r="G8" s="36">
        <v>1</v>
      </c>
      <c r="H8" s="38">
        <v>25</v>
      </c>
      <c r="I8" s="7">
        <v>20000</v>
      </c>
      <c r="J8" s="14">
        <v>4420</v>
      </c>
      <c r="K8" s="15">
        <f>L8+3500+4412</f>
        <v>7912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0.41901417490547177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239</v>
      </c>
      <c r="D9" s="55" t="s">
        <v>240</v>
      </c>
      <c r="E9" s="57" t="s">
        <v>241</v>
      </c>
      <c r="F9" s="12" t="s">
        <v>242</v>
      </c>
      <c r="G9" s="12">
        <v>32</v>
      </c>
      <c r="H9" s="13">
        <v>25</v>
      </c>
      <c r="I9" s="34">
        <v>100000</v>
      </c>
      <c r="J9" s="5">
        <v>176900</v>
      </c>
      <c r="K9" s="15">
        <f>L9</f>
        <v>176896</v>
      </c>
      <c r="L9" s="15">
        <f>3437*32+2091*32</f>
        <v>176896</v>
      </c>
      <c r="M9" s="16">
        <f t="shared" si="0"/>
        <v>176896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/>
      <c r="T9" s="17">
        <v>2</v>
      </c>
      <c r="U9" s="17"/>
      <c r="V9" s="18"/>
      <c r="W9" s="19"/>
      <c r="X9" s="17"/>
      <c r="Y9" s="20"/>
      <c r="Z9" s="20"/>
      <c r="AA9" s="21"/>
      <c r="AB9" s="8">
        <f t="shared" si="4"/>
        <v>0.99997738835500283</v>
      </c>
      <c r="AC9" s="9">
        <f t="shared" si="5"/>
        <v>0.91666666666666663</v>
      </c>
      <c r="AD9" s="10">
        <f t="shared" si="6"/>
        <v>0.91664593932541927</v>
      </c>
      <c r="AE9" s="39">
        <f t="shared" si="7"/>
        <v>0.41901417490547177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119</v>
      </c>
      <c r="D10" s="55" t="s">
        <v>243</v>
      </c>
      <c r="E10" s="57" t="s">
        <v>244</v>
      </c>
      <c r="F10" s="12">
        <v>8301</v>
      </c>
      <c r="G10" s="12">
        <v>1</v>
      </c>
      <c r="H10" s="13">
        <v>25</v>
      </c>
      <c r="I10" s="34">
        <v>2000</v>
      </c>
      <c r="J10" s="14">
        <v>4180</v>
      </c>
      <c r="K10" s="15">
        <f>L10</f>
        <v>4178</v>
      </c>
      <c r="L10" s="15">
        <f>1351+2827</f>
        <v>4178</v>
      </c>
      <c r="M10" s="16">
        <f t="shared" si="0"/>
        <v>4178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/>
      <c r="T10" s="17">
        <v>3</v>
      </c>
      <c r="U10" s="17"/>
      <c r="V10" s="18"/>
      <c r="W10" s="19"/>
      <c r="X10" s="17"/>
      <c r="Y10" s="20"/>
      <c r="Z10" s="20"/>
      <c r="AA10" s="21"/>
      <c r="AB10" s="8">
        <f t="shared" si="4"/>
        <v>0.99952153110047848</v>
      </c>
      <c r="AC10" s="9">
        <f t="shared" si="5"/>
        <v>0.875</v>
      </c>
      <c r="AD10" s="10">
        <f t="shared" si="6"/>
        <v>0.87458133971291863</v>
      </c>
      <c r="AE10" s="39">
        <f t="shared" si="7"/>
        <v>0.41901417490547177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129</v>
      </c>
      <c r="E11" s="57" t="s">
        <v>174</v>
      </c>
      <c r="F11" s="12">
        <v>8301</v>
      </c>
      <c r="G11" s="12">
        <v>1</v>
      </c>
      <c r="H11" s="13">
        <v>25</v>
      </c>
      <c r="I11" s="34">
        <v>4000</v>
      </c>
      <c r="J11" s="14">
        <v>1020</v>
      </c>
      <c r="K11" s="15">
        <f>L11+3296+1018</f>
        <v>4314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0.41901417490547177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20000</v>
      </c>
      <c r="J12" s="14">
        <v>3280</v>
      </c>
      <c r="K12" s="15">
        <f>L12+3669+4855+2235+2780+2059</f>
        <v>18869</v>
      </c>
      <c r="L12" s="15">
        <f>2502+769</f>
        <v>3271</v>
      </c>
      <c r="M12" s="16">
        <f t="shared" si="0"/>
        <v>3271</v>
      </c>
      <c r="N12" s="16">
        <v>0</v>
      </c>
      <c r="O12" s="62">
        <f t="shared" si="1"/>
        <v>0</v>
      </c>
      <c r="P12" s="42">
        <f t="shared" si="2"/>
        <v>20</v>
      </c>
      <c r="Q12" s="43">
        <f t="shared" si="3"/>
        <v>4</v>
      </c>
      <c r="R12" s="7"/>
      <c r="S12" s="6">
        <v>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0.99725609756097566</v>
      </c>
      <c r="AC12" s="9">
        <f t="shared" si="5"/>
        <v>0.83333333333333337</v>
      </c>
      <c r="AD12" s="10">
        <f t="shared" si="6"/>
        <v>0.83104674796747979</v>
      </c>
      <c r="AE12" s="39">
        <f t="shared" si="7"/>
        <v>0.41901417490547177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119</v>
      </c>
      <c r="D13" s="55" t="s">
        <v>245</v>
      </c>
      <c r="E13" s="57" t="s">
        <v>246</v>
      </c>
      <c r="F13" s="12">
        <v>7301</v>
      </c>
      <c r="G13" s="12">
        <v>2</v>
      </c>
      <c r="H13" s="13">
        <v>20</v>
      </c>
      <c r="I13" s="7">
        <v>260000</v>
      </c>
      <c r="J13" s="14">
        <v>6840</v>
      </c>
      <c r="K13" s="15">
        <f>L13</f>
        <v>6832</v>
      </c>
      <c r="L13" s="15">
        <f>3416*2</f>
        <v>6832</v>
      </c>
      <c r="M13" s="16">
        <f t="shared" si="0"/>
        <v>6832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>
        <v>14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0.99883040935672518</v>
      </c>
      <c r="AC13" s="9">
        <f t="shared" si="5"/>
        <v>0.41666666666666669</v>
      </c>
      <c r="AD13" s="10">
        <f t="shared" si="6"/>
        <v>0.41617933723196882</v>
      </c>
      <c r="AE13" s="39">
        <f t="shared" si="7"/>
        <v>0.41901417490547177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119</v>
      </c>
      <c r="D14" s="55" t="s">
        <v>58</v>
      </c>
      <c r="E14" s="57" t="s">
        <v>161</v>
      </c>
      <c r="F14" s="33" t="s">
        <v>130</v>
      </c>
      <c r="G14" s="36">
        <v>1</v>
      </c>
      <c r="H14" s="38">
        <v>25</v>
      </c>
      <c r="I14" s="7">
        <v>500</v>
      </c>
      <c r="J14" s="5">
        <v>2630</v>
      </c>
      <c r="K14" s="15">
        <f>L14+98</f>
        <v>98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0.41901417490547177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142</v>
      </c>
      <c r="D15" s="55" t="s">
        <v>143</v>
      </c>
      <c r="E15" s="57" t="s">
        <v>144</v>
      </c>
      <c r="F15" s="12" t="s">
        <v>145</v>
      </c>
      <c r="G15" s="12">
        <v>8</v>
      </c>
      <c r="H15" s="13">
        <v>25</v>
      </c>
      <c r="I15" s="34">
        <v>50000</v>
      </c>
      <c r="J15" s="5">
        <v>7200</v>
      </c>
      <c r="K15" s="15">
        <f>L15+33536+7192</f>
        <v>40728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0.41901417490547177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247</v>
      </c>
      <c r="D16" s="55" t="s">
        <v>248</v>
      </c>
      <c r="E16" s="56" t="s">
        <v>249</v>
      </c>
      <c r="F16" s="12">
        <v>7301</v>
      </c>
      <c r="G16" s="36" t="s">
        <v>250</v>
      </c>
      <c r="H16" s="38">
        <v>25</v>
      </c>
      <c r="I16" s="7">
        <v>20000</v>
      </c>
      <c r="J16" s="14">
        <v>7610</v>
      </c>
      <c r="K16" s="15">
        <f>L16</f>
        <v>7607</v>
      </c>
      <c r="L16" s="15">
        <f>2706+4901</f>
        <v>7607</v>
      </c>
      <c r="M16" s="16">
        <f t="shared" si="0"/>
        <v>7607</v>
      </c>
      <c r="N16" s="16">
        <v>0</v>
      </c>
      <c r="O16" s="62">
        <f t="shared" si="1"/>
        <v>0</v>
      </c>
      <c r="P16" s="42">
        <f t="shared" si="2"/>
        <v>22</v>
      </c>
      <c r="Q16" s="43">
        <f t="shared" si="3"/>
        <v>2</v>
      </c>
      <c r="R16" s="7"/>
      <c r="S16" s="6"/>
      <c r="T16" s="17">
        <v>2</v>
      </c>
      <c r="U16" s="17"/>
      <c r="V16" s="18"/>
      <c r="W16" s="19"/>
      <c r="X16" s="17"/>
      <c r="Y16" s="20"/>
      <c r="Z16" s="20"/>
      <c r="AA16" s="21"/>
      <c r="AB16" s="8">
        <f t="shared" si="4"/>
        <v>0.99960578186596583</v>
      </c>
      <c r="AC16" s="9">
        <f t="shared" si="5"/>
        <v>0.91666666666666663</v>
      </c>
      <c r="AD16" s="10">
        <f t="shared" si="6"/>
        <v>0.91630530004380195</v>
      </c>
      <c r="AE16" s="39">
        <f t="shared" si="7"/>
        <v>0.41901417490547177</v>
      </c>
      <c r="AF16" s="94">
        <f>A16</f>
        <v>11</v>
      </c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0.41901417490547177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122</v>
      </c>
      <c r="E18" s="57" t="s">
        <v>137</v>
      </c>
      <c r="F18" s="12" t="s">
        <v>155</v>
      </c>
      <c r="G18" s="12">
        <v>1</v>
      </c>
      <c r="H18" s="13">
        <v>25</v>
      </c>
      <c r="I18" s="34">
        <v>23000</v>
      </c>
      <c r="J18" s="5">
        <v>3330</v>
      </c>
      <c r="K18" s="15">
        <f>L18+2373+5342+5324+2259</f>
        <v>18628</v>
      </c>
      <c r="L18" s="15">
        <f>2645+685</f>
        <v>3330</v>
      </c>
      <c r="M18" s="16">
        <f t="shared" si="0"/>
        <v>3330</v>
      </c>
      <c r="N18" s="16">
        <v>0</v>
      </c>
      <c r="O18" s="62">
        <f t="shared" si="1"/>
        <v>0</v>
      </c>
      <c r="P18" s="42">
        <f t="shared" si="2"/>
        <v>19</v>
      </c>
      <c r="Q18" s="43">
        <f t="shared" si="3"/>
        <v>5</v>
      </c>
      <c r="R18" s="7"/>
      <c r="S18" s="6">
        <v>5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9">
        <f t="shared" si="7"/>
        <v>0.41901417490547177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58</v>
      </c>
      <c r="E19" s="57" t="s">
        <v>251</v>
      </c>
      <c r="F19" s="12" t="s">
        <v>252</v>
      </c>
      <c r="G19" s="12">
        <v>1</v>
      </c>
      <c r="H19" s="13">
        <v>25</v>
      </c>
      <c r="I19" s="34">
        <v>30000</v>
      </c>
      <c r="J19" s="5">
        <v>2990</v>
      </c>
      <c r="K19" s="15">
        <f>L19</f>
        <v>2987</v>
      </c>
      <c r="L19" s="15">
        <f>2627+360</f>
        <v>2987</v>
      </c>
      <c r="M19" s="16">
        <f t="shared" si="0"/>
        <v>2987</v>
      </c>
      <c r="N19" s="16">
        <v>0</v>
      </c>
      <c r="O19" s="62">
        <f t="shared" si="1"/>
        <v>0</v>
      </c>
      <c r="P19" s="42">
        <f t="shared" si="2"/>
        <v>18</v>
      </c>
      <c r="Q19" s="43">
        <f t="shared" si="3"/>
        <v>6</v>
      </c>
      <c r="R19" s="7"/>
      <c r="S19" s="6">
        <v>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0.99899665551839467</v>
      </c>
      <c r="AC19" s="9">
        <f t="shared" si="5"/>
        <v>0.75</v>
      </c>
      <c r="AD19" s="10">
        <f t="shared" si="6"/>
        <v>0.749247491638796</v>
      </c>
      <c r="AE19" s="39">
        <f t="shared" si="7"/>
        <v>0.41901417490547177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172</v>
      </c>
      <c r="F20" s="12" t="s">
        <v>118</v>
      </c>
      <c r="G20" s="12">
        <v>4</v>
      </c>
      <c r="H20" s="38">
        <v>20</v>
      </c>
      <c r="I20" s="7">
        <v>200000</v>
      </c>
      <c r="J20" s="14">
        <v>16170</v>
      </c>
      <c r="K20" s="15">
        <f>L20+51172+67944+16164</f>
        <v>135280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0.41901417490547177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751300</v>
      </c>
      <c r="J21" s="22">
        <f t="shared" si="10"/>
        <v>243331</v>
      </c>
      <c r="K21" s="23">
        <f t="shared" si="10"/>
        <v>431073</v>
      </c>
      <c r="L21" s="24">
        <f t="shared" si="10"/>
        <v>208442</v>
      </c>
      <c r="M21" s="23">
        <f t="shared" si="10"/>
        <v>208442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151</v>
      </c>
      <c r="Q21" s="46">
        <f t="shared" si="11"/>
        <v>209</v>
      </c>
      <c r="R21" s="26">
        <f t="shared" si="11"/>
        <v>48</v>
      </c>
      <c r="S21" s="27">
        <f t="shared" si="11"/>
        <v>101</v>
      </c>
      <c r="T21" s="27">
        <f t="shared" si="11"/>
        <v>12</v>
      </c>
      <c r="U21" s="27">
        <f t="shared" si="11"/>
        <v>0</v>
      </c>
      <c r="V21" s="28">
        <f t="shared" si="11"/>
        <v>0</v>
      </c>
      <c r="W21" s="29">
        <f t="shared" si="11"/>
        <v>48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0.53276675310622423</v>
      </c>
      <c r="AC21" s="4">
        <f>SUM(AC6:AC20)/15</f>
        <v>0.41944444444444445</v>
      </c>
      <c r="AD21" s="4">
        <f>SUM(AD6:AD20)/15</f>
        <v>0.41901417490547177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253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282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149" t="s">
        <v>47</v>
      </c>
      <c r="D50" s="149" t="s">
        <v>48</v>
      </c>
      <c r="E50" s="149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149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254</v>
      </c>
      <c r="B51" s="410"/>
      <c r="C51" s="145" t="s">
        <v>255</v>
      </c>
      <c r="D51" s="145" t="s">
        <v>256</v>
      </c>
      <c r="E51" s="148" t="s">
        <v>238</v>
      </c>
      <c r="F51" s="411" t="s">
        <v>257</v>
      </c>
      <c r="G51" s="411"/>
      <c r="H51" s="411"/>
      <c r="I51" s="411"/>
      <c r="J51" s="411"/>
      <c r="K51" s="411"/>
      <c r="L51" s="411"/>
      <c r="M51" s="412"/>
      <c r="N51" s="144" t="s">
        <v>119</v>
      </c>
      <c r="O51" s="74" t="s">
        <v>154</v>
      </c>
      <c r="P51" s="413" t="s">
        <v>158</v>
      </c>
      <c r="Q51" s="414"/>
      <c r="R51" s="410" t="s">
        <v>161</v>
      </c>
      <c r="S51" s="410"/>
      <c r="T51" s="410"/>
      <c r="U51" s="410"/>
      <c r="V51" s="411" t="s">
        <v>160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119</v>
      </c>
      <c r="B52" s="410"/>
      <c r="C52" s="145" t="s">
        <v>181</v>
      </c>
      <c r="D52" s="145" t="s">
        <v>182</v>
      </c>
      <c r="E52" s="148" t="s">
        <v>183</v>
      </c>
      <c r="F52" s="411" t="s">
        <v>258</v>
      </c>
      <c r="G52" s="411"/>
      <c r="H52" s="411"/>
      <c r="I52" s="411"/>
      <c r="J52" s="411"/>
      <c r="K52" s="411"/>
      <c r="L52" s="411"/>
      <c r="M52" s="412"/>
      <c r="N52" s="144" t="s">
        <v>191</v>
      </c>
      <c r="O52" s="74" t="s">
        <v>192</v>
      </c>
      <c r="P52" s="410" t="s">
        <v>193</v>
      </c>
      <c r="Q52" s="410"/>
      <c r="R52" s="410" t="s">
        <v>194</v>
      </c>
      <c r="S52" s="410"/>
      <c r="T52" s="410"/>
      <c r="U52" s="410"/>
      <c r="V52" s="411" t="s">
        <v>133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259</v>
      </c>
      <c r="B53" s="410"/>
      <c r="C53" s="145" t="s">
        <v>260</v>
      </c>
      <c r="D53" s="145" t="s">
        <v>261</v>
      </c>
      <c r="E53" s="148" t="s">
        <v>241</v>
      </c>
      <c r="F53" s="411" t="s">
        <v>262</v>
      </c>
      <c r="G53" s="411"/>
      <c r="H53" s="411"/>
      <c r="I53" s="411"/>
      <c r="J53" s="411"/>
      <c r="K53" s="411"/>
      <c r="L53" s="411"/>
      <c r="M53" s="412"/>
      <c r="N53" s="144" t="s">
        <v>119</v>
      </c>
      <c r="O53" s="74" t="s">
        <v>205</v>
      </c>
      <c r="P53" s="413" t="s">
        <v>206</v>
      </c>
      <c r="Q53" s="414"/>
      <c r="R53" s="410" t="s">
        <v>207</v>
      </c>
      <c r="S53" s="410"/>
      <c r="T53" s="410"/>
      <c r="U53" s="410"/>
      <c r="V53" s="411" t="s">
        <v>283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119</v>
      </c>
      <c r="B54" s="410"/>
      <c r="C54" s="145" t="s">
        <v>263</v>
      </c>
      <c r="D54" s="145" t="s">
        <v>264</v>
      </c>
      <c r="E54" s="148" t="s">
        <v>244</v>
      </c>
      <c r="F54" s="411" t="s">
        <v>262</v>
      </c>
      <c r="G54" s="411"/>
      <c r="H54" s="411"/>
      <c r="I54" s="411"/>
      <c r="J54" s="411"/>
      <c r="K54" s="411"/>
      <c r="L54" s="411"/>
      <c r="M54" s="412"/>
      <c r="N54" s="144"/>
      <c r="O54" s="74"/>
      <c r="P54" s="413"/>
      <c r="Q54" s="414"/>
      <c r="R54" s="410"/>
      <c r="S54" s="410"/>
      <c r="T54" s="410"/>
      <c r="U54" s="410"/>
      <c r="V54" s="411"/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119</v>
      </c>
      <c r="B55" s="410"/>
      <c r="C55" s="145" t="s">
        <v>265</v>
      </c>
      <c r="D55" s="145" t="s">
        <v>266</v>
      </c>
      <c r="E55" s="148" t="s">
        <v>267</v>
      </c>
      <c r="F55" s="411" t="s">
        <v>268</v>
      </c>
      <c r="G55" s="411"/>
      <c r="H55" s="411"/>
      <c r="I55" s="411"/>
      <c r="J55" s="411"/>
      <c r="K55" s="411"/>
      <c r="L55" s="411"/>
      <c r="M55" s="412"/>
      <c r="N55" s="144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119</v>
      </c>
      <c r="B56" s="410"/>
      <c r="C56" s="145" t="s">
        <v>269</v>
      </c>
      <c r="D56" s="145" t="s">
        <v>123</v>
      </c>
      <c r="E56" s="148" t="s">
        <v>270</v>
      </c>
      <c r="F56" s="411" t="s">
        <v>271</v>
      </c>
      <c r="G56" s="411"/>
      <c r="H56" s="411"/>
      <c r="I56" s="411"/>
      <c r="J56" s="411"/>
      <c r="K56" s="411"/>
      <c r="L56" s="411"/>
      <c r="M56" s="412"/>
      <c r="N56" s="144"/>
      <c r="O56" s="74"/>
      <c r="P56" s="410"/>
      <c r="Q56" s="410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 t="s">
        <v>119</v>
      </c>
      <c r="B57" s="410"/>
      <c r="C57" s="145" t="s">
        <v>272</v>
      </c>
      <c r="D57" s="145" t="s">
        <v>245</v>
      </c>
      <c r="E57" s="148" t="s">
        <v>246</v>
      </c>
      <c r="F57" s="411" t="s">
        <v>273</v>
      </c>
      <c r="G57" s="411"/>
      <c r="H57" s="411"/>
      <c r="I57" s="411"/>
      <c r="J57" s="411"/>
      <c r="K57" s="411"/>
      <c r="L57" s="411"/>
      <c r="M57" s="412"/>
      <c r="N57" s="144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 t="s">
        <v>119</v>
      </c>
      <c r="B58" s="420"/>
      <c r="C58" s="148" t="s">
        <v>274</v>
      </c>
      <c r="D58" s="145" t="s">
        <v>248</v>
      </c>
      <c r="E58" s="148" t="s">
        <v>275</v>
      </c>
      <c r="F58" s="411" t="s">
        <v>262</v>
      </c>
      <c r="G58" s="411"/>
      <c r="H58" s="411"/>
      <c r="I58" s="411"/>
      <c r="J58" s="411"/>
      <c r="K58" s="411"/>
      <c r="L58" s="411"/>
      <c r="M58" s="412"/>
      <c r="N58" s="144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 t="s">
        <v>259</v>
      </c>
      <c r="B59" s="410"/>
      <c r="C59" s="145" t="s">
        <v>276</v>
      </c>
      <c r="D59" s="145" t="s">
        <v>277</v>
      </c>
      <c r="E59" s="145" t="s">
        <v>278</v>
      </c>
      <c r="F59" s="411" t="s">
        <v>262</v>
      </c>
      <c r="G59" s="411"/>
      <c r="H59" s="411"/>
      <c r="I59" s="411"/>
      <c r="J59" s="411"/>
      <c r="K59" s="411"/>
      <c r="L59" s="411"/>
      <c r="M59" s="412"/>
      <c r="N59" s="144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 t="s">
        <v>119</v>
      </c>
      <c r="B60" s="416"/>
      <c r="C60" s="147" t="s">
        <v>280</v>
      </c>
      <c r="D60" s="147" t="s">
        <v>266</v>
      </c>
      <c r="E60" s="147" t="s">
        <v>281</v>
      </c>
      <c r="F60" s="417" t="s">
        <v>279</v>
      </c>
      <c r="G60" s="417"/>
      <c r="H60" s="417"/>
      <c r="I60" s="417"/>
      <c r="J60" s="417"/>
      <c r="K60" s="417"/>
      <c r="L60" s="417"/>
      <c r="M60" s="418"/>
      <c r="N60" s="146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284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143" t="s">
        <v>2</v>
      </c>
      <c r="D62" s="143" t="s">
        <v>38</v>
      </c>
      <c r="E62" s="143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143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119</v>
      </c>
      <c r="D63" s="139"/>
      <c r="E63" s="141" t="s">
        <v>219</v>
      </c>
      <c r="F63" s="430" t="s">
        <v>220</v>
      </c>
      <c r="G63" s="431"/>
      <c r="H63" s="431"/>
      <c r="I63" s="431"/>
      <c r="J63" s="431"/>
      <c r="K63" s="431" t="s">
        <v>221</v>
      </c>
      <c r="L63" s="431"/>
      <c r="M63" s="54" t="s">
        <v>138</v>
      </c>
      <c r="N63" s="431">
        <v>3</v>
      </c>
      <c r="O63" s="431"/>
      <c r="P63" s="432">
        <v>50</v>
      </c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 t="s">
        <v>285</v>
      </c>
      <c r="D64" s="139"/>
      <c r="E64" s="141"/>
      <c r="F64" s="430" t="s">
        <v>286</v>
      </c>
      <c r="G64" s="431"/>
      <c r="H64" s="431"/>
      <c r="I64" s="431"/>
      <c r="J64" s="431"/>
      <c r="K64" s="431" t="s">
        <v>287</v>
      </c>
      <c r="L64" s="431"/>
      <c r="M64" s="54" t="s">
        <v>288</v>
      </c>
      <c r="N64" s="431">
        <v>10</v>
      </c>
      <c r="O64" s="431"/>
      <c r="P64" s="432">
        <f>8*500</f>
        <v>4000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/>
      <c r="D65" s="139"/>
      <c r="E65" s="141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/>
      <c r="D66" s="139"/>
      <c r="E66" s="141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139"/>
      <c r="E67" s="141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139"/>
      <c r="E68" s="141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139"/>
      <c r="E69" s="141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139"/>
      <c r="E70" s="141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289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142" t="s">
        <v>2</v>
      </c>
      <c r="D72" s="142" t="s">
        <v>38</v>
      </c>
      <c r="E72" s="142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140" t="s">
        <v>119</v>
      </c>
      <c r="D73" s="140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139" t="s">
        <v>119</v>
      </c>
      <c r="D74" s="139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139"/>
      <c r="D75" s="139"/>
      <c r="E75" s="35"/>
      <c r="F75" s="442"/>
      <c r="G75" s="442"/>
      <c r="H75" s="442"/>
      <c r="I75" s="442"/>
      <c r="J75" s="442"/>
      <c r="K75" s="443"/>
      <c r="L75" s="444"/>
      <c r="M75" s="444"/>
      <c r="N75" s="444"/>
      <c r="O75" s="444"/>
      <c r="P75" s="444"/>
      <c r="Q75" s="444"/>
      <c r="R75" s="444"/>
      <c r="S75" s="445"/>
      <c r="T75" s="446"/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139"/>
      <c r="D76" s="139"/>
      <c r="E76" s="35"/>
      <c r="F76" s="442"/>
      <c r="G76" s="442"/>
      <c r="H76" s="442"/>
      <c r="I76" s="442"/>
      <c r="J76" s="442"/>
      <c r="K76" s="443"/>
      <c r="L76" s="444"/>
      <c r="M76" s="444"/>
      <c r="N76" s="444"/>
      <c r="O76" s="444"/>
      <c r="P76" s="444"/>
      <c r="Q76" s="444"/>
      <c r="R76" s="444"/>
      <c r="S76" s="445"/>
      <c r="T76" s="446"/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139"/>
      <c r="D77" s="139"/>
      <c r="E77" s="35"/>
      <c r="F77" s="442"/>
      <c r="G77" s="442"/>
      <c r="H77" s="442"/>
      <c r="I77" s="442"/>
      <c r="J77" s="442"/>
      <c r="K77" s="443"/>
      <c r="L77" s="444"/>
      <c r="M77" s="444"/>
      <c r="N77" s="444"/>
      <c r="O77" s="444"/>
      <c r="P77" s="444"/>
      <c r="Q77" s="444"/>
      <c r="R77" s="444"/>
      <c r="S77" s="445"/>
      <c r="T77" s="446"/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139" t="s">
        <v>120</v>
      </c>
      <c r="D78" s="139"/>
      <c r="E78" s="35" t="s">
        <v>232</v>
      </c>
      <c r="F78" s="442" t="s">
        <v>233</v>
      </c>
      <c r="G78" s="442"/>
      <c r="H78" s="442"/>
      <c r="I78" s="442"/>
      <c r="J78" s="442"/>
      <c r="K78" s="443" t="s">
        <v>234</v>
      </c>
      <c r="L78" s="444"/>
      <c r="M78" s="444"/>
      <c r="N78" s="444"/>
      <c r="O78" s="444"/>
      <c r="P78" s="444"/>
      <c r="Q78" s="444"/>
      <c r="R78" s="444"/>
      <c r="S78" s="445"/>
      <c r="T78" s="446">
        <v>42917</v>
      </c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139"/>
      <c r="D79" s="139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139"/>
      <c r="D80" s="139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139"/>
      <c r="D81" s="139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290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176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F87"/>
  <sheetViews>
    <sheetView zoomScale="72" zoomScaleNormal="72" zoomScaleSheetLayoutView="70" workbookViewId="0">
      <selection activeCell="K68" sqref="K68:L6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291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151" t="s">
        <v>17</v>
      </c>
      <c r="L5" s="151" t="s">
        <v>18</v>
      </c>
      <c r="M5" s="151" t="s">
        <v>19</v>
      </c>
      <c r="N5" s="15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0.5604319991424056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132</v>
      </c>
      <c r="D7" s="55" t="s">
        <v>167</v>
      </c>
      <c r="E7" s="56" t="s">
        <v>238</v>
      </c>
      <c r="F7" s="12" t="s">
        <v>168</v>
      </c>
      <c r="G7" s="36">
        <v>1</v>
      </c>
      <c r="H7" s="38">
        <v>25</v>
      </c>
      <c r="I7" s="7">
        <v>20000</v>
      </c>
      <c r="J7" s="14">
        <v>4920</v>
      </c>
      <c r="K7" s="15">
        <f>L7+3341</f>
        <v>8256</v>
      </c>
      <c r="L7" s="15">
        <f>2484+2431</f>
        <v>4915</v>
      </c>
      <c r="M7" s="16">
        <f t="shared" si="0"/>
        <v>4915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0.99898373983739841</v>
      </c>
      <c r="AC7" s="9">
        <f t="shared" si="5"/>
        <v>1</v>
      </c>
      <c r="AD7" s="10">
        <f t="shared" si="6"/>
        <v>0.99898373983739841</v>
      </c>
      <c r="AE7" s="39">
        <f t="shared" si="7"/>
        <v>0.5604319991424056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132</v>
      </c>
      <c r="D8" s="55" t="s">
        <v>169</v>
      </c>
      <c r="E8" s="57" t="s">
        <v>170</v>
      </c>
      <c r="F8" s="12" t="s">
        <v>130</v>
      </c>
      <c r="G8" s="36">
        <v>1</v>
      </c>
      <c r="H8" s="38">
        <v>25</v>
      </c>
      <c r="I8" s="7">
        <v>20000</v>
      </c>
      <c r="J8" s="14">
        <v>4520</v>
      </c>
      <c r="K8" s="15">
        <f>L8+3500+4412</f>
        <v>12432</v>
      </c>
      <c r="L8" s="15">
        <f>2574+1946</f>
        <v>4520</v>
      </c>
      <c r="M8" s="16">
        <f t="shared" si="0"/>
        <v>4520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0.5604319991424056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239</v>
      </c>
      <c r="D9" s="55" t="s">
        <v>240</v>
      </c>
      <c r="E9" s="57" t="s">
        <v>241</v>
      </c>
      <c r="F9" s="12" t="s">
        <v>242</v>
      </c>
      <c r="G9" s="12">
        <v>32</v>
      </c>
      <c r="H9" s="13">
        <v>25</v>
      </c>
      <c r="I9" s="34">
        <v>100000</v>
      </c>
      <c r="J9" s="5">
        <v>51200</v>
      </c>
      <c r="K9" s="15">
        <f>L9+176896</f>
        <v>228000</v>
      </c>
      <c r="L9" s="15">
        <f>1597*32</f>
        <v>51104</v>
      </c>
      <c r="M9" s="16">
        <f t="shared" si="0"/>
        <v>51104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/>
      <c r="T9" s="17"/>
      <c r="U9" s="17"/>
      <c r="V9" s="18"/>
      <c r="W9" s="19">
        <v>18</v>
      </c>
      <c r="X9" s="17"/>
      <c r="Y9" s="20"/>
      <c r="Z9" s="20"/>
      <c r="AA9" s="21"/>
      <c r="AB9" s="8">
        <f t="shared" si="4"/>
        <v>0.99812500000000004</v>
      </c>
      <c r="AC9" s="9">
        <f t="shared" si="5"/>
        <v>0.25</v>
      </c>
      <c r="AD9" s="10">
        <f t="shared" si="6"/>
        <v>0.24953125000000001</v>
      </c>
      <c r="AE9" s="39">
        <f t="shared" si="7"/>
        <v>0.5604319991424056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292</v>
      </c>
      <c r="D10" s="55" t="s">
        <v>293</v>
      </c>
      <c r="E10" s="57" t="s">
        <v>294</v>
      </c>
      <c r="F10" s="12" t="s">
        <v>295</v>
      </c>
      <c r="G10" s="12">
        <v>1</v>
      </c>
      <c r="H10" s="13">
        <v>25</v>
      </c>
      <c r="I10" s="34">
        <v>600</v>
      </c>
      <c r="J10" s="14">
        <v>1390</v>
      </c>
      <c r="K10" s="15">
        <f>L10</f>
        <v>1385</v>
      </c>
      <c r="L10" s="15">
        <f>1385</f>
        <v>1385</v>
      </c>
      <c r="M10" s="16">
        <f t="shared" si="0"/>
        <v>1385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/>
      <c r="T10" s="17"/>
      <c r="U10" s="17"/>
      <c r="V10" s="18"/>
      <c r="W10" s="19">
        <v>14</v>
      </c>
      <c r="X10" s="17"/>
      <c r="Y10" s="20"/>
      <c r="Z10" s="20"/>
      <c r="AA10" s="21"/>
      <c r="AB10" s="8">
        <f t="shared" si="4"/>
        <v>0.99640287769784175</v>
      </c>
      <c r="AC10" s="9">
        <f t="shared" si="5"/>
        <v>0.41666666666666669</v>
      </c>
      <c r="AD10" s="10">
        <f t="shared" si="6"/>
        <v>0.41516786570743408</v>
      </c>
      <c r="AE10" s="39">
        <f t="shared" si="7"/>
        <v>0.5604319991424056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129</v>
      </c>
      <c r="E11" s="57" t="s">
        <v>174</v>
      </c>
      <c r="F11" s="12">
        <v>8301</v>
      </c>
      <c r="G11" s="12">
        <v>1</v>
      </c>
      <c r="H11" s="13">
        <v>25</v>
      </c>
      <c r="I11" s="34">
        <v>4000</v>
      </c>
      <c r="J11" s="14">
        <v>1020</v>
      </c>
      <c r="K11" s="15">
        <f>L11+3296+1018</f>
        <v>4314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0.5604319991424056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20000</v>
      </c>
      <c r="J12" s="14">
        <v>4860</v>
      </c>
      <c r="K12" s="15">
        <f>L12+3669+4855+2235+2780+2059+3271</f>
        <v>23721</v>
      </c>
      <c r="L12" s="15">
        <f>2531+2321</f>
        <v>4852</v>
      </c>
      <c r="M12" s="16">
        <f t="shared" si="0"/>
        <v>4852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0.99835390946502056</v>
      </c>
      <c r="AC12" s="9">
        <f t="shared" si="5"/>
        <v>1</v>
      </c>
      <c r="AD12" s="10">
        <f t="shared" si="6"/>
        <v>0.99835390946502056</v>
      </c>
      <c r="AE12" s="39">
        <f t="shared" si="7"/>
        <v>0.5604319991424056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119</v>
      </c>
      <c r="D13" s="55" t="s">
        <v>245</v>
      </c>
      <c r="E13" s="57" t="s">
        <v>246</v>
      </c>
      <c r="F13" s="12">
        <v>7301</v>
      </c>
      <c r="G13" s="12">
        <v>2</v>
      </c>
      <c r="H13" s="13">
        <v>20</v>
      </c>
      <c r="I13" s="7">
        <v>260000</v>
      </c>
      <c r="J13" s="14">
        <v>11320</v>
      </c>
      <c r="K13" s="15">
        <f>L13</f>
        <v>11312</v>
      </c>
      <c r="L13" s="15">
        <f>5656*2</f>
        <v>11312</v>
      </c>
      <c r="M13" s="16">
        <f t="shared" si="0"/>
        <v>11312</v>
      </c>
      <c r="N13" s="16">
        <v>0</v>
      </c>
      <c r="O13" s="62">
        <f t="shared" si="1"/>
        <v>0</v>
      </c>
      <c r="P13" s="42">
        <f t="shared" si="2"/>
        <v>16</v>
      </c>
      <c r="Q13" s="43">
        <f t="shared" si="3"/>
        <v>8</v>
      </c>
      <c r="R13" s="7"/>
      <c r="S13" s="6"/>
      <c r="T13" s="17">
        <v>8</v>
      </c>
      <c r="U13" s="17"/>
      <c r="V13" s="18"/>
      <c r="W13" s="19"/>
      <c r="X13" s="17"/>
      <c r="Y13" s="20"/>
      <c r="Z13" s="20"/>
      <c r="AA13" s="21"/>
      <c r="AB13" s="8">
        <f t="shared" si="4"/>
        <v>0.99929328621908131</v>
      </c>
      <c r="AC13" s="9">
        <f t="shared" si="5"/>
        <v>0.66666666666666663</v>
      </c>
      <c r="AD13" s="10">
        <f t="shared" si="6"/>
        <v>0.66619552414605421</v>
      </c>
      <c r="AE13" s="39">
        <f t="shared" si="7"/>
        <v>0.5604319991424056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119</v>
      </c>
      <c r="D14" s="55" t="s">
        <v>58</v>
      </c>
      <c r="E14" s="57" t="s">
        <v>161</v>
      </c>
      <c r="F14" s="33" t="s">
        <v>130</v>
      </c>
      <c r="G14" s="36">
        <v>1</v>
      </c>
      <c r="H14" s="38">
        <v>25</v>
      </c>
      <c r="I14" s="7">
        <v>500</v>
      </c>
      <c r="J14" s="5">
        <v>290</v>
      </c>
      <c r="K14" s="15">
        <f>L14+98</f>
        <v>388</v>
      </c>
      <c r="L14" s="15">
        <v>290</v>
      </c>
      <c r="M14" s="16">
        <f t="shared" si="0"/>
        <v>290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9">
        <f t="shared" si="7"/>
        <v>0.5604319991424056</v>
      </c>
      <c r="AF14" s="94">
        <f t="shared" si="8"/>
        <v>9</v>
      </c>
    </row>
    <row r="15" spans="1:32" ht="27" customHeight="1">
      <c r="A15" s="109">
        <v>9</v>
      </c>
      <c r="B15" s="11" t="s">
        <v>59</v>
      </c>
      <c r="C15" s="37" t="s">
        <v>119</v>
      </c>
      <c r="D15" s="55" t="s">
        <v>58</v>
      </c>
      <c r="E15" s="57" t="s">
        <v>296</v>
      </c>
      <c r="F15" s="33" t="s">
        <v>297</v>
      </c>
      <c r="G15" s="36">
        <v>1</v>
      </c>
      <c r="H15" s="38">
        <v>25</v>
      </c>
      <c r="I15" s="7">
        <v>500</v>
      </c>
      <c r="J15" s="5">
        <v>560</v>
      </c>
      <c r="K15" s="15">
        <f>L15</f>
        <v>554</v>
      </c>
      <c r="L15" s="15">
        <v>554</v>
      </c>
      <c r="M15" s="16">
        <f t="shared" ref="M15" si="10">L15-N15</f>
        <v>554</v>
      </c>
      <c r="N15" s="16">
        <v>0</v>
      </c>
      <c r="O15" s="62">
        <f t="shared" ref="O15" si="11">IF(L15=0,"0",N15/L15)</f>
        <v>0</v>
      </c>
      <c r="P15" s="42">
        <f t="shared" ref="P15" si="12">IF(L15=0,"0",(24-Q15))</f>
        <v>8</v>
      </c>
      <c r="Q15" s="43">
        <f t="shared" ref="Q15" si="13">SUM(R15:AA15)</f>
        <v>16</v>
      </c>
      <c r="R15" s="7"/>
      <c r="S15" s="6">
        <v>16</v>
      </c>
      <c r="T15" s="17"/>
      <c r="U15" s="17"/>
      <c r="V15" s="18"/>
      <c r="W15" s="19"/>
      <c r="X15" s="17"/>
      <c r="Y15" s="20"/>
      <c r="Z15" s="20"/>
      <c r="AA15" s="21"/>
      <c r="AB15" s="8">
        <f t="shared" ref="AB15" si="14">IF(J15=0,"0",(L15/J15))</f>
        <v>0.98928571428571432</v>
      </c>
      <c r="AC15" s="9">
        <f t="shared" ref="AC15" si="15">IF(P15=0,"0",(P15/24))</f>
        <v>0.33333333333333331</v>
      </c>
      <c r="AD15" s="10">
        <f t="shared" ref="AD15" si="16">AC15*AB15*(1-O15)</f>
        <v>0.32976190476190476</v>
      </c>
      <c r="AE15" s="39">
        <f t="shared" si="7"/>
        <v>0.5604319991424056</v>
      </c>
      <c r="AF15" s="94">
        <f t="shared" ref="AF15" si="17">A15</f>
        <v>9</v>
      </c>
    </row>
    <row r="16" spans="1:32" ht="27" customHeight="1">
      <c r="A16" s="109">
        <v>10</v>
      </c>
      <c r="B16" s="11" t="s">
        <v>59</v>
      </c>
      <c r="C16" s="37" t="s">
        <v>142</v>
      </c>
      <c r="D16" s="55" t="s">
        <v>143</v>
      </c>
      <c r="E16" s="57" t="s">
        <v>144</v>
      </c>
      <c r="F16" s="12" t="s">
        <v>145</v>
      </c>
      <c r="G16" s="12">
        <v>8</v>
      </c>
      <c r="H16" s="13">
        <v>25</v>
      </c>
      <c r="I16" s="34">
        <v>50000</v>
      </c>
      <c r="J16" s="5">
        <v>26530</v>
      </c>
      <c r="K16" s="15">
        <f>L16</f>
        <v>26528</v>
      </c>
      <c r="L16" s="15">
        <f>3316*8</f>
        <v>26528</v>
      </c>
      <c r="M16" s="16">
        <f t="shared" si="0"/>
        <v>26528</v>
      </c>
      <c r="N16" s="16">
        <v>0</v>
      </c>
      <c r="O16" s="62">
        <f t="shared" si="1"/>
        <v>0</v>
      </c>
      <c r="P16" s="42">
        <f t="shared" si="2"/>
        <v>12</v>
      </c>
      <c r="Q16" s="43">
        <f t="shared" si="3"/>
        <v>12</v>
      </c>
      <c r="R16" s="7"/>
      <c r="S16" s="6">
        <v>12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0.99992461364493024</v>
      </c>
      <c r="AC16" s="9">
        <f t="shared" si="5"/>
        <v>0.5</v>
      </c>
      <c r="AD16" s="10">
        <f t="shared" si="6"/>
        <v>0.49996230682246512</v>
      </c>
      <c r="AE16" s="39">
        <f t="shared" si="7"/>
        <v>0.5604319991424056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247</v>
      </c>
      <c r="D17" s="55" t="s">
        <v>248</v>
      </c>
      <c r="E17" s="56" t="s">
        <v>249</v>
      </c>
      <c r="F17" s="12">
        <v>7301</v>
      </c>
      <c r="G17" s="36" t="s">
        <v>250</v>
      </c>
      <c r="H17" s="38">
        <v>25</v>
      </c>
      <c r="I17" s="7">
        <v>20000</v>
      </c>
      <c r="J17" s="14">
        <v>7700</v>
      </c>
      <c r="K17" s="15">
        <f>L17+7607</f>
        <v>15303</v>
      </c>
      <c r="L17" s="15">
        <f>3965+3731</f>
        <v>7696</v>
      </c>
      <c r="M17" s="16">
        <f t="shared" si="0"/>
        <v>7696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0.99948051948051952</v>
      </c>
      <c r="AC17" s="9">
        <f t="shared" si="5"/>
        <v>1</v>
      </c>
      <c r="AD17" s="10">
        <f t="shared" si="6"/>
        <v>0.99948051948051952</v>
      </c>
      <c r="AE17" s="39">
        <f t="shared" si="7"/>
        <v>0.5604319991424056</v>
      </c>
      <c r="AF17" s="94">
        <f>A17</f>
        <v>11</v>
      </c>
    </row>
    <row r="18" spans="1:32" ht="27" customHeight="1">
      <c r="A18" s="109">
        <v>12</v>
      </c>
      <c r="B18" s="11" t="s">
        <v>59</v>
      </c>
      <c r="C18" s="37" t="s">
        <v>119</v>
      </c>
      <c r="D18" s="55" t="s">
        <v>153</v>
      </c>
      <c r="E18" s="56" t="s">
        <v>157</v>
      </c>
      <c r="F18" s="12">
        <v>8301</v>
      </c>
      <c r="G18" s="12">
        <v>1</v>
      </c>
      <c r="H18" s="13">
        <v>25</v>
      </c>
      <c r="I18" s="34">
        <v>800</v>
      </c>
      <c r="J18" s="5">
        <v>1441</v>
      </c>
      <c r="K18" s="15">
        <f>L18+1441</f>
        <v>1441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>
        <v>24</v>
      </c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0.5604319991424056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119</v>
      </c>
      <c r="D19" s="55" t="s">
        <v>122</v>
      </c>
      <c r="E19" s="57" t="s">
        <v>137</v>
      </c>
      <c r="F19" s="12" t="s">
        <v>155</v>
      </c>
      <c r="G19" s="12">
        <v>1</v>
      </c>
      <c r="H19" s="13">
        <v>25</v>
      </c>
      <c r="I19" s="34">
        <v>23000</v>
      </c>
      <c r="J19" s="5">
        <v>5270</v>
      </c>
      <c r="K19" s="15">
        <f>L19+2373+5342+5324+2259+3330</f>
        <v>23894</v>
      </c>
      <c r="L19" s="15">
        <f>2760+2506</f>
        <v>5266</v>
      </c>
      <c r="M19" s="16">
        <f t="shared" si="0"/>
        <v>5266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0.99924098671726758</v>
      </c>
      <c r="AC19" s="9">
        <f t="shared" si="5"/>
        <v>1</v>
      </c>
      <c r="AD19" s="10">
        <f t="shared" si="6"/>
        <v>0.99924098671726758</v>
      </c>
      <c r="AE19" s="39">
        <f t="shared" si="7"/>
        <v>0.5604319991424056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120</v>
      </c>
      <c r="D20" s="55" t="s">
        <v>58</v>
      </c>
      <c r="E20" s="57" t="s">
        <v>251</v>
      </c>
      <c r="F20" s="12" t="s">
        <v>252</v>
      </c>
      <c r="G20" s="12">
        <v>1</v>
      </c>
      <c r="H20" s="13">
        <v>25</v>
      </c>
      <c r="I20" s="34">
        <v>30000</v>
      </c>
      <c r="J20" s="5">
        <v>5050</v>
      </c>
      <c r="K20" s="15">
        <f>L20+2987</f>
        <v>8036</v>
      </c>
      <c r="L20" s="15">
        <f>2635+2414</f>
        <v>5049</v>
      </c>
      <c r="M20" s="16">
        <f t="shared" si="0"/>
        <v>5049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0.9998019801980198</v>
      </c>
      <c r="AC20" s="9">
        <f t="shared" si="5"/>
        <v>1</v>
      </c>
      <c r="AD20" s="10">
        <f t="shared" si="6"/>
        <v>0.9998019801980198</v>
      </c>
      <c r="AE20" s="39">
        <f t="shared" si="7"/>
        <v>0.5604319991424056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117</v>
      </c>
      <c r="D21" s="55"/>
      <c r="E21" s="56" t="s">
        <v>172</v>
      </c>
      <c r="F21" s="12" t="s">
        <v>118</v>
      </c>
      <c r="G21" s="12">
        <v>4</v>
      </c>
      <c r="H21" s="38">
        <v>20</v>
      </c>
      <c r="I21" s="7">
        <v>200000</v>
      </c>
      <c r="J21" s="14">
        <v>16170</v>
      </c>
      <c r="K21" s="15">
        <f>L21+51172+67944+16164</f>
        <v>135280</v>
      </c>
      <c r="L21" s="15">
        <v>0</v>
      </c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0.5604319991424056</v>
      </c>
      <c r="AF21" s="94">
        <f t="shared" si="8"/>
        <v>15</v>
      </c>
    </row>
    <row r="22" spans="1:32" ht="31.5" customHeight="1" thickBot="1">
      <c r="A22" s="382" t="s">
        <v>34</v>
      </c>
      <c r="B22" s="383"/>
      <c r="C22" s="383"/>
      <c r="D22" s="383"/>
      <c r="E22" s="383"/>
      <c r="F22" s="383"/>
      <c r="G22" s="383"/>
      <c r="H22" s="384"/>
      <c r="I22" s="25">
        <f t="shared" ref="I22:N22" si="18">SUM(I6:I21)</f>
        <v>750400</v>
      </c>
      <c r="J22" s="22">
        <f t="shared" si="18"/>
        <v>144211</v>
      </c>
      <c r="K22" s="23">
        <f t="shared" si="18"/>
        <v>502806</v>
      </c>
      <c r="L22" s="24">
        <f t="shared" si="18"/>
        <v>123471</v>
      </c>
      <c r="M22" s="23">
        <f t="shared" si="18"/>
        <v>123471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202</v>
      </c>
      <c r="Q22" s="46">
        <f t="shared" si="19"/>
        <v>182</v>
      </c>
      <c r="R22" s="26">
        <f t="shared" si="19"/>
        <v>48</v>
      </c>
      <c r="S22" s="27">
        <f t="shared" si="19"/>
        <v>28</v>
      </c>
      <c r="T22" s="27">
        <f t="shared" si="19"/>
        <v>8</v>
      </c>
      <c r="U22" s="27">
        <f t="shared" si="19"/>
        <v>0</v>
      </c>
      <c r="V22" s="28">
        <f t="shared" si="19"/>
        <v>0</v>
      </c>
      <c r="W22" s="29">
        <f t="shared" si="19"/>
        <v>98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0.79859284183638635</v>
      </c>
      <c r="AC22" s="4">
        <f>SUM(AC6:AC21)/15</f>
        <v>0.56111111111111112</v>
      </c>
      <c r="AD22" s="4">
        <f>SUM(AD6:AD21)/15</f>
        <v>0.5604319991424056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5" t="s">
        <v>46</v>
      </c>
      <c r="B49" s="385"/>
      <c r="C49" s="385"/>
      <c r="D49" s="385"/>
      <c r="E49" s="38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86" t="s">
        <v>298</v>
      </c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8"/>
      <c r="N50" s="389" t="s">
        <v>307</v>
      </c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  <c r="AA50" s="390"/>
      <c r="AB50" s="390"/>
      <c r="AC50" s="390"/>
      <c r="AD50" s="391"/>
    </row>
    <row r="51" spans="1:32" ht="27" customHeight="1">
      <c r="A51" s="392" t="s">
        <v>2</v>
      </c>
      <c r="B51" s="393"/>
      <c r="C51" s="152" t="s">
        <v>47</v>
      </c>
      <c r="D51" s="152" t="s">
        <v>48</v>
      </c>
      <c r="E51" s="152" t="s">
        <v>111</v>
      </c>
      <c r="F51" s="393" t="s">
        <v>110</v>
      </c>
      <c r="G51" s="393"/>
      <c r="H51" s="393"/>
      <c r="I51" s="393"/>
      <c r="J51" s="393"/>
      <c r="K51" s="393"/>
      <c r="L51" s="393"/>
      <c r="M51" s="394"/>
      <c r="N51" s="73" t="s">
        <v>115</v>
      </c>
      <c r="O51" s="152" t="s">
        <v>47</v>
      </c>
      <c r="P51" s="395" t="s">
        <v>48</v>
      </c>
      <c r="Q51" s="396"/>
      <c r="R51" s="395" t="s">
        <v>39</v>
      </c>
      <c r="S51" s="397"/>
      <c r="T51" s="397"/>
      <c r="U51" s="396"/>
      <c r="V51" s="395" t="s">
        <v>49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09" t="s">
        <v>254</v>
      </c>
      <c r="B52" s="410"/>
      <c r="C52" s="154" t="s">
        <v>299</v>
      </c>
      <c r="D52" s="154" t="s">
        <v>300</v>
      </c>
      <c r="E52" s="157" t="s">
        <v>301</v>
      </c>
      <c r="F52" s="411" t="s">
        <v>257</v>
      </c>
      <c r="G52" s="411"/>
      <c r="H52" s="411"/>
      <c r="I52" s="411"/>
      <c r="J52" s="411"/>
      <c r="K52" s="411"/>
      <c r="L52" s="411"/>
      <c r="M52" s="412"/>
      <c r="N52" s="153" t="s">
        <v>292</v>
      </c>
      <c r="O52" s="74" t="s">
        <v>308</v>
      </c>
      <c r="P52" s="413" t="s">
        <v>309</v>
      </c>
      <c r="Q52" s="414"/>
      <c r="R52" s="410" t="s">
        <v>310</v>
      </c>
      <c r="S52" s="410"/>
      <c r="T52" s="410"/>
      <c r="U52" s="410"/>
      <c r="V52" s="411" t="s">
        <v>311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119</v>
      </c>
      <c r="B53" s="410"/>
      <c r="C53" s="154" t="s">
        <v>181</v>
      </c>
      <c r="D53" s="154" t="s">
        <v>182</v>
      </c>
      <c r="E53" s="157" t="s">
        <v>183</v>
      </c>
      <c r="F53" s="411" t="s">
        <v>302</v>
      </c>
      <c r="G53" s="411"/>
      <c r="H53" s="411"/>
      <c r="I53" s="411"/>
      <c r="J53" s="411"/>
      <c r="K53" s="411"/>
      <c r="L53" s="411"/>
      <c r="M53" s="412"/>
      <c r="N53" s="153" t="s">
        <v>191</v>
      </c>
      <c r="O53" s="74" t="s">
        <v>312</v>
      </c>
      <c r="P53" s="410" t="s">
        <v>313</v>
      </c>
      <c r="Q53" s="410"/>
      <c r="R53" s="410" t="s">
        <v>314</v>
      </c>
      <c r="S53" s="410"/>
      <c r="T53" s="410"/>
      <c r="U53" s="410"/>
      <c r="V53" s="411" t="s">
        <v>311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303</v>
      </c>
      <c r="B54" s="410"/>
      <c r="C54" s="154" t="s">
        <v>304</v>
      </c>
      <c r="D54" s="154" t="s">
        <v>305</v>
      </c>
      <c r="E54" s="157" t="s">
        <v>296</v>
      </c>
      <c r="F54" s="411" t="s">
        <v>262</v>
      </c>
      <c r="G54" s="411"/>
      <c r="H54" s="411"/>
      <c r="I54" s="411"/>
      <c r="J54" s="411"/>
      <c r="K54" s="411"/>
      <c r="L54" s="411"/>
      <c r="M54" s="412"/>
      <c r="N54" s="153" t="s">
        <v>119</v>
      </c>
      <c r="O54" s="74" t="s">
        <v>315</v>
      </c>
      <c r="P54" s="413" t="s">
        <v>316</v>
      </c>
      <c r="Q54" s="414"/>
      <c r="R54" s="410" t="s">
        <v>317</v>
      </c>
      <c r="S54" s="410"/>
      <c r="T54" s="410"/>
      <c r="U54" s="410"/>
      <c r="V54" s="411" t="s">
        <v>318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292</v>
      </c>
      <c r="B55" s="410"/>
      <c r="C55" s="154" t="s">
        <v>306</v>
      </c>
      <c r="D55" s="154" t="s">
        <v>293</v>
      </c>
      <c r="E55" s="157" t="s">
        <v>294</v>
      </c>
      <c r="F55" s="411" t="s">
        <v>262</v>
      </c>
      <c r="G55" s="411"/>
      <c r="H55" s="411"/>
      <c r="I55" s="411"/>
      <c r="J55" s="411"/>
      <c r="K55" s="411"/>
      <c r="L55" s="411"/>
      <c r="M55" s="412"/>
      <c r="N55" s="153" t="s">
        <v>292</v>
      </c>
      <c r="O55" s="74" t="s">
        <v>308</v>
      </c>
      <c r="P55" s="413" t="s">
        <v>319</v>
      </c>
      <c r="Q55" s="414"/>
      <c r="R55" s="410" t="s">
        <v>320</v>
      </c>
      <c r="S55" s="410"/>
      <c r="T55" s="410"/>
      <c r="U55" s="410"/>
      <c r="V55" s="411" t="s">
        <v>311</v>
      </c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119</v>
      </c>
      <c r="B56" s="410"/>
      <c r="C56" s="154" t="s">
        <v>272</v>
      </c>
      <c r="D56" s="154" t="s">
        <v>245</v>
      </c>
      <c r="E56" s="157" t="s">
        <v>246</v>
      </c>
      <c r="F56" s="411" t="s">
        <v>302</v>
      </c>
      <c r="G56" s="411"/>
      <c r="H56" s="411"/>
      <c r="I56" s="411"/>
      <c r="J56" s="411"/>
      <c r="K56" s="411"/>
      <c r="L56" s="411"/>
      <c r="M56" s="412"/>
      <c r="N56" s="153" t="s">
        <v>292</v>
      </c>
      <c r="O56" s="74" t="s">
        <v>308</v>
      </c>
      <c r="P56" s="413" t="s">
        <v>309</v>
      </c>
      <c r="Q56" s="414"/>
      <c r="R56" s="410" t="s">
        <v>321</v>
      </c>
      <c r="S56" s="410"/>
      <c r="T56" s="410"/>
      <c r="U56" s="410"/>
      <c r="V56" s="411" t="s">
        <v>311</v>
      </c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/>
      <c r="B57" s="410"/>
      <c r="C57" s="154"/>
      <c r="D57" s="154"/>
      <c r="E57" s="157"/>
      <c r="F57" s="411"/>
      <c r="G57" s="411"/>
      <c r="H57" s="411"/>
      <c r="I57" s="411"/>
      <c r="J57" s="411"/>
      <c r="K57" s="411"/>
      <c r="L57" s="411"/>
      <c r="M57" s="412"/>
      <c r="N57" s="153"/>
      <c r="O57" s="74"/>
      <c r="P57" s="410"/>
      <c r="Q57" s="410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09"/>
      <c r="B58" s="410"/>
      <c r="C58" s="154"/>
      <c r="D58" s="154"/>
      <c r="E58" s="157"/>
      <c r="F58" s="411"/>
      <c r="G58" s="411"/>
      <c r="H58" s="411"/>
      <c r="I58" s="411"/>
      <c r="J58" s="411"/>
      <c r="K58" s="411"/>
      <c r="L58" s="411"/>
      <c r="M58" s="412"/>
      <c r="N58" s="153"/>
      <c r="O58" s="74"/>
      <c r="P58" s="413"/>
      <c r="Q58" s="414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19"/>
      <c r="B59" s="420"/>
      <c r="C59" s="157"/>
      <c r="D59" s="154"/>
      <c r="E59" s="157"/>
      <c r="F59" s="411"/>
      <c r="G59" s="411"/>
      <c r="H59" s="411"/>
      <c r="I59" s="411"/>
      <c r="J59" s="411"/>
      <c r="K59" s="411"/>
      <c r="L59" s="411"/>
      <c r="M59" s="412"/>
      <c r="N59" s="153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</row>
    <row r="60" spans="1:32" ht="27" customHeight="1">
      <c r="A60" s="409"/>
      <c r="B60" s="410"/>
      <c r="C60" s="154"/>
      <c r="D60" s="154"/>
      <c r="E60" s="154"/>
      <c r="F60" s="411"/>
      <c r="G60" s="411"/>
      <c r="H60" s="411"/>
      <c r="I60" s="411"/>
      <c r="J60" s="411"/>
      <c r="K60" s="411"/>
      <c r="L60" s="411"/>
      <c r="M60" s="412"/>
      <c r="N60" s="153"/>
      <c r="O60" s="74"/>
      <c r="P60" s="410"/>
      <c r="Q60" s="410"/>
      <c r="R60" s="410"/>
      <c r="S60" s="410"/>
      <c r="T60" s="410"/>
      <c r="U60" s="410"/>
      <c r="V60" s="411"/>
      <c r="W60" s="411"/>
      <c r="X60" s="411"/>
      <c r="Y60" s="411"/>
      <c r="Z60" s="411"/>
      <c r="AA60" s="411"/>
      <c r="AB60" s="411"/>
      <c r="AC60" s="411"/>
      <c r="AD60" s="412"/>
      <c r="AF60" s="94">
        <f>8*3000</f>
        <v>24000</v>
      </c>
    </row>
    <row r="61" spans="1:32" ht="27" customHeight="1" thickBot="1">
      <c r="A61" s="415"/>
      <c r="B61" s="416"/>
      <c r="C61" s="156"/>
      <c r="D61" s="156"/>
      <c r="E61" s="156"/>
      <c r="F61" s="417"/>
      <c r="G61" s="417"/>
      <c r="H61" s="417"/>
      <c r="I61" s="417"/>
      <c r="J61" s="417"/>
      <c r="K61" s="417"/>
      <c r="L61" s="417"/>
      <c r="M61" s="418"/>
      <c r="N61" s="155"/>
      <c r="O61" s="121"/>
      <c r="P61" s="416"/>
      <c r="Q61" s="416"/>
      <c r="R61" s="416"/>
      <c r="S61" s="416"/>
      <c r="T61" s="416"/>
      <c r="U61" s="416"/>
      <c r="V61" s="417"/>
      <c r="W61" s="417"/>
      <c r="X61" s="417"/>
      <c r="Y61" s="417"/>
      <c r="Z61" s="417"/>
      <c r="AA61" s="417"/>
      <c r="AB61" s="417"/>
      <c r="AC61" s="417"/>
      <c r="AD61" s="418"/>
      <c r="AF61" s="94">
        <f>16*3000</f>
        <v>48000</v>
      </c>
    </row>
    <row r="62" spans="1:32" ht="27.75" thickBot="1">
      <c r="A62" s="421" t="s">
        <v>322</v>
      </c>
      <c r="B62" s="421"/>
      <c r="C62" s="421"/>
      <c r="D62" s="421"/>
      <c r="E62" s="42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2" t="s">
        <v>116</v>
      </c>
      <c r="B63" s="423"/>
      <c r="C63" s="158" t="s">
        <v>2</v>
      </c>
      <c r="D63" s="158" t="s">
        <v>38</v>
      </c>
      <c r="E63" s="158" t="s">
        <v>3</v>
      </c>
      <c r="F63" s="423" t="s">
        <v>113</v>
      </c>
      <c r="G63" s="423"/>
      <c r="H63" s="423"/>
      <c r="I63" s="423"/>
      <c r="J63" s="423"/>
      <c r="K63" s="423" t="s">
        <v>40</v>
      </c>
      <c r="L63" s="423"/>
      <c r="M63" s="158" t="s">
        <v>41</v>
      </c>
      <c r="N63" s="423" t="s">
        <v>42</v>
      </c>
      <c r="O63" s="423"/>
      <c r="P63" s="424" t="s">
        <v>43</v>
      </c>
      <c r="Q63" s="425"/>
      <c r="R63" s="424" t="s">
        <v>44</v>
      </c>
      <c r="S63" s="426"/>
      <c r="T63" s="426"/>
      <c r="U63" s="426"/>
      <c r="V63" s="426"/>
      <c r="W63" s="426"/>
      <c r="X63" s="426"/>
      <c r="Y63" s="426"/>
      <c r="Z63" s="426"/>
      <c r="AA63" s="425"/>
      <c r="AB63" s="423" t="s">
        <v>45</v>
      </c>
      <c r="AC63" s="423"/>
      <c r="AD63" s="427"/>
      <c r="AF63" s="94">
        <f>SUM(AF60:AF62)</f>
        <v>96000</v>
      </c>
    </row>
    <row r="64" spans="1:32" ht="25.5" customHeight="1">
      <c r="A64" s="428">
        <v>1</v>
      </c>
      <c r="B64" s="429"/>
      <c r="C64" s="124" t="s">
        <v>119</v>
      </c>
      <c r="D64" s="161"/>
      <c r="E64" s="159" t="s">
        <v>323</v>
      </c>
      <c r="F64" s="430" t="s">
        <v>324</v>
      </c>
      <c r="G64" s="431"/>
      <c r="H64" s="431"/>
      <c r="I64" s="431"/>
      <c r="J64" s="431"/>
      <c r="K64" s="431" t="s">
        <v>325</v>
      </c>
      <c r="L64" s="431"/>
      <c r="M64" s="54" t="s">
        <v>138</v>
      </c>
      <c r="N64" s="431">
        <v>5</v>
      </c>
      <c r="O64" s="431"/>
      <c r="P64" s="432"/>
      <c r="Q64" s="432"/>
      <c r="R64" s="411" t="s">
        <v>326</v>
      </c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2</v>
      </c>
      <c r="B65" s="429"/>
      <c r="C65" s="124"/>
      <c r="D65" s="161"/>
      <c r="E65" s="159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3</v>
      </c>
      <c r="B66" s="429"/>
      <c r="C66" s="124"/>
      <c r="D66" s="161"/>
      <c r="E66" s="159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4</v>
      </c>
      <c r="B67" s="429"/>
      <c r="C67" s="124"/>
      <c r="D67" s="161"/>
      <c r="E67" s="159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5</v>
      </c>
      <c r="B68" s="429"/>
      <c r="C68" s="124"/>
      <c r="D68" s="161"/>
      <c r="E68" s="159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6</v>
      </c>
      <c r="B69" s="429"/>
      <c r="C69" s="124"/>
      <c r="D69" s="161"/>
      <c r="E69" s="159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7</v>
      </c>
      <c r="B70" s="429"/>
      <c r="C70" s="124"/>
      <c r="D70" s="161"/>
      <c r="E70" s="159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5.5" customHeight="1">
      <c r="A71" s="428">
        <v>8</v>
      </c>
      <c r="B71" s="429"/>
      <c r="C71" s="124"/>
      <c r="D71" s="161"/>
      <c r="E71" s="159"/>
      <c r="F71" s="430"/>
      <c r="G71" s="431"/>
      <c r="H71" s="431"/>
      <c r="I71" s="431"/>
      <c r="J71" s="431"/>
      <c r="K71" s="431"/>
      <c r="L71" s="431"/>
      <c r="M71" s="54"/>
      <c r="N71" s="431"/>
      <c r="O71" s="431"/>
      <c r="P71" s="432"/>
      <c r="Q71" s="432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31"/>
      <c r="AC71" s="431"/>
      <c r="AD71" s="433"/>
      <c r="AF71" s="53"/>
    </row>
    <row r="72" spans="1:32" ht="26.25" customHeight="1" thickBot="1">
      <c r="A72" s="434" t="s">
        <v>327</v>
      </c>
      <c r="B72" s="434"/>
      <c r="C72" s="434"/>
      <c r="D72" s="434"/>
      <c r="E72" s="43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35" t="s">
        <v>116</v>
      </c>
      <c r="B73" s="436"/>
      <c r="C73" s="160" t="s">
        <v>2</v>
      </c>
      <c r="D73" s="160" t="s">
        <v>38</v>
      </c>
      <c r="E73" s="160" t="s">
        <v>3</v>
      </c>
      <c r="F73" s="436" t="s">
        <v>39</v>
      </c>
      <c r="G73" s="436"/>
      <c r="H73" s="436"/>
      <c r="I73" s="436"/>
      <c r="J73" s="436"/>
      <c r="K73" s="437" t="s">
        <v>60</v>
      </c>
      <c r="L73" s="438"/>
      <c r="M73" s="438"/>
      <c r="N73" s="438"/>
      <c r="O73" s="438"/>
      <c r="P73" s="438"/>
      <c r="Q73" s="438"/>
      <c r="R73" s="438"/>
      <c r="S73" s="439"/>
      <c r="T73" s="436" t="s">
        <v>50</v>
      </c>
      <c r="U73" s="436"/>
      <c r="V73" s="437" t="s">
        <v>51</v>
      </c>
      <c r="W73" s="439"/>
      <c r="X73" s="438" t="s">
        <v>52</v>
      </c>
      <c r="Y73" s="438"/>
      <c r="Z73" s="438"/>
      <c r="AA73" s="438"/>
      <c r="AB73" s="438"/>
      <c r="AC73" s="438"/>
      <c r="AD73" s="440"/>
      <c r="AF73" s="53"/>
    </row>
    <row r="74" spans="1:32" ht="33.75" customHeight="1">
      <c r="A74" s="449">
        <v>1</v>
      </c>
      <c r="B74" s="450"/>
      <c r="C74" s="162" t="s">
        <v>119</v>
      </c>
      <c r="D74" s="162"/>
      <c r="E74" s="71" t="s">
        <v>127</v>
      </c>
      <c r="F74" s="451" t="s">
        <v>128</v>
      </c>
      <c r="G74" s="452"/>
      <c r="H74" s="452"/>
      <c r="I74" s="452"/>
      <c r="J74" s="453"/>
      <c r="K74" s="454" t="s">
        <v>121</v>
      </c>
      <c r="L74" s="455"/>
      <c r="M74" s="455"/>
      <c r="N74" s="455"/>
      <c r="O74" s="455"/>
      <c r="P74" s="455"/>
      <c r="Q74" s="455"/>
      <c r="R74" s="455"/>
      <c r="S74" s="456"/>
      <c r="T74" s="457">
        <v>42901</v>
      </c>
      <c r="U74" s="458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1">
        <f>A74+1</f>
        <v>2</v>
      </c>
      <c r="B75" s="442"/>
      <c r="C75" s="161" t="s">
        <v>119</v>
      </c>
      <c r="D75" s="161"/>
      <c r="E75" s="35" t="s">
        <v>124</v>
      </c>
      <c r="F75" s="442" t="s">
        <v>125</v>
      </c>
      <c r="G75" s="442"/>
      <c r="H75" s="442"/>
      <c r="I75" s="442"/>
      <c r="J75" s="442"/>
      <c r="K75" s="443" t="s">
        <v>126</v>
      </c>
      <c r="L75" s="444"/>
      <c r="M75" s="444"/>
      <c r="N75" s="444"/>
      <c r="O75" s="444"/>
      <c r="P75" s="444"/>
      <c r="Q75" s="444"/>
      <c r="R75" s="444"/>
      <c r="S75" s="445"/>
      <c r="T75" s="446">
        <v>42867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ref="A76:A82" si="20">A75+1</f>
        <v>3</v>
      </c>
      <c r="B76" s="442"/>
      <c r="C76" s="161" t="s">
        <v>292</v>
      </c>
      <c r="D76" s="161"/>
      <c r="E76" s="35" t="s">
        <v>328</v>
      </c>
      <c r="F76" s="442" t="s">
        <v>329</v>
      </c>
      <c r="G76" s="442"/>
      <c r="H76" s="442"/>
      <c r="I76" s="442"/>
      <c r="J76" s="442"/>
      <c r="K76" s="443" t="s">
        <v>330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20"/>
        <v>4</v>
      </c>
      <c r="B77" s="442"/>
      <c r="C77" s="161" t="s">
        <v>292</v>
      </c>
      <c r="D77" s="161"/>
      <c r="E77" s="35" t="s">
        <v>323</v>
      </c>
      <c r="F77" s="442" t="s">
        <v>294</v>
      </c>
      <c r="G77" s="442"/>
      <c r="H77" s="442"/>
      <c r="I77" s="442"/>
      <c r="J77" s="442"/>
      <c r="K77" s="443" t="s">
        <v>331</v>
      </c>
      <c r="L77" s="444"/>
      <c r="M77" s="444"/>
      <c r="N77" s="444"/>
      <c r="O77" s="444"/>
      <c r="P77" s="444"/>
      <c r="Q77" s="444"/>
      <c r="R77" s="444"/>
      <c r="S77" s="445"/>
      <c r="T77" s="446">
        <v>42920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20"/>
        <v>5</v>
      </c>
      <c r="B78" s="442"/>
      <c r="C78" s="161"/>
      <c r="D78" s="161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20"/>
        <v>6</v>
      </c>
      <c r="B79" s="442"/>
      <c r="C79" s="161"/>
      <c r="D79" s="161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20"/>
        <v>7</v>
      </c>
      <c r="B80" s="442"/>
      <c r="C80" s="161"/>
      <c r="D80" s="161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20"/>
        <v>8</v>
      </c>
      <c r="B81" s="442"/>
      <c r="C81" s="161"/>
      <c r="D81" s="161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0" customHeight="1">
      <c r="A82" s="441">
        <f t="shared" si="20"/>
        <v>9</v>
      </c>
      <c r="B82" s="442"/>
      <c r="C82" s="161"/>
      <c r="D82" s="161"/>
      <c r="E82" s="35"/>
      <c r="F82" s="442"/>
      <c r="G82" s="442"/>
      <c r="H82" s="442"/>
      <c r="I82" s="442"/>
      <c r="J82" s="442"/>
      <c r="K82" s="443"/>
      <c r="L82" s="444"/>
      <c r="M82" s="444"/>
      <c r="N82" s="444"/>
      <c r="O82" s="444"/>
      <c r="P82" s="444"/>
      <c r="Q82" s="444"/>
      <c r="R82" s="444"/>
      <c r="S82" s="445"/>
      <c r="T82" s="446"/>
      <c r="U82" s="446"/>
      <c r="V82" s="446"/>
      <c r="W82" s="446"/>
      <c r="X82" s="447"/>
      <c r="Y82" s="447"/>
      <c r="Z82" s="447"/>
      <c r="AA82" s="447"/>
      <c r="AB82" s="447"/>
      <c r="AC82" s="447"/>
      <c r="AD82" s="448"/>
      <c r="AF82" s="53"/>
    </row>
    <row r="83" spans="1:32" ht="36" thickBot="1">
      <c r="A83" s="434" t="s">
        <v>332</v>
      </c>
      <c r="B83" s="434"/>
      <c r="C83" s="434"/>
      <c r="D83" s="434"/>
      <c r="E83" s="43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2" t="s">
        <v>37</v>
      </c>
      <c r="B84" s="463"/>
      <c r="C84" s="463" t="s">
        <v>53</v>
      </c>
      <c r="D84" s="463"/>
      <c r="E84" s="463" t="s">
        <v>54</v>
      </c>
      <c r="F84" s="463"/>
      <c r="G84" s="463"/>
      <c r="H84" s="463"/>
      <c r="I84" s="463"/>
      <c r="J84" s="463"/>
      <c r="K84" s="463" t="s">
        <v>55</v>
      </c>
      <c r="L84" s="463"/>
      <c r="M84" s="463"/>
      <c r="N84" s="463"/>
      <c r="O84" s="463"/>
      <c r="P84" s="463"/>
      <c r="Q84" s="463"/>
      <c r="R84" s="463"/>
      <c r="S84" s="463"/>
      <c r="T84" s="463" t="s">
        <v>56</v>
      </c>
      <c r="U84" s="463"/>
      <c r="V84" s="463" t="s">
        <v>57</v>
      </c>
      <c r="W84" s="463"/>
      <c r="X84" s="463"/>
      <c r="Y84" s="463" t="s">
        <v>52</v>
      </c>
      <c r="Z84" s="463"/>
      <c r="AA84" s="463"/>
      <c r="AB84" s="463"/>
      <c r="AC84" s="463"/>
      <c r="AD84" s="464"/>
      <c r="AF84" s="53"/>
    </row>
    <row r="85" spans="1:32" ht="30.75" customHeight="1">
      <c r="A85" s="449">
        <v>1</v>
      </c>
      <c r="B85" s="450"/>
      <c r="C85" s="465">
        <v>1</v>
      </c>
      <c r="D85" s="465"/>
      <c r="E85" s="465" t="s">
        <v>149</v>
      </c>
      <c r="F85" s="465"/>
      <c r="G85" s="465"/>
      <c r="H85" s="465"/>
      <c r="I85" s="465"/>
      <c r="J85" s="465"/>
      <c r="K85" s="465" t="s">
        <v>150</v>
      </c>
      <c r="L85" s="465"/>
      <c r="M85" s="465"/>
      <c r="N85" s="465"/>
      <c r="O85" s="465"/>
      <c r="P85" s="465"/>
      <c r="Q85" s="465"/>
      <c r="R85" s="465"/>
      <c r="S85" s="465"/>
      <c r="T85" s="465" t="s">
        <v>151</v>
      </c>
      <c r="U85" s="465"/>
      <c r="V85" s="466">
        <v>1500000</v>
      </c>
      <c r="W85" s="466"/>
      <c r="X85" s="466"/>
      <c r="Y85" s="467" t="s">
        <v>152</v>
      </c>
      <c r="Z85" s="467"/>
      <c r="AA85" s="467"/>
      <c r="AB85" s="467"/>
      <c r="AC85" s="467"/>
      <c r="AD85" s="468"/>
      <c r="AF85" s="53"/>
    </row>
    <row r="86" spans="1:32" ht="30.75" customHeight="1">
      <c r="A86" s="441">
        <v>2</v>
      </c>
      <c r="B86" s="442"/>
      <c r="C86" s="476">
        <v>10</v>
      </c>
      <c r="D86" s="476"/>
      <c r="E86" s="476" t="s">
        <v>162</v>
      </c>
      <c r="F86" s="476"/>
      <c r="G86" s="476"/>
      <c r="H86" s="476"/>
      <c r="I86" s="476"/>
      <c r="J86" s="476"/>
      <c r="K86" s="476" t="s">
        <v>163</v>
      </c>
      <c r="L86" s="476"/>
      <c r="M86" s="476"/>
      <c r="N86" s="476"/>
      <c r="O86" s="476"/>
      <c r="P86" s="476"/>
      <c r="Q86" s="476"/>
      <c r="R86" s="476"/>
      <c r="S86" s="476"/>
      <c r="T86" s="477" t="s">
        <v>164</v>
      </c>
      <c r="U86" s="477"/>
      <c r="V86" s="478">
        <v>350000</v>
      </c>
      <c r="W86" s="478"/>
      <c r="X86" s="478"/>
      <c r="Y86" s="469" t="s">
        <v>176</v>
      </c>
      <c r="Z86" s="469"/>
      <c r="AA86" s="469"/>
      <c r="AB86" s="469"/>
      <c r="AC86" s="469"/>
      <c r="AD86" s="470"/>
      <c r="AF86" s="53"/>
    </row>
    <row r="87" spans="1:32" ht="30.75" customHeight="1" thickBot="1">
      <c r="A87" s="471">
        <v>3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3"/>
      <c r="W87" s="473"/>
      <c r="X87" s="473"/>
      <c r="Y87" s="474"/>
      <c r="Z87" s="474"/>
      <c r="AA87" s="474"/>
      <c r="AB87" s="474"/>
      <c r="AC87" s="474"/>
      <c r="AD87" s="47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F88"/>
  <sheetViews>
    <sheetView zoomScale="72" zoomScaleNormal="72" zoomScaleSheetLayoutView="70" workbookViewId="0">
      <selection activeCell="L8" sqref="L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333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174" t="s">
        <v>17</v>
      </c>
      <c r="L5" s="174" t="s">
        <v>18</v>
      </c>
      <c r="M5" s="174" t="s">
        <v>19</v>
      </c>
      <c r="N5" s="17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>
        <v>0</v>
      </c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0.47437358973058885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238</v>
      </c>
      <c r="F7" s="12" t="s">
        <v>168</v>
      </c>
      <c r="G7" s="36">
        <v>1</v>
      </c>
      <c r="H7" s="38">
        <v>25</v>
      </c>
      <c r="I7" s="7">
        <v>20000</v>
      </c>
      <c r="J7" s="14">
        <v>4920</v>
      </c>
      <c r="K7" s="15">
        <f>L7+3341+4915</f>
        <v>8256</v>
      </c>
      <c r="L7" s="15">
        <v>0</v>
      </c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>
        <v>24</v>
      </c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0.47437358973058885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170</v>
      </c>
      <c r="F8" s="12" t="s">
        <v>130</v>
      </c>
      <c r="G8" s="36">
        <v>1</v>
      </c>
      <c r="H8" s="38">
        <v>25</v>
      </c>
      <c r="I8" s="7">
        <v>20000</v>
      </c>
      <c r="J8" s="14">
        <v>4690</v>
      </c>
      <c r="K8" s="15">
        <f>L8+3500+4412+4520</f>
        <v>17122</v>
      </c>
      <c r="L8" s="15">
        <f>2320+2370</f>
        <v>4690</v>
      </c>
      <c r="M8" s="16">
        <f t="shared" si="0"/>
        <v>4690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0.47437358973058885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239</v>
      </c>
      <c r="D9" s="55" t="s">
        <v>334</v>
      </c>
      <c r="E9" s="57" t="s">
        <v>335</v>
      </c>
      <c r="F9" s="12" t="s">
        <v>336</v>
      </c>
      <c r="G9" s="12">
        <v>1</v>
      </c>
      <c r="H9" s="13">
        <v>25</v>
      </c>
      <c r="I9" s="34">
        <v>6000</v>
      </c>
      <c r="J9" s="5">
        <v>4880</v>
      </c>
      <c r="K9" s="15">
        <f>L9</f>
        <v>4873</v>
      </c>
      <c r="L9" s="15">
        <f>2001+2872</f>
        <v>4873</v>
      </c>
      <c r="M9" s="16">
        <f t="shared" si="0"/>
        <v>4873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0.99856557377049182</v>
      </c>
      <c r="AC9" s="9">
        <f t="shared" si="5"/>
        <v>0.95833333333333337</v>
      </c>
      <c r="AD9" s="10">
        <f t="shared" si="6"/>
        <v>0.95695867486338804</v>
      </c>
      <c r="AE9" s="39">
        <f t="shared" si="7"/>
        <v>0.47437358973058885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292</v>
      </c>
      <c r="D10" s="55" t="s">
        <v>293</v>
      </c>
      <c r="E10" s="57" t="s">
        <v>294</v>
      </c>
      <c r="F10" s="12" t="s">
        <v>295</v>
      </c>
      <c r="G10" s="12">
        <v>1</v>
      </c>
      <c r="H10" s="13">
        <v>25</v>
      </c>
      <c r="I10" s="34">
        <v>600</v>
      </c>
      <c r="J10" s="14">
        <v>1390</v>
      </c>
      <c r="K10" s="15">
        <f>L10+1385</f>
        <v>1385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0.47437358973058885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129</v>
      </c>
      <c r="E11" s="57" t="s">
        <v>174</v>
      </c>
      <c r="F11" s="12">
        <v>8301</v>
      </c>
      <c r="G11" s="12">
        <v>1</v>
      </c>
      <c r="H11" s="13">
        <v>25</v>
      </c>
      <c r="I11" s="34">
        <v>4000</v>
      </c>
      <c r="J11" s="14">
        <v>1020</v>
      </c>
      <c r="K11" s="15">
        <f>L11+3296+1018</f>
        <v>4314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0.47437358973058885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20000</v>
      </c>
      <c r="J12" s="14">
        <v>4900</v>
      </c>
      <c r="K12" s="15">
        <f>L12+3669+4855+2235+2780+2059+3271+4852</f>
        <v>28620</v>
      </c>
      <c r="L12" s="15">
        <f>2567+2332</f>
        <v>4899</v>
      </c>
      <c r="M12" s="16">
        <f t="shared" si="0"/>
        <v>4899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0.99979591836734694</v>
      </c>
      <c r="AC12" s="9">
        <f t="shared" si="5"/>
        <v>1</v>
      </c>
      <c r="AD12" s="10">
        <f t="shared" si="6"/>
        <v>0.99979591836734694</v>
      </c>
      <c r="AE12" s="39">
        <f t="shared" si="7"/>
        <v>0.47437358973058885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119</v>
      </c>
      <c r="D13" s="55" t="s">
        <v>245</v>
      </c>
      <c r="E13" s="57" t="s">
        <v>246</v>
      </c>
      <c r="F13" s="12">
        <v>7301</v>
      </c>
      <c r="G13" s="12">
        <v>2</v>
      </c>
      <c r="H13" s="13">
        <v>20</v>
      </c>
      <c r="I13" s="7">
        <v>260000</v>
      </c>
      <c r="J13" s="14">
        <v>12750</v>
      </c>
      <c r="K13" s="15">
        <f>L13+11312</f>
        <v>24054</v>
      </c>
      <c r="L13" s="15">
        <f>6371*2</f>
        <v>12742</v>
      </c>
      <c r="M13" s="16">
        <f t="shared" si="0"/>
        <v>12742</v>
      </c>
      <c r="N13" s="16">
        <v>0</v>
      </c>
      <c r="O13" s="62">
        <f t="shared" si="1"/>
        <v>0</v>
      </c>
      <c r="P13" s="42">
        <f t="shared" si="2"/>
        <v>11</v>
      </c>
      <c r="Q13" s="43">
        <f t="shared" si="3"/>
        <v>13</v>
      </c>
      <c r="R13" s="7"/>
      <c r="S13" s="6">
        <v>13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0.99937254901960781</v>
      </c>
      <c r="AC13" s="9">
        <f t="shared" si="5"/>
        <v>0.45833333333333331</v>
      </c>
      <c r="AD13" s="10">
        <f t="shared" si="6"/>
        <v>0.45804575163398692</v>
      </c>
      <c r="AE13" s="39">
        <f t="shared" si="7"/>
        <v>0.47437358973058885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120</v>
      </c>
      <c r="D14" s="55" t="s">
        <v>167</v>
      </c>
      <c r="E14" s="57" t="s">
        <v>337</v>
      </c>
      <c r="F14" s="33" t="s">
        <v>338</v>
      </c>
      <c r="G14" s="36">
        <v>1</v>
      </c>
      <c r="H14" s="38">
        <v>25</v>
      </c>
      <c r="I14" s="7">
        <v>300</v>
      </c>
      <c r="J14" s="5">
        <v>350</v>
      </c>
      <c r="K14" s="15">
        <f>L14</f>
        <v>344</v>
      </c>
      <c r="L14" s="15">
        <v>344</v>
      </c>
      <c r="M14" s="16">
        <f t="shared" si="0"/>
        <v>344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/>
      <c r="T14" s="17"/>
      <c r="U14" s="17"/>
      <c r="V14" s="18"/>
      <c r="W14" s="19">
        <v>20</v>
      </c>
      <c r="X14" s="17"/>
      <c r="Y14" s="20"/>
      <c r="Z14" s="20"/>
      <c r="AA14" s="21"/>
      <c r="AB14" s="8">
        <f t="shared" si="4"/>
        <v>0.98285714285714287</v>
      </c>
      <c r="AC14" s="9">
        <f t="shared" si="5"/>
        <v>0.16666666666666666</v>
      </c>
      <c r="AD14" s="10">
        <f t="shared" si="6"/>
        <v>0.16380952380952379</v>
      </c>
      <c r="AE14" s="39">
        <f t="shared" si="7"/>
        <v>0.47437358973058885</v>
      </c>
      <c r="AF14" s="94">
        <f t="shared" si="8"/>
        <v>9</v>
      </c>
    </row>
    <row r="15" spans="1:32" ht="27" customHeight="1">
      <c r="A15" s="109">
        <v>9</v>
      </c>
      <c r="B15" s="11" t="s">
        <v>59</v>
      </c>
      <c r="C15" s="37" t="s">
        <v>120</v>
      </c>
      <c r="D15" s="55" t="s">
        <v>167</v>
      </c>
      <c r="E15" s="57" t="s">
        <v>340</v>
      </c>
      <c r="F15" s="33" t="s">
        <v>338</v>
      </c>
      <c r="G15" s="36">
        <v>1</v>
      </c>
      <c r="H15" s="38">
        <v>25</v>
      </c>
      <c r="I15" s="7">
        <v>10000</v>
      </c>
      <c r="J15" s="5">
        <v>2220</v>
      </c>
      <c r="K15" s="15">
        <f>L15</f>
        <v>2215</v>
      </c>
      <c r="L15" s="15">
        <v>2215</v>
      </c>
      <c r="M15" s="16">
        <f t="shared" ref="M15" si="10">L15-N15</f>
        <v>2215</v>
      </c>
      <c r="N15" s="16">
        <v>0</v>
      </c>
      <c r="O15" s="62">
        <f t="shared" ref="O15" si="11">IF(L15=0,"0",N15/L15)</f>
        <v>0</v>
      </c>
      <c r="P15" s="42">
        <f t="shared" ref="P15" si="12">IF(L15=0,"0",(24-Q15))</f>
        <v>12</v>
      </c>
      <c r="Q15" s="43">
        <f t="shared" ref="Q15" si="13">SUM(R15:AA15)</f>
        <v>12</v>
      </c>
      <c r="R15" s="7"/>
      <c r="S15" s="6"/>
      <c r="T15" s="17">
        <v>12</v>
      </c>
      <c r="U15" s="17"/>
      <c r="V15" s="18"/>
      <c r="W15" s="19"/>
      <c r="X15" s="17"/>
      <c r="Y15" s="20"/>
      <c r="Z15" s="20"/>
      <c r="AA15" s="21"/>
      <c r="AB15" s="8">
        <f t="shared" ref="AB15" si="14">IF(J15=0,"0",(L15/J15))</f>
        <v>0.99774774774774777</v>
      </c>
      <c r="AC15" s="9">
        <f t="shared" ref="AC15" si="15">IF(P15=0,"0",(P15/24))</f>
        <v>0.5</v>
      </c>
      <c r="AD15" s="10">
        <f t="shared" ref="AD15" si="16">AC15*AB15*(1-O15)</f>
        <v>0.49887387387387389</v>
      </c>
      <c r="AE15" s="39">
        <f t="shared" si="7"/>
        <v>0.47437358973058885</v>
      </c>
      <c r="AF15" s="94">
        <f t="shared" ref="AF15" si="17">A15</f>
        <v>9</v>
      </c>
    </row>
    <row r="16" spans="1:32" ht="27" customHeight="1">
      <c r="A16" s="109">
        <v>10</v>
      </c>
      <c r="B16" s="11" t="s">
        <v>59</v>
      </c>
      <c r="C16" s="37" t="s">
        <v>142</v>
      </c>
      <c r="D16" s="55" t="s">
        <v>143</v>
      </c>
      <c r="E16" s="57" t="s">
        <v>144</v>
      </c>
      <c r="F16" s="12" t="s">
        <v>145</v>
      </c>
      <c r="G16" s="12">
        <v>8</v>
      </c>
      <c r="H16" s="13">
        <v>25</v>
      </c>
      <c r="I16" s="34">
        <v>50000</v>
      </c>
      <c r="J16" s="5">
        <v>7480</v>
      </c>
      <c r="K16" s="15">
        <f>L16+26528</f>
        <v>34004</v>
      </c>
      <c r="L16" s="15">
        <f>1246*6</f>
        <v>7476</v>
      </c>
      <c r="M16" s="16">
        <f t="shared" si="0"/>
        <v>7476</v>
      </c>
      <c r="N16" s="16">
        <v>0</v>
      </c>
      <c r="O16" s="62">
        <f t="shared" si="1"/>
        <v>0</v>
      </c>
      <c r="P16" s="42">
        <f t="shared" si="2"/>
        <v>11</v>
      </c>
      <c r="Q16" s="43">
        <f t="shared" si="3"/>
        <v>13</v>
      </c>
      <c r="R16" s="7"/>
      <c r="S16" s="6"/>
      <c r="T16" s="17"/>
      <c r="U16" s="17"/>
      <c r="V16" s="18"/>
      <c r="W16" s="19">
        <v>13</v>
      </c>
      <c r="X16" s="17"/>
      <c r="Y16" s="20"/>
      <c r="Z16" s="20"/>
      <c r="AA16" s="21"/>
      <c r="AB16" s="8">
        <f t="shared" si="4"/>
        <v>0.99946524064171127</v>
      </c>
      <c r="AC16" s="9">
        <f t="shared" si="5"/>
        <v>0.45833333333333331</v>
      </c>
      <c r="AD16" s="10">
        <f t="shared" si="6"/>
        <v>0.45808823529411763</v>
      </c>
      <c r="AE16" s="39">
        <f t="shared" si="7"/>
        <v>0.47437358973058885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247</v>
      </c>
      <c r="D17" s="55" t="s">
        <v>248</v>
      </c>
      <c r="E17" s="56" t="s">
        <v>249</v>
      </c>
      <c r="F17" s="12">
        <v>7301</v>
      </c>
      <c r="G17" s="36" t="s">
        <v>250</v>
      </c>
      <c r="H17" s="38">
        <v>25</v>
      </c>
      <c r="I17" s="7">
        <v>20000</v>
      </c>
      <c r="J17" s="14">
        <v>7630</v>
      </c>
      <c r="K17" s="15">
        <f>L17+7607+7696</f>
        <v>22931</v>
      </c>
      <c r="L17" s="15">
        <f>3976+3652</f>
        <v>7628</v>
      </c>
      <c r="M17" s="16">
        <f t="shared" si="0"/>
        <v>7628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0.99973787680209703</v>
      </c>
      <c r="AC17" s="9">
        <f t="shared" si="5"/>
        <v>1</v>
      </c>
      <c r="AD17" s="10">
        <f t="shared" si="6"/>
        <v>0.99973787680209703</v>
      </c>
      <c r="AE17" s="39">
        <f t="shared" si="7"/>
        <v>0.47437358973058885</v>
      </c>
      <c r="AF17" s="94">
        <f>A17</f>
        <v>11</v>
      </c>
    </row>
    <row r="18" spans="1:32" ht="27" customHeight="1">
      <c r="A18" s="109">
        <v>12</v>
      </c>
      <c r="B18" s="11" t="s">
        <v>59</v>
      </c>
      <c r="C18" s="37" t="s">
        <v>119</v>
      </c>
      <c r="D18" s="55" t="s">
        <v>153</v>
      </c>
      <c r="E18" s="56" t="s">
        <v>157</v>
      </c>
      <c r="F18" s="12">
        <v>8301</v>
      </c>
      <c r="G18" s="12">
        <v>1</v>
      </c>
      <c r="H18" s="13">
        <v>25</v>
      </c>
      <c r="I18" s="34">
        <v>800</v>
      </c>
      <c r="J18" s="5">
        <v>1441</v>
      </c>
      <c r="K18" s="15">
        <f>L18+1441</f>
        <v>1441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>
        <v>24</v>
      </c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0.47437358973058885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119</v>
      </c>
      <c r="D19" s="55" t="s">
        <v>122</v>
      </c>
      <c r="E19" s="57" t="s">
        <v>137</v>
      </c>
      <c r="F19" s="12" t="s">
        <v>155</v>
      </c>
      <c r="G19" s="12">
        <v>1</v>
      </c>
      <c r="H19" s="13">
        <v>25</v>
      </c>
      <c r="I19" s="34">
        <v>23000</v>
      </c>
      <c r="J19" s="5">
        <v>3260</v>
      </c>
      <c r="K19" s="15">
        <f>L19+2373+5342+5324+2259+3330+5266</f>
        <v>27153</v>
      </c>
      <c r="L19" s="15">
        <f>2815+444</f>
        <v>3259</v>
      </c>
      <c r="M19" s="16">
        <f t="shared" si="0"/>
        <v>3259</v>
      </c>
      <c r="N19" s="16">
        <v>0</v>
      </c>
      <c r="O19" s="62">
        <f t="shared" si="1"/>
        <v>0</v>
      </c>
      <c r="P19" s="42">
        <f t="shared" si="2"/>
        <v>16</v>
      </c>
      <c r="Q19" s="43">
        <f t="shared" si="3"/>
        <v>8</v>
      </c>
      <c r="R19" s="7"/>
      <c r="S19" s="6">
        <v>8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0.99969325153374233</v>
      </c>
      <c r="AC19" s="9">
        <f t="shared" si="5"/>
        <v>0.66666666666666663</v>
      </c>
      <c r="AD19" s="10">
        <f t="shared" si="6"/>
        <v>0.66646216768916156</v>
      </c>
      <c r="AE19" s="39">
        <f t="shared" si="7"/>
        <v>0.47437358973058885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120</v>
      </c>
      <c r="D20" s="55" t="s">
        <v>58</v>
      </c>
      <c r="E20" s="57" t="s">
        <v>251</v>
      </c>
      <c r="F20" s="12" t="s">
        <v>252</v>
      </c>
      <c r="G20" s="12">
        <v>1</v>
      </c>
      <c r="H20" s="13">
        <v>25</v>
      </c>
      <c r="I20" s="34">
        <v>30000</v>
      </c>
      <c r="J20" s="5">
        <v>2480</v>
      </c>
      <c r="K20" s="15">
        <f>L20+2987+5049</f>
        <v>10509</v>
      </c>
      <c r="L20" s="15">
        <f>2416+57</f>
        <v>2473</v>
      </c>
      <c r="M20" s="16">
        <f t="shared" si="0"/>
        <v>2473</v>
      </c>
      <c r="N20" s="16">
        <v>0</v>
      </c>
      <c r="O20" s="62">
        <f t="shared" si="1"/>
        <v>0</v>
      </c>
      <c r="P20" s="42">
        <f t="shared" si="2"/>
        <v>10</v>
      </c>
      <c r="Q20" s="43">
        <f t="shared" si="3"/>
        <v>14</v>
      </c>
      <c r="R20" s="7"/>
      <c r="S20" s="6">
        <v>14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0.99717741935483872</v>
      </c>
      <c r="AC20" s="9">
        <f t="shared" si="5"/>
        <v>0.41666666666666669</v>
      </c>
      <c r="AD20" s="10">
        <f t="shared" si="6"/>
        <v>0.4154905913978495</v>
      </c>
      <c r="AE20" s="39">
        <f t="shared" si="7"/>
        <v>0.47437358973058885</v>
      </c>
      <c r="AF20" s="94">
        <f t="shared" si="8"/>
        <v>14</v>
      </c>
    </row>
    <row r="21" spans="1:32" ht="27" customHeight="1">
      <c r="A21" s="110">
        <v>14</v>
      </c>
      <c r="B21" s="11" t="s">
        <v>59</v>
      </c>
      <c r="C21" s="37" t="s">
        <v>120</v>
      </c>
      <c r="D21" s="55" t="s">
        <v>58</v>
      </c>
      <c r="E21" s="57" t="s">
        <v>339</v>
      </c>
      <c r="F21" s="12" t="s">
        <v>252</v>
      </c>
      <c r="G21" s="12">
        <v>1</v>
      </c>
      <c r="H21" s="13">
        <v>25</v>
      </c>
      <c r="I21" s="34">
        <v>6000</v>
      </c>
      <c r="J21" s="5">
        <v>2110</v>
      </c>
      <c r="K21" s="15">
        <f>L21</f>
        <v>2103</v>
      </c>
      <c r="L21" s="15">
        <v>2103</v>
      </c>
      <c r="M21" s="16">
        <f t="shared" ref="M21" si="18">L21-N21</f>
        <v>2103</v>
      </c>
      <c r="N21" s="16">
        <v>0</v>
      </c>
      <c r="O21" s="62">
        <f t="shared" ref="O21" si="19">IF(L21=0,"0",N21/L21)</f>
        <v>0</v>
      </c>
      <c r="P21" s="42">
        <f t="shared" ref="P21" si="20">IF(L21=0,"0",(24-Q21))</f>
        <v>12</v>
      </c>
      <c r="Q21" s="43">
        <f t="shared" ref="Q21" si="21">SUM(R21:AA21)</f>
        <v>12</v>
      </c>
      <c r="R21" s="7"/>
      <c r="S21" s="6"/>
      <c r="T21" s="17">
        <v>12</v>
      </c>
      <c r="U21" s="17"/>
      <c r="V21" s="18"/>
      <c r="W21" s="19"/>
      <c r="X21" s="17"/>
      <c r="Y21" s="20"/>
      <c r="Z21" s="20"/>
      <c r="AA21" s="21"/>
      <c r="AB21" s="8">
        <f t="shared" ref="AB21" si="22">IF(J21=0,"0",(L21/J21))</f>
        <v>0.99668246445497632</v>
      </c>
      <c r="AC21" s="9">
        <f t="shared" ref="AC21" si="23">IF(P21=0,"0",(P21/24))</f>
        <v>0.5</v>
      </c>
      <c r="AD21" s="10">
        <f t="shared" ref="AD21" si="24">AC21*AB21*(1-O21)</f>
        <v>0.49834123222748816</v>
      </c>
      <c r="AE21" s="39">
        <f t="shared" si="7"/>
        <v>0.47437358973058885</v>
      </c>
      <c r="AF21" s="94">
        <f t="shared" ref="AF21" si="25">A21</f>
        <v>14</v>
      </c>
    </row>
    <row r="22" spans="1:32" ht="27" customHeight="1" thickBot="1">
      <c r="A22" s="110">
        <v>15</v>
      </c>
      <c r="B22" s="11" t="s">
        <v>59</v>
      </c>
      <c r="C22" s="11" t="s">
        <v>117</v>
      </c>
      <c r="D22" s="55"/>
      <c r="E22" s="56" t="s">
        <v>172</v>
      </c>
      <c r="F22" s="12" t="s">
        <v>118</v>
      </c>
      <c r="G22" s="12">
        <v>4</v>
      </c>
      <c r="H22" s="38">
        <v>20</v>
      </c>
      <c r="I22" s="7">
        <v>200000</v>
      </c>
      <c r="J22" s="14">
        <v>16170</v>
      </c>
      <c r="K22" s="15">
        <f>L22+51172+67944+16164</f>
        <v>135280</v>
      </c>
      <c r="L22" s="15">
        <v>0</v>
      </c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/>
      <c r="W22" s="19">
        <v>24</v>
      </c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0.47437358973058885</v>
      </c>
      <c r="AF22" s="94">
        <f t="shared" si="8"/>
        <v>15</v>
      </c>
    </row>
    <row r="23" spans="1:32" ht="31.5" customHeight="1" thickBot="1">
      <c r="A23" s="382" t="s">
        <v>34</v>
      </c>
      <c r="B23" s="383"/>
      <c r="C23" s="383"/>
      <c r="D23" s="383"/>
      <c r="E23" s="383"/>
      <c r="F23" s="383"/>
      <c r="G23" s="383"/>
      <c r="H23" s="384"/>
      <c r="I23" s="25">
        <f t="shared" ref="I23:N23" si="26">SUM(I6:I22)</f>
        <v>671700</v>
      </c>
      <c r="J23" s="22">
        <f t="shared" si="26"/>
        <v>79661</v>
      </c>
      <c r="K23" s="23">
        <f t="shared" si="26"/>
        <v>326566</v>
      </c>
      <c r="L23" s="24">
        <f t="shared" si="26"/>
        <v>52702</v>
      </c>
      <c r="M23" s="23">
        <f t="shared" si="26"/>
        <v>52702</v>
      </c>
      <c r="N23" s="24">
        <f t="shared" si="26"/>
        <v>0</v>
      </c>
      <c r="O23" s="44">
        <f t="shared" si="1"/>
        <v>0</v>
      </c>
      <c r="P23" s="45">
        <f t="shared" ref="P23:AA23" si="27">SUM(P6:P22)</f>
        <v>171</v>
      </c>
      <c r="Q23" s="46">
        <f t="shared" si="27"/>
        <v>237</v>
      </c>
      <c r="R23" s="26">
        <f t="shared" si="27"/>
        <v>72</v>
      </c>
      <c r="S23" s="27">
        <f t="shared" si="27"/>
        <v>35</v>
      </c>
      <c r="T23" s="27">
        <f t="shared" si="27"/>
        <v>25</v>
      </c>
      <c r="U23" s="27">
        <f t="shared" si="27"/>
        <v>0</v>
      </c>
      <c r="V23" s="28">
        <f t="shared" si="27"/>
        <v>0</v>
      </c>
      <c r="W23" s="29">
        <f t="shared" si="27"/>
        <v>105</v>
      </c>
      <c r="X23" s="30">
        <f t="shared" si="27"/>
        <v>0</v>
      </c>
      <c r="Y23" s="30">
        <f t="shared" si="27"/>
        <v>0</v>
      </c>
      <c r="Z23" s="30">
        <f t="shared" si="27"/>
        <v>0</v>
      </c>
      <c r="AA23" s="30">
        <f t="shared" si="27"/>
        <v>0</v>
      </c>
      <c r="AB23" s="31">
        <f>SUM(AB6:AB22)/15</f>
        <v>0.73140634563664675</v>
      </c>
      <c r="AC23" s="4">
        <f>SUM(AC6:AC22)/15</f>
        <v>0.47500000000000003</v>
      </c>
      <c r="AD23" s="4">
        <f>SUM(AD6:AD22)/15</f>
        <v>0.47437358973058885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85" t="s">
        <v>46</v>
      </c>
      <c r="B50" s="385"/>
      <c r="C50" s="385"/>
      <c r="D50" s="385"/>
      <c r="E50" s="385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86" t="s">
        <v>341</v>
      </c>
      <c r="B51" s="387"/>
      <c r="C51" s="387"/>
      <c r="D51" s="387"/>
      <c r="E51" s="387"/>
      <c r="F51" s="387"/>
      <c r="G51" s="387"/>
      <c r="H51" s="387"/>
      <c r="I51" s="387"/>
      <c r="J51" s="387"/>
      <c r="K51" s="387"/>
      <c r="L51" s="387"/>
      <c r="M51" s="388"/>
      <c r="N51" s="389" t="s">
        <v>355</v>
      </c>
      <c r="O51" s="390"/>
      <c r="P51" s="390"/>
      <c r="Q51" s="390"/>
      <c r="R51" s="390"/>
      <c r="S51" s="390"/>
      <c r="T51" s="390"/>
      <c r="U51" s="390"/>
      <c r="V51" s="390"/>
      <c r="W51" s="390"/>
      <c r="X51" s="390"/>
      <c r="Y51" s="390"/>
      <c r="Z51" s="390"/>
      <c r="AA51" s="390"/>
      <c r="AB51" s="390"/>
      <c r="AC51" s="390"/>
      <c r="AD51" s="391"/>
    </row>
    <row r="52" spans="1:32" ht="27" customHeight="1">
      <c r="A52" s="392" t="s">
        <v>2</v>
      </c>
      <c r="B52" s="393"/>
      <c r="C52" s="173" t="s">
        <v>47</v>
      </c>
      <c r="D52" s="173" t="s">
        <v>48</v>
      </c>
      <c r="E52" s="173" t="s">
        <v>111</v>
      </c>
      <c r="F52" s="393" t="s">
        <v>110</v>
      </c>
      <c r="G52" s="393"/>
      <c r="H52" s="393"/>
      <c r="I52" s="393"/>
      <c r="J52" s="393"/>
      <c r="K52" s="393"/>
      <c r="L52" s="393"/>
      <c r="M52" s="394"/>
      <c r="N52" s="73" t="s">
        <v>115</v>
      </c>
      <c r="O52" s="173" t="s">
        <v>47</v>
      </c>
      <c r="P52" s="395" t="s">
        <v>48</v>
      </c>
      <c r="Q52" s="396"/>
      <c r="R52" s="395" t="s">
        <v>39</v>
      </c>
      <c r="S52" s="397"/>
      <c r="T52" s="397"/>
      <c r="U52" s="396"/>
      <c r="V52" s="395" t="s">
        <v>49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409" t="s">
        <v>254</v>
      </c>
      <c r="B53" s="410"/>
      <c r="C53" s="169" t="s">
        <v>187</v>
      </c>
      <c r="D53" s="169" t="s">
        <v>342</v>
      </c>
      <c r="E53" s="172" t="s">
        <v>337</v>
      </c>
      <c r="F53" s="411" t="s">
        <v>343</v>
      </c>
      <c r="G53" s="411"/>
      <c r="H53" s="411"/>
      <c r="I53" s="411"/>
      <c r="J53" s="411"/>
      <c r="K53" s="411"/>
      <c r="L53" s="411"/>
      <c r="M53" s="412"/>
      <c r="N53" s="168" t="s">
        <v>120</v>
      </c>
      <c r="O53" s="74" t="s">
        <v>312</v>
      </c>
      <c r="P53" s="410" t="s">
        <v>313</v>
      </c>
      <c r="Q53" s="410"/>
      <c r="R53" s="410" t="s">
        <v>314</v>
      </c>
      <c r="S53" s="410"/>
      <c r="T53" s="410"/>
      <c r="U53" s="410"/>
      <c r="V53" s="411" t="s">
        <v>356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344</v>
      </c>
      <c r="B54" s="410"/>
      <c r="C54" s="169" t="s">
        <v>181</v>
      </c>
      <c r="D54" s="169" t="s">
        <v>167</v>
      </c>
      <c r="E54" s="172" t="s">
        <v>345</v>
      </c>
      <c r="F54" s="411" t="s">
        <v>346</v>
      </c>
      <c r="G54" s="411"/>
      <c r="H54" s="411"/>
      <c r="I54" s="411"/>
      <c r="J54" s="411"/>
      <c r="K54" s="411"/>
      <c r="L54" s="411"/>
      <c r="M54" s="412"/>
      <c r="N54" s="168" t="s">
        <v>292</v>
      </c>
      <c r="O54" s="74" t="s">
        <v>357</v>
      </c>
      <c r="P54" s="413" t="s">
        <v>319</v>
      </c>
      <c r="Q54" s="414"/>
      <c r="R54" s="410" t="s">
        <v>320</v>
      </c>
      <c r="S54" s="410"/>
      <c r="T54" s="410"/>
      <c r="U54" s="410"/>
      <c r="V54" s="411" t="s">
        <v>311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344</v>
      </c>
      <c r="B55" s="410"/>
      <c r="C55" s="169" t="s">
        <v>196</v>
      </c>
      <c r="D55" s="169" t="s">
        <v>334</v>
      </c>
      <c r="E55" s="172" t="s">
        <v>335</v>
      </c>
      <c r="F55" s="411" t="s">
        <v>347</v>
      </c>
      <c r="G55" s="411"/>
      <c r="H55" s="411"/>
      <c r="I55" s="411"/>
      <c r="J55" s="411"/>
      <c r="K55" s="411"/>
      <c r="L55" s="411"/>
      <c r="M55" s="412"/>
      <c r="N55" s="168" t="s">
        <v>120</v>
      </c>
      <c r="O55" s="74" t="s">
        <v>359</v>
      </c>
      <c r="P55" s="413" t="s">
        <v>360</v>
      </c>
      <c r="Q55" s="414"/>
      <c r="R55" s="410" t="s">
        <v>358</v>
      </c>
      <c r="S55" s="410"/>
      <c r="T55" s="410"/>
      <c r="U55" s="410"/>
      <c r="V55" s="411" t="s">
        <v>311</v>
      </c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119</v>
      </c>
      <c r="B56" s="410"/>
      <c r="C56" s="169" t="s">
        <v>349</v>
      </c>
      <c r="D56" s="169" t="s">
        <v>350</v>
      </c>
      <c r="E56" s="172" t="s">
        <v>351</v>
      </c>
      <c r="F56" s="411" t="s">
        <v>352</v>
      </c>
      <c r="G56" s="411"/>
      <c r="H56" s="411"/>
      <c r="I56" s="411"/>
      <c r="J56" s="411"/>
      <c r="K56" s="411"/>
      <c r="L56" s="411"/>
      <c r="M56" s="412"/>
      <c r="N56" s="168" t="s">
        <v>362</v>
      </c>
      <c r="O56" s="74" t="s">
        <v>363</v>
      </c>
      <c r="P56" s="413" t="s">
        <v>364</v>
      </c>
      <c r="Q56" s="414"/>
      <c r="R56" s="410" t="s">
        <v>361</v>
      </c>
      <c r="S56" s="410"/>
      <c r="T56" s="410"/>
      <c r="U56" s="410"/>
      <c r="V56" s="411" t="s">
        <v>311</v>
      </c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 t="s">
        <v>119</v>
      </c>
      <c r="B57" s="410"/>
      <c r="C57" s="169" t="s">
        <v>272</v>
      </c>
      <c r="D57" s="169" t="s">
        <v>245</v>
      </c>
      <c r="E57" s="172" t="s">
        <v>246</v>
      </c>
      <c r="F57" s="411" t="s">
        <v>348</v>
      </c>
      <c r="G57" s="411"/>
      <c r="H57" s="411"/>
      <c r="I57" s="411"/>
      <c r="J57" s="411"/>
      <c r="K57" s="411"/>
      <c r="L57" s="411"/>
      <c r="M57" s="412"/>
      <c r="N57" s="168" t="s">
        <v>119</v>
      </c>
      <c r="O57" s="74" t="s">
        <v>366</v>
      </c>
      <c r="P57" s="413" t="s">
        <v>367</v>
      </c>
      <c r="Q57" s="414"/>
      <c r="R57" s="410" t="s">
        <v>365</v>
      </c>
      <c r="S57" s="410"/>
      <c r="T57" s="410"/>
      <c r="U57" s="410"/>
      <c r="V57" s="411" t="s">
        <v>356</v>
      </c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09" t="s">
        <v>120</v>
      </c>
      <c r="B58" s="410"/>
      <c r="C58" s="169" t="s">
        <v>353</v>
      </c>
      <c r="D58" s="169" t="s">
        <v>354</v>
      </c>
      <c r="E58" s="172" t="s">
        <v>339</v>
      </c>
      <c r="F58" s="411" t="s">
        <v>346</v>
      </c>
      <c r="G58" s="411"/>
      <c r="H58" s="411"/>
      <c r="I58" s="411"/>
      <c r="J58" s="411"/>
      <c r="K58" s="411"/>
      <c r="L58" s="411"/>
      <c r="M58" s="412"/>
      <c r="N58" s="168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169"/>
      <c r="D59" s="169"/>
      <c r="E59" s="172"/>
      <c r="F59" s="411"/>
      <c r="G59" s="411"/>
      <c r="H59" s="411"/>
      <c r="I59" s="411"/>
      <c r="J59" s="411"/>
      <c r="K59" s="411"/>
      <c r="L59" s="411"/>
      <c r="M59" s="412"/>
      <c r="N59" s="168"/>
      <c r="O59" s="74"/>
      <c r="P59" s="413"/>
      <c r="Q59" s="414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</row>
    <row r="60" spans="1:32" ht="27" customHeight="1">
      <c r="A60" s="419"/>
      <c r="B60" s="420"/>
      <c r="C60" s="172"/>
      <c r="D60" s="169"/>
      <c r="E60" s="172"/>
      <c r="F60" s="411"/>
      <c r="G60" s="411"/>
      <c r="H60" s="411"/>
      <c r="I60" s="411"/>
      <c r="J60" s="411"/>
      <c r="K60" s="411"/>
      <c r="L60" s="411"/>
      <c r="M60" s="412"/>
      <c r="N60" s="168"/>
      <c r="O60" s="74"/>
      <c r="P60" s="410"/>
      <c r="Q60" s="410"/>
      <c r="R60" s="410"/>
      <c r="S60" s="410"/>
      <c r="T60" s="410"/>
      <c r="U60" s="410"/>
      <c r="V60" s="411"/>
      <c r="W60" s="411"/>
      <c r="X60" s="411"/>
      <c r="Y60" s="411"/>
      <c r="Z60" s="411"/>
      <c r="AA60" s="411"/>
      <c r="AB60" s="411"/>
      <c r="AC60" s="411"/>
      <c r="AD60" s="412"/>
    </row>
    <row r="61" spans="1:32" ht="27" customHeight="1">
      <c r="A61" s="409"/>
      <c r="B61" s="410"/>
      <c r="C61" s="169"/>
      <c r="D61" s="169"/>
      <c r="E61" s="169"/>
      <c r="F61" s="411"/>
      <c r="G61" s="411"/>
      <c r="H61" s="411"/>
      <c r="I61" s="411"/>
      <c r="J61" s="411"/>
      <c r="K61" s="411"/>
      <c r="L61" s="411"/>
      <c r="M61" s="412"/>
      <c r="N61" s="168"/>
      <c r="O61" s="74"/>
      <c r="P61" s="410"/>
      <c r="Q61" s="410"/>
      <c r="R61" s="410"/>
      <c r="S61" s="410"/>
      <c r="T61" s="410"/>
      <c r="U61" s="410"/>
      <c r="V61" s="411"/>
      <c r="W61" s="411"/>
      <c r="X61" s="411"/>
      <c r="Y61" s="411"/>
      <c r="Z61" s="411"/>
      <c r="AA61" s="411"/>
      <c r="AB61" s="411"/>
      <c r="AC61" s="411"/>
      <c r="AD61" s="412"/>
      <c r="AF61" s="94">
        <f>8*3000</f>
        <v>24000</v>
      </c>
    </row>
    <row r="62" spans="1:32" ht="27" customHeight="1" thickBot="1">
      <c r="A62" s="415"/>
      <c r="B62" s="416"/>
      <c r="C62" s="171"/>
      <c r="D62" s="171"/>
      <c r="E62" s="171"/>
      <c r="F62" s="417"/>
      <c r="G62" s="417"/>
      <c r="H62" s="417"/>
      <c r="I62" s="417"/>
      <c r="J62" s="417"/>
      <c r="K62" s="417"/>
      <c r="L62" s="417"/>
      <c r="M62" s="418"/>
      <c r="N62" s="170"/>
      <c r="O62" s="121"/>
      <c r="P62" s="416"/>
      <c r="Q62" s="416"/>
      <c r="R62" s="416"/>
      <c r="S62" s="416"/>
      <c r="T62" s="416"/>
      <c r="U62" s="416"/>
      <c r="V62" s="417"/>
      <c r="W62" s="417"/>
      <c r="X62" s="417"/>
      <c r="Y62" s="417"/>
      <c r="Z62" s="417"/>
      <c r="AA62" s="417"/>
      <c r="AB62" s="417"/>
      <c r="AC62" s="417"/>
      <c r="AD62" s="418"/>
      <c r="AF62" s="94">
        <f>16*3000</f>
        <v>48000</v>
      </c>
    </row>
    <row r="63" spans="1:32" ht="27.75" thickBot="1">
      <c r="A63" s="421" t="s">
        <v>368</v>
      </c>
      <c r="B63" s="421"/>
      <c r="C63" s="421"/>
      <c r="D63" s="421"/>
      <c r="E63" s="421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22" t="s">
        <v>116</v>
      </c>
      <c r="B64" s="423"/>
      <c r="C64" s="167" t="s">
        <v>2</v>
      </c>
      <c r="D64" s="167" t="s">
        <v>38</v>
      </c>
      <c r="E64" s="167" t="s">
        <v>3</v>
      </c>
      <c r="F64" s="423" t="s">
        <v>113</v>
      </c>
      <c r="G64" s="423"/>
      <c r="H64" s="423"/>
      <c r="I64" s="423"/>
      <c r="J64" s="423"/>
      <c r="K64" s="423" t="s">
        <v>40</v>
      </c>
      <c r="L64" s="423"/>
      <c r="M64" s="167" t="s">
        <v>41</v>
      </c>
      <c r="N64" s="423" t="s">
        <v>42</v>
      </c>
      <c r="O64" s="423"/>
      <c r="P64" s="424" t="s">
        <v>43</v>
      </c>
      <c r="Q64" s="425"/>
      <c r="R64" s="424" t="s">
        <v>44</v>
      </c>
      <c r="S64" s="426"/>
      <c r="T64" s="426"/>
      <c r="U64" s="426"/>
      <c r="V64" s="426"/>
      <c r="W64" s="426"/>
      <c r="X64" s="426"/>
      <c r="Y64" s="426"/>
      <c r="Z64" s="426"/>
      <c r="AA64" s="425"/>
      <c r="AB64" s="423" t="s">
        <v>45</v>
      </c>
      <c r="AC64" s="423"/>
      <c r="AD64" s="427"/>
      <c r="AF64" s="94">
        <f>SUM(AF61:AF63)</f>
        <v>96000</v>
      </c>
    </row>
    <row r="65" spans="1:32" ht="25.5" customHeight="1">
      <c r="A65" s="428">
        <v>1</v>
      </c>
      <c r="B65" s="429"/>
      <c r="C65" s="124" t="s">
        <v>119</v>
      </c>
      <c r="D65" s="163"/>
      <c r="E65" s="165" t="s">
        <v>323</v>
      </c>
      <c r="F65" s="430" t="s">
        <v>324</v>
      </c>
      <c r="G65" s="431"/>
      <c r="H65" s="431"/>
      <c r="I65" s="431"/>
      <c r="J65" s="431"/>
      <c r="K65" s="431" t="s">
        <v>325</v>
      </c>
      <c r="L65" s="431"/>
      <c r="M65" s="54" t="s">
        <v>138</v>
      </c>
      <c r="N65" s="431">
        <v>5</v>
      </c>
      <c r="O65" s="431"/>
      <c r="P65" s="432">
        <v>200</v>
      </c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2</v>
      </c>
      <c r="B66" s="429"/>
      <c r="C66" s="124"/>
      <c r="D66" s="163"/>
      <c r="E66" s="165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3</v>
      </c>
      <c r="B67" s="429"/>
      <c r="C67" s="124"/>
      <c r="D67" s="163"/>
      <c r="E67" s="165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4</v>
      </c>
      <c r="B68" s="429"/>
      <c r="C68" s="124"/>
      <c r="D68" s="163"/>
      <c r="E68" s="165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5</v>
      </c>
      <c r="B69" s="429"/>
      <c r="C69" s="124"/>
      <c r="D69" s="163"/>
      <c r="E69" s="165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6</v>
      </c>
      <c r="B70" s="429"/>
      <c r="C70" s="124"/>
      <c r="D70" s="163"/>
      <c r="E70" s="165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5.5" customHeight="1">
      <c r="A71" s="428">
        <v>7</v>
      </c>
      <c r="B71" s="429"/>
      <c r="C71" s="124"/>
      <c r="D71" s="163"/>
      <c r="E71" s="165"/>
      <c r="F71" s="430"/>
      <c r="G71" s="431"/>
      <c r="H71" s="431"/>
      <c r="I71" s="431"/>
      <c r="J71" s="431"/>
      <c r="K71" s="431"/>
      <c r="L71" s="431"/>
      <c r="M71" s="54"/>
      <c r="N71" s="431"/>
      <c r="O71" s="431"/>
      <c r="P71" s="432"/>
      <c r="Q71" s="432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31"/>
      <c r="AC71" s="431"/>
      <c r="AD71" s="433"/>
      <c r="AF71" s="53"/>
    </row>
    <row r="72" spans="1:32" ht="25.5" customHeight="1">
      <c r="A72" s="428">
        <v>8</v>
      </c>
      <c r="B72" s="429"/>
      <c r="C72" s="124"/>
      <c r="D72" s="163"/>
      <c r="E72" s="165"/>
      <c r="F72" s="430"/>
      <c r="G72" s="431"/>
      <c r="H72" s="431"/>
      <c r="I72" s="431"/>
      <c r="J72" s="431"/>
      <c r="K72" s="431"/>
      <c r="L72" s="431"/>
      <c r="M72" s="54"/>
      <c r="N72" s="431"/>
      <c r="O72" s="431"/>
      <c r="P72" s="432"/>
      <c r="Q72" s="432"/>
      <c r="R72" s="411"/>
      <c r="S72" s="411"/>
      <c r="T72" s="411"/>
      <c r="U72" s="411"/>
      <c r="V72" s="411"/>
      <c r="W72" s="411"/>
      <c r="X72" s="411"/>
      <c r="Y72" s="411"/>
      <c r="Z72" s="411"/>
      <c r="AA72" s="411"/>
      <c r="AB72" s="431"/>
      <c r="AC72" s="431"/>
      <c r="AD72" s="433"/>
      <c r="AF72" s="53"/>
    </row>
    <row r="73" spans="1:32" ht="26.25" customHeight="1" thickBot="1">
      <c r="A73" s="434" t="s">
        <v>369</v>
      </c>
      <c r="B73" s="434"/>
      <c r="C73" s="434"/>
      <c r="D73" s="434"/>
      <c r="E73" s="434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35" t="s">
        <v>116</v>
      </c>
      <c r="B74" s="436"/>
      <c r="C74" s="166" t="s">
        <v>2</v>
      </c>
      <c r="D74" s="166" t="s">
        <v>38</v>
      </c>
      <c r="E74" s="166" t="s">
        <v>3</v>
      </c>
      <c r="F74" s="436" t="s">
        <v>39</v>
      </c>
      <c r="G74" s="436"/>
      <c r="H74" s="436"/>
      <c r="I74" s="436"/>
      <c r="J74" s="436"/>
      <c r="K74" s="437" t="s">
        <v>60</v>
      </c>
      <c r="L74" s="438"/>
      <c r="M74" s="438"/>
      <c r="N74" s="438"/>
      <c r="O74" s="438"/>
      <c r="P74" s="438"/>
      <c r="Q74" s="438"/>
      <c r="R74" s="438"/>
      <c r="S74" s="439"/>
      <c r="T74" s="436" t="s">
        <v>50</v>
      </c>
      <c r="U74" s="436"/>
      <c r="V74" s="437" t="s">
        <v>51</v>
      </c>
      <c r="W74" s="439"/>
      <c r="X74" s="438" t="s">
        <v>52</v>
      </c>
      <c r="Y74" s="438"/>
      <c r="Z74" s="438"/>
      <c r="AA74" s="438"/>
      <c r="AB74" s="438"/>
      <c r="AC74" s="438"/>
      <c r="AD74" s="440"/>
      <c r="AF74" s="53"/>
    </row>
    <row r="75" spans="1:32" ht="33.75" customHeight="1">
      <c r="A75" s="449">
        <v>1</v>
      </c>
      <c r="B75" s="450"/>
      <c r="C75" s="164" t="s">
        <v>119</v>
      </c>
      <c r="D75" s="164"/>
      <c r="E75" s="71" t="s">
        <v>127</v>
      </c>
      <c r="F75" s="451" t="s">
        <v>128</v>
      </c>
      <c r="G75" s="452"/>
      <c r="H75" s="452"/>
      <c r="I75" s="452"/>
      <c r="J75" s="453"/>
      <c r="K75" s="454" t="s">
        <v>121</v>
      </c>
      <c r="L75" s="455"/>
      <c r="M75" s="455"/>
      <c r="N75" s="455"/>
      <c r="O75" s="455"/>
      <c r="P75" s="455"/>
      <c r="Q75" s="455"/>
      <c r="R75" s="455"/>
      <c r="S75" s="456"/>
      <c r="T75" s="457">
        <v>42901</v>
      </c>
      <c r="U75" s="458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1">
        <f>A75+1</f>
        <v>2</v>
      </c>
      <c r="B76" s="442"/>
      <c r="C76" s="163" t="s">
        <v>119</v>
      </c>
      <c r="D76" s="163"/>
      <c r="E76" s="35" t="s">
        <v>124</v>
      </c>
      <c r="F76" s="442" t="s">
        <v>125</v>
      </c>
      <c r="G76" s="442"/>
      <c r="H76" s="442"/>
      <c r="I76" s="442"/>
      <c r="J76" s="442"/>
      <c r="K76" s="443" t="s">
        <v>126</v>
      </c>
      <c r="L76" s="444"/>
      <c r="M76" s="444"/>
      <c r="N76" s="444"/>
      <c r="O76" s="444"/>
      <c r="P76" s="444"/>
      <c r="Q76" s="444"/>
      <c r="R76" s="444"/>
      <c r="S76" s="445"/>
      <c r="T76" s="446">
        <v>42867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ref="A77:A83" si="28">A76+1</f>
        <v>3</v>
      </c>
      <c r="B77" s="442"/>
      <c r="C77" s="163" t="s">
        <v>120</v>
      </c>
      <c r="D77" s="163"/>
      <c r="E77" s="35" t="s">
        <v>354</v>
      </c>
      <c r="F77" s="442" t="s">
        <v>371</v>
      </c>
      <c r="G77" s="442"/>
      <c r="H77" s="442"/>
      <c r="I77" s="442"/>
      <c r="J77" s="442"/>
      <c r="K77" s="443" t="s">
        <v>330</v>
      </c>
      <c r="L77" s="444"/>
      <c r="M77" s="444"/>
      <c r="N77" s="444"/>
      <c r="O77" s="444"/>
      <c r="P77" s="444"/>
      <c r="Q77" s="444"/>
      <c r="R77" s="444"/>
      <c r="S77" s="445"/>
      <c r="T77" s="446">
        <v>42921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28"/>
        <v>4</v>
      </c>
      <c r="B78" s="442"/>
      <c r="C78" s="163" t="s">
        <v>292</v>
      </c>
      <c r="D78" s="163"/>
      <c r="E78" s="35" t="s">
        <v>323</v>
      </c>
      <c r="F78" s="442" t="s">
        <v>294</v>
      </c>
      <c r="G78" s="442"/>
      <c r="H78" s="442"/>
      <c r="I78" s="442"/>
      <c r="J78" s="442"/>
      <c r="K78" s="443" t="s">
        <v>331</v>
      </c>
      <c r="L78" s="444"/>
      <c r="M78" s="444"/>
      <c r="N78" s="444"/>
      <c r="O78" s="444"/>
      <c r="P78" s="444"/>
      <c r="Q78" s="444"/>
      <c r="R78" s="444"/>
      <c r="S78" s="445"/>
      <c r="T78" s="446">
        <v>42920</v>
      </c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28"/>
        <v>5</v>
      </c>
      <c r="B79" s="442"/>
      <c r="C79" s="163"/>
      <c r="D79" s="163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28"/>
        <v>6</v>
      </c>
      <c r="B80" s="442"/>
      <c r="C80" s="163"/>
      <c r="D80" s="163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28"/>
        <v>7</v>
      </c>
      <c r="B81" s="442"/>
      <c r="C81" s="163"/>
      <c r="D81" s="163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0" customHeight="1">
      <c r="A82" s="441">
        <f t="shared" si="28"/>
        <v>8</v>
      </c>
      <c r="B82" s="442"/>
      <c r="C82" s="163"/>
      <c r="D82" s="163"/>
      <c r="E82" s="35"/>
      <c r="F82" s="442"/>
      <c r="G82" s="442"/>
      <c r="H82" s="442"/>
      <c r="I82" s="442"/>
      <c r="J82" s="442"/>
      <c r="K82" s="443"/>
      <c r="L82" s="444"/>
      <c r="M82" s="444"/>
      <c r="N82" s="444"/>
      <c r="O82" s="444"/>
      <c r="P82" s="444"/>
      <c r="Q82" s="444"/>
      <c r="R82" s="444"/>
      <c r="S82" s="445"/>
      <c r="T82" s="446"/>
      <c r="U82" s="446"/>
      <c r="V82" s="446"/>
      <c r="W82" s="446"/>
      <c r="X82" s="447"/>
      <c r="Y82" s="447"/>
      <c r="Z82" s="447"/>
      <c r="AA82" s="447"/>
      <c r="AB82" s="447"/>
      <c r="AC82" s="447"/>
      <c r="AD82" s="448"/>
      <c r="AF82" s="53"/>
    </row>
    <row r="83" spans="1:32" ht="30" customHeight="1">
      <c r="A83" s="441">
        <f t="shared" si="28"/>
        <v>9</v>
      </c>
      <c r="B83" s="442"/>
      <c r="C83" s="163"/>
      <c r="D83" s="163"/>
      <c r="E83" s="35"/>
      <c r="F83" s="442"/>
      <c r="G83" s="442"/>
      <c r="H83" s="442"/>
      <c r="I83" s="442"/>
      <c r="J83" s="442"/>
      <c r="K83" s="443"/>
      <c r="L83" s="444"/>
      <c r="M83" s="444"/>
      <c r="N83" s="444"/>
      <c r="O83" s="444"/>
      <c r="P83" s="444"/>
      <c r="Q83" s="444"/>
      <c r="R83" s="444"/>
      <c r="S83" s="445"/>
      <c r="T83" s="446"/>
      <c r="U83" s="446"/>
      <c r="V83" s="446"/>
      <c r="W83" s="446"/>
      <c r="X83" s="447"/>
      <c r="Y83" s="447"/>
      <c r="Z83" s="447"/>
      <c r="AA83" s="447"/>
      <c r="AB83" s="447"/>
      <c r="AC83" s="447"/>
      <c r="AD83" s="448"/>
      <c r="AF83" s="53"/>
    </row>
    <row r="84" spans="1:32" ht="36" thickBot="1">
      <c r="A84" s="434" t="s">
        <v>370</v>
      </c>
      <c r="B84" s="434"/>
      <c r="C84" s="434"/>
      <c r="D84" s="434"/>
      <c r="E84" s="434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62" t="s">
        <v>37</v>
      </c>
      <c r="B85" s="463"/>
      <c r="C85" s="463" t="s">
        <v>53</v>
      </c>
      <c r="D85" s="463"/>
      <c r="E85" s="463" t="s">
        <v>54</v>
      </c>
      <c r="F85" s="463"/>
      <c r="G85" s="463"/>
      <c r="H85" s="463"/>
      <c r="I85" s="463"/>
      <c r="J85" s="463"/>
      <c r="K85" s="463" t="s">
        <v>55</v>
      </c>
      <c r="L85" s="463"/>
      <c r="M85" s="463"/>
      <c r="N85" s="463"/>
      <c r="O85" s="463"/>
      <c r="P85" s="463"/>
      <c r="Q85" s="463"/>
      <c r="R85" s="463"/>
      <c r="S85" s="463"/>
      <c r="T85" s="463" t="s">
        <v>56</v>
      </c>
      <c r="U85" s="463"/>
      <c r="V85" s="463" t="s">
        <v>57</v>
      </c>
      <c r="W85" s="463"/>
      <c r="X85" s="463"/>
      <c r="Y85" s="463" t="s">
        <v>52</v>
      </c>
      <c r="Z85" s="463"/>
      <c r="AA85" s="463"/>
      <c r="AB85" s="463"/>
      <c r="AC85" s="463"/>
      <c r="AD85" s="464"/>
      <c r="AF85" s="53"/>
    </row>
    <row r="86" spans="1:32" ht="30.75" customHeight="1">
      <c r="A86" s="449">
        <v>1</v>
      </c>
      <c r="B86" s="450"/>
      <c r="C86" s="465">
        <v>1</v>
      </c>
      <c r="D86" s="465"/>
      <c r="E86" s="465" t="s">
        <v>149</v>
      </c>
      <c r="F86" s="465"/>
      <c r="G86" s="465"/>
      <c r="H86" s="465"/>
      <c r="I86" s="465"/>
      <c r="J86" s="465"/>
      <c r="K86" s="465" t="s">
        <v>150</v>
      </c>
      <c r="L86" s="465"/>
      <c r="M86" s="465"/>
      <c r="N86" s="465"/>
      <c r="O86" s="465"/>
      <c r="P86" s="465"/>
      <c r="Q86" s="465"/>
      <c r="R86" s="465"/>
      <c r="S86" s="465"/>
      <c r="T86" s="465" t="s">
        <v>151</v>
      </c>
      <c r="U86" s="465"/>
      <c r="V86" s="466">
        <v>1500000</v>
      </c>
      <c r="W86" s="466"/>
      <c r="X86" s="466"/>
      <c r="Y86" s="467" t="s">
        <v>152</v>
      </c>
      <c r="Z86" s="467"/>
      <c r="AA86" s="467"/>
      <c r="AB86" s="467"/>
      <c r="AC86" s="467"/>
      <c r="AD86" s="468"/>
      <c r="AF86" s="53"/>
    </row>
    <row r="87" spans="1:32" ht="30.75" customHeight="1">
      <c r="A87" s="441">
        <v>2</v>
      </c>
      <c r="B87" s="442"/>
      <c r="C87" s="476">
        <v>10</v>
      </c>
      <c r="D87" s="476"/>
      <c r="E87" s="476" t="s">
        <v>162</v>
      </c>
      <c r="F87" s="476"/>
      <c r="G87" s="476"/>
      <c r="H87" s="476"/>
      <c r="I87" s="476"/>
      <c r="J87" s="476"/>
      <c r="K87" s="476" t="s">
        <v>163</v>
      </c>
      <c r="L87" s="476"/>
      <c r="M87" s="476"/>
      <c r="N87" s="476"/>
      <c r="O87" s="476"/>
      <c r="P87" s="476"/>
      <c r="Q87" s="476"/>
      <c r="R87" s="476"/>
      <c r="S87" s="476"/>
      <c r="T87" s="477" t="s">
        <v>164</v>
      </c>
      <c r="U87" s="477"/>
      <c r="V87" s="478">
        <v>350000</v>
      </c>
      <c r="W87" s="478"/>
      <c r="X87" s="478"/>
      <c r="Y87" s="469" t="s">
        <v>176</v>
      </c>
      <c r="Z87" s="469"/>
      <c r="AA87" s="469"/>
      <c r="AB87" s="469"/>
      <c r="AC87" s="469"/>
      <c r="AD87" s="470"/>
      <c r="AF87" s="53"/>
    </row>
    <row r="88" spans="1:32" ht="30.75" customHeight="1" thickBot="1">
      <c r="A88" s="471">
        <v>3</v>
      </c>
      <c r="B88" s="472"/>
      <c r="C88" s="473"/>
      <c r="D88" s="473"/>
      <c r="E88" s="473"/>
      <c r="F88" s="473"/>
      <c r="G88" s="473"/>
      <c r="H88" s="473"/>
      <c r="I88" s="473"/>
      <c r="J88" s="473"/>
      <c r="K88" s="473"/>
      <c r="L88" s="473"/>
      <c r="M88" s="473"/>
      <c r="N88" s="473"/>
      <c r="O88" s="473"/>
      <c r="P88" s="473"/>
      <c r="Q88" s="473"/>
      <c r="R88" s="473"/>
      <c r="S88" s="473"/>
      <c r="T88" s="473"/>
      <c r="U88" s="473"/>
      <c r="V88" s="473"/>
      <c r="W88" s="473"/>
      <c r="X88" s="473"/>
      <c r="Y88" s="474"/>
      <c r="Z88" s="474"/>
      <c r="AA88" s="474"/>
      <c r="AB88" s="474"/>
      <c r="AC88" s="474"/>
      <c r="AD88" s="475"/>
      <c r="AF88" s="53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372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175" t="s">
        <v>17</v>
      </c>
      <c r="L5" s="175" t="s">
        <v>18</v>
      </c>
      <c r="M5" s="175" t="s">
        <v>19</v>
      </c>
      <c r="N5" s="17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>
        <v>0</v>
      </c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0.41319286012797513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238</v>
      </c>
      <c r="F7" s="12" t="s">
        <v>168</v>
      </c>
      <c r="G7" s="36">
        <v>1</v>
      </c>
      <c r="H7" s="38">
        <v>25</v>
      </c>
      <c r="I7" s="7">
        <v>20000</v>
      </c>
      <c r="J7" s="14">
        <v>4920</v>
      </c>
      <c r="K7" s="15">
        <f>L7+3341+4915</f>
        <v>8256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>
        <v>24</v>
      </c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0.41319286012797513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373</v>
      </c>
      <c r="F8" s="12" t="s">
        <v>130</v>
      </c>
      <c r="G8" s="36">
        <v>1</v>
      </c>
      <c r="H8" s="38">
        <v>25</v>
      </c>
      <c r="I8" s="7">
        <v>20000</v>
      </c>
      <c r="J8" s="14">
        <v>4710</v>
      </c>
      <c r="K8" s="15">
        <f>L8</f>
        <v>4701</v>
      </c>
      <c r="L8" s="15">
        <f>2712+1989</f>
        <v>4701</v>
      </c>
      <c r="M8" s="16">
        <f t="shared" si="0"/>
        <v>4701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>
        <v>1</v>
      </c>
      <c r="U8" s="17"/>
      <c r="V8" s="18"/>
      <c r="W8" s="19"/>
      <c r="X8" s="17"/>
      <c r="Y8" s="20"/>
      <c r="Z8" s="20"/>
      <c r="AA8" s="21"/>
      <c r="AB8" s="8">
        <f t="shared" si="4"/>
        <v>0.99808917197452229</v>
      </c>
      <c r="AC8" s="9">
        <f t="shared" si="5"/>
        <v>0.95833333333333337</v>
      </c>
      <c r="AD8" s="10">
        <f t="shared" si="6"/>
        <v>0.95650212314225058</v>
      </c>
      <c r="AE8" s="39">
        <f t="shared" si="7"/>
        <v>0.41319286012797513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239</v>
      </c>
      <c r="D9" s="55" t="s">
        <v>334</v>
      </c>
      <c r="E9" s="57" t="s">
        <v>335</v>
      </c>
      <c r="F9" s="12" t="s">
        <v>336</v>
      </c>
      <c r="G9" s="12">
        <v>1</v>
      </c>
      <c r="H9" s="13">
        <v>25</v>
      </c>
      <c r="I9" s="34">
        <v>6000</v>
      </c>
      <c r="J9" s="5">
        <v>4880</v>
      </c>
      <c r="K9" s="15">
        <f>L9+4873</f>
        <v>4873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0.41319286012797513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119</v>
      </c>
      <c r="D10" s="55" t="s">
        <v>374</v>
      </c>
      <c r="E10" s="57" t="s">
        <v>375</v>
      </c>
      <c r="F10" s="12">
        <v>7301</v>
      </c>
      <c r="G10" s="12">
        <v>1</v>
      </c>
      <c r="H10" s="13">
        <v>25</v>
      </c>
      <c r="I10" s="34">
        <v>300</v>
      </c>
      <c r="J10" s="14">
        <v>520</v>
      </c>
      <c r="K10" s="15">
        <f>L10</f>
        <v>516</v>
      </c>
      <c r="L10" s="15">
        <f>296+220</f>
        <v>516</v>
      </c>
      <c r="M10" s="16">
        <f t="shared" si="0"/>
        <v>516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si="4"/>
        <v>0.99230769230769234</v>
      </c>
      <c r="AC10" s="9">
        <f t="shared" si="5"/>
        <v>0.16666666666666666</v>
      </c>
      <c r="AD10" s="10">
        <f t="shared" si="6"/>
        <v>0.16538461538461538</v>
      </c>
      <c r="AE10" s="39">
        <f t="shared" si="7"/>
        <v>0.41319286012797513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129</v>
      </c>
      <c r="E11" s="57" t="s">
        <v>174</v>
      </c>
      <c r="F11" s="12">
        <v>8301</v>
      </c>
      <c r="G11" s="12">
        <v>1</v>
      </c>
      <c r="H11" s="13">
        <v>25</v>
      </c>
      <c r="I11" s="34">
        <v>4000</v>
      </c>
      <c r="J11" s="14">
        <v>1020</v>
      </c>
      <c r="K11" s="15">
        <f>L11+3296+1018</f>
        <v>4314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0.41319286012797513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2840</v>
      </c>
      <c r="K12" s="15">
        <f>L12+3669+4855+2235+2780+2059+3271+4852+4899</f>
        <v>31454</v>
      </c>
      <c r="L12" s="15">
        <f>1906+928</f>
        <v>2834</v>
      </c>
      <c r="M12" s="16">
        <f t="shared" si="0"/>
        <v>2834</v>
      </c>
      <c r="N12" s="16">
        <v>0</v>
      </c>
      <c r="O12" s="62">
        <f t="shared" si="1"/>
        <v>0</v>
      </c>
      <c r="P12" s="42">
        <f t="shared" si="2"/>
        <v>16</v>
      </c>
      <c r="Q12" s="43">
        <f t="shared" si="3"/>
        <v>8</v>
      </c>
      <c r="R12" s="7"/>
      <c r="S12" s="6">
        <v>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0.99788732394366197</v>
      </c>
      <c r="AC12" s="9">
        <f t="shared" si="5"/>
        <v>0.66666666666666663</v>
      </c>
      <c r="AD12" s="10">
        <f t="shared" si="6"/>
        <v>0.66525821596244128</v>
      </c>
      <c r="AE12" s="39">
        <f t="shared" si="7"/>
        <v>0.41319286012797513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119</v>
      </c>
      <c r="D13" s="55" t="s">
        <v>245</v>
      </c>
      <c r="E13" s="57" t="s">
        <v>246</v>
      </c>
      <c r="F13" s="12">
        <v>7301</v>
      </c>
      <c r="G13" s="12">
        <v>2</v>
      </c>
      <c r="H13" s="13">
        <v>20</v>
      </c>
      <c r="I13" s="7">
        <v>260000</v>
      </c>
      <c r="J13" s="14">
        <v>13600</v>
      </c>
      <c r="K13" s="15">
        <f>L13+11312+12742</f>
        <v>37632</v>
      </c>
      <c r="L13" s="15">
        <f>6789*2</f>
        <v>13578</v>
      </c>
      <c r="M13" s="16">
        <f t="shared" si="0"/>
        <v>13578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>
        <v>10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0.9983823529411765</v>
      </c>
      <c r="AC13" s="9">
        <f t="shared" si="5"/>
        <v>0.58333333333333337</v>
      </c>
      <c r="AD13" s="10">
        <f t="shared" si="6"/>
        <v>0.58238970588235295</v>
      </c>
      <c r="AE13" s="39">
        <f t="shared" si="7"/>
        <v>0.41319286012797513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120</v>
      </c>
      <c r="D14" s="55" t="s">
        <v>167</v>
      </c>
      <c r="E14" s="57" t="s">
        <v>340</v>
      </c>
      <c r="F14" s="33" t="s">
        <v>338</v>
      </c>
      <c r="G14" s="36">
        <v>1</v>
      </c>
      <c r="H14" s="38">
        <v>25</v>
      </c>
      <c r="I14" s="7">
        <v>10000</v>
      </c>
      <c r="J14" s="5">
        <v>4090</v>
      </c>
      <c r="K14" s="15">
        <f>L14+2215</f>
        <v>6302</v>
      </c>
      <c r="L14" s="15">
        <f>2388+1699</f>
        <v>4087</v>
      </c>
      <c r="M14" s="16">
        <f t="shared" si="0"/>
        <v>4087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0.99926650366748171</v>
      </c>
      <c r="AC14" s="9">
        <f t="shared" si="5"/>
        <v>1</v>
      </c>
      <c r="AD14" s="10">
        <f t="shared" si="6"/>
        <v>0.99926650366748171</v>
      </c>
      <c r="AE14" s="39">
        <f t="shared" si="7"/>
        <v>0.41319286012797513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142</v>
      </c>
      <c r="D15" s="55" t="s">
        <v>143</v>
      </c>
      <c r="E15" s="57" t="s">
        <v>144</v>
      </c>
      <c r="F15" s="12" t="s">
        <v>145</v>
      </c>
      <c r="G15" s="12">
        <v>8</v>
      </c>
      <c r="H15" s="13">
        <v>25</v>
      </c>
      <c r="I15" s="34">
        <v>50000</v>
      </c>
      <c r="J15" s="5">
        <v>7480</v>
      </c>
      <c r="K15" s="15">
        <f>L15+26528+7476</f>
        <v>34004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0.41319286012797513</v>
      </c>
      <c r="AF15" s="94">
        <f t="shared" si="8"/>
        <v>10</v>
      </c>
    </row>
    <row r="16" spans="1:32" ht="23.25" customHeight="1">
      <c r="A16" s="109">
        <v>11</v>
      </c>
      <c r="B16" s="11" t="s">
        <v>59</v>
      </c>
      <c r="C16" s="11" t="s">
        <v>132</v>
      </c>
      <c r="D16" s="55" t="s">
        <v>376</v>
      </c>
      <c r="E16" s="56" t="s">
        <v>377</v>
      </c>
      <c r="F16" s="12" t="s">
        <v>378</v>
      </c>
      <c r="G16" s="36">
        <v>4</v>
      </c>
      <c r="H16" s="38">
        <v>25</v>
      </c>
      <c r="I16" s="7">
        <v>1500</v>
      </c>
      <c r="J16" s="14">
        <v>2360</v>
      </c>
      <c r="K16" s="15">
        <f>L16</f>
        <v>2352</v>
      </c>
      <c r="L16" s="15">
        <f>784*3</f>
        <v>2352</v>
      </c>
      <c r="M16" s="16">
        <f t="shared" si="0"/>
        <v>2352</v>
      </c>
      <c r="N16" s="16">
        <v>0</v>
      </c>
      <c r="O16" s="62">
        <f t="shared" si="1"/>
        <v>0</v>
      </c>
      <c r="P16" s="42">
        <f t="shared" si="2"/>
        <v>5</v>
      </c>
      <c r="Q16" s="43">
        <f t="shared" si="3"/>
        <v>19</v>
      </c>
      <c r="R16" s="7"/>
      <c r="S16" s="6"/>
      <c r="T16" s="17"/>
      <c r="U16" s="17"/>
      <c r="V16" s="18"/>
      <c r="W16" s="19">
        <v>19</v>
      </c>
      <c r="X16" s="17"/>
      <c r="Y16" s="20"/>
      <c r="Z16" s="20"/>
      <c r="AA16" s="21"/>
      <c r="AB16" s="8">
        <f t="shared" si="4"/>
        <v>0.99661016949152548</v>
      </c>
      <c r="AC16" s="9">
        <f t="shared" si="5"/>
        <v>0.20833333333333334</v>
      </c>
      <c r="AD16" s="10">
        <f t="shared" si="6"/>
        <v>0.20762711864406783</v>
      </c>
      <c r="AE16" s="39">
        <f t="shared" si="7"/>
        <v>0.41319286012797513</v>
      </c>
      <c r="AF16" s="94">
        <f>A16</f>
        <v>11</v>
      </c>
    </row>
    <row r="17" spans="1:32" ht="27.75" customHeight="1">
      <c r="A17" s="109">
        <v>11</v>
      </c>
      <c r="B17" s="11" t="s">
        <v>59</v>
      </c>
      <c r="C17" s="11" t="s">
        <v>379</v>
      </c>
      <c r="D17" s="55"/>
      <c r="E17" s="56" t="s">
        <v>380</v>
      </c>
      <c r="F17" s="12">
        <v>7301</v>
      </c>
      <c r="G17" s="36">
        <v>1</v>
      </c>
      <c r="H17" s="38">
        <v>25</v>
      </c>
      <c r="I17" s="7">
        <v>2000</v>
      </c>
      <c r="J17" s="14">
        <v>2810</v>
      </c>
      <c r="K17" s="15">
        <f>L17</f>
        <v>2806</v>
      </c>
      <c r="L17" s="15">
        <f>2806</f>
        <v>2806</v>
      </c>
      <c r="M17" s="16">
        <f t="shared" ref="M17" si="10">L17-N17</f>
        <v>2806</v>
      </c>
      <c r="N17" s="16">
        <v>0</v>
      </c>
      <c r="O17" s="62">
        <f t="shared" ref="O17" si="11">IF(L17=0,"0",N17/L17)</f>
        <v>0</v>
      </c>
      <c r="P17" s="42">
        <f t="shared" ref="P17" si="12">IF(L17=0,"0",(24-Q17))</f>
        <v>15</v>
      </c>
      <c r="Q17" s="43">
        <f t="shared" ref="Q17" si="13">SUM(R17:AA17)</f>
        <v>9</v>
      </c>
      <c r="R17" s="7"/>
      <c r="S17" s="6"/>
      <c r="T17" s="17">
        <v>9</v>
      </c>
      <c r="U17" s="17"/>
      <c r="V17" s="18"/>
      <c r="W17" s="19"/>
      <c r="X17" s="17"/>
      <c r="Y17" s="20"/>
      <c r="Z17" s="20"/>
      <c r="AA17" s="21"/>
      <c r="AB17" s="8">
        <f t="shared" ref="AB17" si="14">IF(J17=0,"0",(L17/J17))</f>
        <v>0.99857651245551604</v>
      </c>
      <c r="AC17" s="9">
        <f t="shared" ref="AC17" si="15">IF(P17=0,"0",(P17/24))</f>
        <v>0.625</v>
      </c>
      <c r="AD17" s="10">
        <f t="shared" ref="AD17" si="16">AC17*AB17*(1-O17)</f>
        <v>0.62411032028469748</v>
      </c>
      <c r="AE17" s="39">
        <f t="shared" si="7"/>
        <v>0.41319286012797513</v>
      </c>
      <c r="AF17" s="94">
        <f>A17</f>
        <v>11</v>
      </c>
    </row>
    <row r="18" spans="1:32" ht="27" customHeight="1">
      <c r="A18" s="109">
        <v>12</v>
      </c>
      <c r="B18" s="11" t="s">
        <v>59</v>
      </c>
      <c r="C18" s="37" t="s">
        <v>119</v>
      </c>
      <c r="D18" s="55" t="s">
        <v>153</v>
      </c>
      <c r="E18" s="56" t="s">
        <v>157</v>
      </c>
      <c r="F18" s="12">
        <v>8301</v>
      </c>
      <c r="G18" s="12">
        <v>1</v>
      </c>
      <c r="H18" s="13">
        <v>25</v>
      </c>
      <c r="I18" s="34">
        <v>800</v>
      </c>
      <c r="J18" s="5">
        <v>1441</v>
      </c>
      <c r="K18" s="15">
        <f>L18+1441</f>
        <v>1441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>
        <v>24</v>
      </c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0.41319286012797513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119</v>
      </c>
      <c r="D19" s="55" t="s">
        <v>122</v>
      </c>
      <c r="E19" s="57" t="s">
        <v>137</v>
      </c>
      <c r="F19" s="12" t="s">
        <v>155</v>
      </c>
      <c r="G19" s="12">
        <v>1</v>
      </c>
      <c r="H19" s="13">
        <v>25</v>
      </c>
      <c r="I19" s="34">
        <v>23000</v>
      </c>
      <c r="J19" s="5">
        <v>5310</v>
      </c>
      <c r="K19" s="15">
        <f>L19+2373+5342+5324+2259+3330+5266+3259</f>
        <v>32456</v>
      </c>
      <c r="L19" s="15">
        <f>2784+2519</f>
        <v>5303</v>
      </c>
      <c r="M19" s="16">
        <f t="shared" si="0"/>
        <v>5303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0.99868173258003767</v>
      </c>
      <c r="AC19" s="9">
        <f t="shared" si="5"/>
        <v>1</v>
      </c>
      <c r="AD19" s="10">
        <f t="shared" si="6"/>
        <v>0.99868173258003767</v>
      </c>
      <c r="AE19" s="39">
        <f t="shared" si="7"/>
        <v>0.41319286012797513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120</v>
      </c>
      <c r="D20" s="55" t="s">
        <v>58</v>
      </c>
      <c r="E20" s="57" t="s">
        <v>339</v>
      </c>
      <c r="F20" s="12" t="s">
        <v>252</v>
      </c>
      <c r="G20" s="12">
        <v>1</v>
      </c>
      <c r="H20" s="13">
        <v>25</v>
      </c>
      <c r="I20" s="34">
        <v>6000</v>
      </c>
      <c r="J20" s="5">
        <v>4520</v>
      </c>
      <c r="K20" s="15">
        <f>L20+2103</f>
        <v>6617</v>
      </c>
      <c r="L20" s="15">
        <f>2371+2143</f>
        <v>4514</v>
      </c>
      <c r="M20" s="16">
        <f t="shared" si="0"/>
        <v>4514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0.99867256637168145</v>
      </c>
      <c r="AC20" s="9">
        <f t="shared" si="5"/>
        <v>1</v>
      </c>
      <c r="AD20" s="10">
        <f t="shared" si="6"/>
        <v>0.99867256637168145</v>
      </c>
      <c r="AE20" s="39">
        <f t="shared" si="7"/>
        <v>0.41319286012797513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117</v>
      </c>
      <c r="D21" s="55"/>
      <c r="E21" s="56" t="s">
        <v>172</v>
      </c>
      <c r="F21" s="12" t="s">
        <v>118</v>
      </c>
      <c r="G21" s="12">
        <v>4</v>
      </c>
      <c r="H21" s="38">
        <v>20</v>
      </c>
      <c r="I21" s="7">
        <v>200000</v>
      </c>
      <c r="J21" s="14">
        <v>16170</v>
      </c>
      <c r="K21" s="15">
        <f>L21+51172+67944+16164</f>
        <v>135280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0.41319286012797513</v>
      </c>
      <c r="AF21" s="94">
        <f t="shared" si="8"/>
        <v>15</v>
      </c>
    </row>
    <row r="22" spans="1:32" ht="31.5" customHeight="1" thickBot="1">
      <c r="A22" s="382" t="s">
        <v>34</v>
      </c>
      <c r="B22" s="383"/>
      <c r="C22" s="383"/>
      <c r="D22" s="383"/>
      <c r="E22" s="383"/>
      <c r="F22" s="383"/>
      <c r="G22" s="383"/>
      <c r="H22" s="384"/>
      <c r="I22" s="25">
        <f t="shared" ref="I22:N22" si="17">SUM(I6:I21)</f>
        <v>650600</v>
      </c>
      <c r="J22" s="22">
        <f t="shared" si="17"/>
        <v>78641</v>
      </c>
      <c r="K22" s="23">
        <f t="shared" si="17"/>
        <v>314966</v>
      </c>
      <c r="L22" s="24">
        <f t="shared" si="17"/>
        <v>40691</v>
      </c>
      <c r="M22" s="23">
        <f t="shared" si="17"/>
        <v>40691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149</v>
      </c>
      <c r="Q22" s="46">
        <f t="shared" si="18"/>
        <v>235</v>
      </c>
      <c r="R22" s="26">
        <f t="shared" si="18"/>
        <v>72</v>
      </c>
      <c r="S22" s="27">
        <f t="shared" si="18"/>
        <v>42</v>
      </c>
      <c r="T22" s="27">
        <f t="shared" si="18"/>
        <v>10</v>
      </c>
      <c r="U22" s="27">
        <f t="shared" si="18"/>
        <v>0</v>
      </c>
      <c r="V22" s="28">
        <f t="shared" si="18"/>
        <v>0</v>
      </c>
      <c r="W22" s="29">
        <f t="shared" si="18"/>
        <v>111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0.59856493504888642</v>
      </c>
      <c r="AC22" s="4">
        <f>SUM(AC6:AC21)/15</f>
        <v>0.41388888888888892</v>
      </c>
      <c r="AD22" s="4">
        <f>SUM(AD6:AD21)/15</f>
        <v>0.41319286012797513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5" t="s">
        <v>46</v>
      </c>
      <c r="B49" s="385"/>
      <c r="C49" s="385"/>
      <c r="D49" s="385"/>
      <c r="E49" s="38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86" t="s">
        <v>381</v>
      </c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8"/>
      <c r="N50" s="389" t="s">
        <v>393</v>
      </c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  <c r="AA50" s="390"/>
      <c r="AB50" s="390"/>
      <c r="AC50" s="390"/>
      <c r="AD50" s="391"/>
    </row>
    <row r="51" spans="1:32" ht="27" customHeight="1">
      <c r="A51" s="392" t="s">
        <v>2</v>
      </c>
      <c r="B51" s="393"/>
      <c r="C51" s="176" t="s">
        <v>47</v>
      </c>
      <c r="D51" s="176" t="s">
        <v>48</v>
      </c>
      <c r="E51" s="176" t="s">
        <v>111</v>
      </c>
      <c r="F51" s="393" t="s">
        <v>110</v>
      </c>
      <c r="G51" s="393"/>
      <c r="H51" s="393"/>
      <c r="I51" s="393"/>
      <c r="J51" s="393"/>
      <c r="K51" s="393"/>
      <c r="L51" s="393"/>
      <c r="M51" s="394"/>
      <c r="N51" s="73" t="s">
        <v>115</v>
      </c>
      <c r="O51" s="176" t="s">
        <v>47</v>
      </c>
      <c r="P51" s="395" t="s">
        <v>48</v>
      </c>
      <c r="Q51" s="396"/>
      <c r="R51" s="395" t="s">
        <v>39</v>
      </c>
      <c r="S51" s="397"/>
      <c r="T51" s="397"/>
      <c r="U51" s="396"/>
      <c r="V51" s="395" t="s">
        <v>49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09" t="s">
        <v>254</v>
      </c>
      <c r="B52" s="410"/>
      <c r="C52" s="178" t="s">
        <v>382</v>
      </c>
      <c r="D52" s="178" t="s">
        <v>135</v>
      </c>
      <c r="E52" s="181" t="s">
        <v>383</v>
      </c>
      <c r="F52" s="411" t="s">
        <v>384</v>
      </c>
      <c r="G52" s="411"/>
      <c r="H52" s="411"/>
      <c r="I52" s="411"/>
      <c r="J52" s="411"/>
      <c r="K52" s="411"/>
      <c r="L52" s="411"/>
      <c r="M52" s="412"/>
      <c r="N52" s="177" t="s">
        <v>119</v>
      </c>
      <c r="O52" s="74" t="s">
        <v>395</v>
      </c>
      <c r="P52" s="410" t="s">
        <v>396</v>
      </c>
      <c r="Q52" s="410"/>
      <c r="R52" s="410" t="s">
        <v>394</v>
      </c>
      <c r="S52" s="410"/>
      <c r="T52" s="410"/>
      <c r="U52" s="410"/>
      <c r="V52" s="411" t="s">
        <v>356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344</v>
      </c>
      <c r="B53" s="410"/>
      <c r="C53" s="178" t="s">
        <v>196</v>
      </c>
      <c r="D53" s="178" t="s">
        <v>334</v>
      </c>
      <c r="E53" s="181" t="s">
        <v>335</v>
      </c>
      <c r="F53" s="411" t="s">
        <v>385</v>
      </c>
      <c r="G53" s="411"/>
      <c r="H53" s="411"/>
      <c r="I53" s="411"/>
      <c r="J53" s="411"/>
      <c r="K53" s="411"/>
      <c r="L53" s="411"/>
      <c r="M53" s="412"/>
      <c r="N53" s="177" t="s">
        <v>119</v>
      </c>
      <c r="O53" s="74" t="s">
        <v>387</v>
      </c>
      <c r="P53" s="413" t="s">
        <v>397</v>
      </c>
      <c r="Q53" s="414"/>
      <c r="R53" s="410" t="s">
        <v>398</v>
      </c>
      <c r="S53" s="410"/>
      <c r="T53" s="410"/>
      <c r="U53" s="410"/>
      <c r="V53" s="411" t="s">
        <v>311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119</v>
      </c>
      <c r="B54" s="410"/>
      <c r="C54" s="178" t="s">
        <v>272</v>
      </c>
      <c r="D54" s="178" t="s">
        <v>245</v>
      </c>
      <c r="E54" s="181" t="s">
        <v>246</v>
      </c>
      <c r="F54" s="411" t="s">
        <v>386</v>
      </c>
      <c r="G54" s="411"/>
      <c r="H54" s="411"/>
      <c r="I54" s="411"/>
      <c r="J54" s="411"/>
      <c r="K54" s="411"/>
      <c r="L54" s="411"/>
      <c r="M54" s="412"/>
      <c r="N54" s="177" t="s">
        <v>119</v>
      </c>
      <c r="O54" s="74" t="s">
        <v>390</v>
      </c>
      <c r="P54" s="413" t="s">
        <v>374</v>
      </c>
      <c r="Q54" s="414"/>
      <c r="R54" s="410" t="s">
        <v>139</v>
      </c>
      <c r="S54" s="410"/>
      <c r="T54" s="410"/>
      <c r="U54" s="410"/>
      <c r="V54" s="411" t="s">
        <v>399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119</v>
      </c>
      <c r="B55" s="410"/>
      <c r="C55" s="178" t="s">
        <v>387</v>
      </c>
      <c r="D55" s="178" t="s">
        <v>374</v>
      </c>
      <c r="E55" s="181" t="s">
        <v>375</v>
      </c>
      <c r="F55" s="411" t="s">
        <v>384</v>
      </c>
      <c r="G55" s="411"/>
      <c r="H55" s="411"/>
      <c r="I55" s="411"/>
      <c r="J55" s="411"/>
      <c r="K55" s="411"/>
      <c r="L55" s="411"/>
      <c r="M55" s="412"/>
      <c r="N55" s="177" t="s">
        <v>379</v>
      </c>
      <c r="O55" s="74" t="s">
        <v>388</v>
      </c>
      <c r="P55" s="413"/>
      <c r="Q55" s="414"/>
      <c r="R55" s="410" t="s">
        <v>400</v>
      </c>
      <c r="S55" s="410"/>
      <c r="T55" s="410"/>
      <c r="U55" s="410"/>
      <c r="V55" s="411" t="s">
        <v>311</v>
      </c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379</v>
      </c>
      <c r="B56" s="410"/>
      <c r="C56" s="178" t="s">
        <v>388</v>
      </c>
      <c r="D56" s="178"/>
      <c r="E56" s="181" t="s">
        <v>389</v>
      </c>
      <c r="F56" s="411" t="s">
        <v>384</v>
      </c>
      <c r="G56" s="411"/>
      <c r="H56" s="411"/>
      <c r="I56" s="411"/>
      <c r="J56" s="411"/>
      <c r="K56" s="411"/>
      <c r="L56" s="411"/>
      <c r="M56" s="412"/>
      <c r="N56" s="177"/>
      <c r="O56" s="74"/>
      <c r="P56" s="413"/>
      <c r="Q56" s="414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 t="s">
        <v>132</v>
      </c>
      <c r="B57" s="410"/>
      <c r="C57" s="178" t="s">
        <v>388</v>
      </c>
      <c r="D57" s="178" t="s">
        <v>376</v>
      </c>
      <c r="E57" s="181" t="s">
        <v>377</v>
      </c>
      <c r="F57" s="411" t="s">
        <v>384</v>
      </c>
      <c r="G57" s="411"/>
      <c r="H57" s="411"/>
      <c r="I57" s="411"/>
      <c r="J57" s="411"/>
      <c r="K57" s="411"/>
      <c r="L57" s="411"/>
      <c r="M57" s="412"/>
      <c r="N57" s="177"/>
      <c r="O57" s="74"/>
      <c r="P57" s="410"/>
      <c r="Q57" s="410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09" t="s">
        <v>119</v>
      </c>
      <c r="B58" s="410"/>
      <c r="C58" s="178" t="s">
        <v>390</v>
      </c>
      <c r="D58" s="178" t="s">
        <v>123</v>
      </c>
      <c r="E58" s="181" t="s">
        <v>391</v>
      </c>
      <c r="F58" s="411" t="s">
        <v>392</v>
      </c>
      <c r="G58" s="411"/>
      <c r="H58" s="411"/>
      <c r="I58" s="411"/>
      <c r="J58" s="411"/>
      <c r="K58" s="411"/>
      <c r="L58" s="411"/>
      <c r="M58" s="412"/>
      <c r="N58" s="177"/>
      <c r="O58" s="74"/>
      <c r="P58" s="413"/>
      <c r="Q58" s="414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19"/>
      <c r="B59" s="420"/>
      <c r="C59" s="181"/>
      <c r="D59" s="178"/>
      <c r="E59" s="181"/>
      <c r="F59" s="411"/>
      <c r="G59" s="411"/>
      <c r="H59" s="411"/>
      <c r="I59" s="411"/>
      <c r="J59" s="411"/>
      <c r="K59" s="411"/>
      <c r="L59" s="411"/>
      <c r="M59" s="412"/>
      <c r="N59" s="177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</row>
    <row r="60" spans="1:32" ht="27" customHeight="1">
      <c r="A60" s="409"/>
      <c r="B60" s="410"/>
      <c r="C60" s="178"/>
      <c r="D60" s="178"/>
      <c r="E60" s="178"/>
      <c r="F60" s="411"/>
      <c r="G60" s="411"/>
      <c r="H60" s="411"/>
      <c r="I60" s="411"/>
      <c r="J60" s="411"/>
      <c r="K60" s="411"/>
      <c r="L60" s="411"/>
      <c r="M60" s="412"/>
      <c r="N60" s="177"/>
      <c r="O60" s="74"/>
      <c r="P60" s="410"/>
      <c r="Q60" s="410"/>
      <c r="R60" s="410"/>
      <c r="S60" s="410"/>
      <c r="T60" s="410"/>
      <c r="U60" s="410"/>
      <c r="V60" s="411"/>
      <c r="W60" s="411"/>
      <c r="X60" s="411"/>
      <c r="Y60" s="411"/>
      <c r="Z60" s="411"/>
      <c r="AA60" s="411"/>
      <c r="AB60" s="411"/>
      <c r="AC60" s="411"/>
      <c r="AD60" s="412"/>
      <c r="AF60" s="94">
        <f>8*3000</f>
        <v>24000</v>
      </c>
    </row>
    <row r="61" spans="1:32" ht="27" customHeight="1" thickBot="1">
      <c r="A61" s="415"/>
      <c r="B61" s="416"/>
      <c r="C61" s="180"/>
      <c r="D61" s="180"/>
      <c r="E61" s="180"/>
      <c r="F61" s="417"/>
      <c r="G61" s="417"/>
      <c r="H61" s="417"/>
      <c r="I61" s="417"/>
      <c r="J61" s="417"/>
      <c r="K61" s="417"/>
      <c r="L61" s="417"/>
      <c r="M61" s="418"/>
      <c r="N61" s="179"/>
      <c r="O61" s="121"/>
      <c r="P61" s="416"/>
      <c r="Q61" s="416"/>
      <c r="R61" s="416"/>
      <c r="S61" s="416"/>
      <c r="T61" s="416"/>
      <c r="U61" s="416"/>
      <c r="V61" s="417"/>
      <c r="W61" s="417"/>
      <c r="X61" s="417"/>
      <c r="Y61" s="417"/>
      <c r="Z61" s="417"/>
      <c r="AA61" s="417"/>
      <c r="AB61" s="417"/>
      <c r="AC61" s="417"/>
      <c r="AD61" s="418"/>
      <c r="AF61" s="94">
        <f>16*3000</f>
        <v>48000</v>
      </c>
    </row>
    <row r="62" spans="1:32" ht="27.75" thickBot="1">
      <c r="A62" s="421" t="s">
        <v>401</v>
      </c>
      <c r="B62" s="421"/>
      <c r="C62" s="421"/>
      <c r="D62" s="421"/>
      <c r="E62" s="42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2" t="s">
        <v>116</v>
      </c>
      <c r="B63" s="423"/>
      <c r="C63" s="182" t="s">
        <v>2</v>
      </c>
      <c r="D63" s="182" t="s">
        <v>38</v>
      </c>
      <c r="E63" s="182" t="s">
        <v>3</v>
      </c>
      <c r="F63" s="423" t="s">
        <v>113</v>
      </c>
      <c r="G63" s="423"/>
      <c r="H63" s="423"/>
      <c r="I63" s="423"/>
      <c r="J63" s="423"/>
      <c r="K63" s="423" t="s">
        <v>40</v>
      </c>
      <c r="L63" s="423"/>
      <c r="M63" s="182" t="s">
        <v>41</v>
      </c>
      <c r="N63" s="423" t="s">
        <v>42</v>
      </c>
      <c r="O63" s="423"/>
      <c r="P63" s="424" t="s">
        <v>43</v>
      </c>
      <c r="Q63" s="425"/>
      <c r="R63" s="424" t="s">
        <v>44</v>
      </c>
      <c r="S63" s="426"/>
      <c r="T63" s="426"/>
      <c r="U63" s="426"/>
      <c r="V63" s="426"/>
      <c r="W63" s="426"/>
      <c r="X63" s="426"/>
      <c r="Y63" s="426"/>
      <c r="Z63" s="426"/>
      <c r="AA63" s="425"/>
      <c r="AB63" s="423" t="s">
        <v>45</v>
      </c>
      <c r="AC63" s="423"/>
      <c r="AD63" s="427"/>
      <c r="AF63" s="94">
        <f>SUM(AF60:AF62)</f>
        <v>96000</v>
      </c>
    </row>
    <row r="64" spans="1:32" ht="25.5" customHeight="1">
      <c r="A64" s="428">
        <v>1</v>
      </c>
      <c r="B64" s="429"/>
      <c r="C64" s="124" t="s">
        <v>402</v>
      </c>
      <c r="D64" s="185"/>
      <c r="E64" s="183" t="s">
        <v>403</v>
      </c>
      <c r="F64" s="430" t="s">
        <v>404</v>
      </c>
      <c r="G64" s="431"/>
      <c r="H64" s="431"/>
      <c r="I64" s="431"/>
      <c r="J64" s="431"/>
      <c r="K64" s="431" t="s">
        <v>405</v>
      </c>
      <c r="L64" s="431"/>
      <c r="M64" s="54" t="s">
        <v>406</v>
      </c>
      <c r="N64" s="431">
        <v>4</v>
      </c>
      <c r="O64" s="431"/>
      <c r="P64" s="432">
        <v>50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2</v>
      </c>
      <c r="B65" s="429"/>
      <c r="C65" s="124" t="s">
        <v>402</v>
      </c>
      <c r="D65" s="185"/>
      <c r="E65" s="183" t="s">
        <v>407</v>
      </c>
      <c r="F65" s="430" t="s">
        <v>408</v>
      </c>
      <c r="G65" s="431"/>
      <c r="H65" s="431"/>
      <c r="I65" s="431"/>
      <c r="J65" s="431"/>
      <c r="K65" s="431" t="s">
        <v>405</v>
      </c>
      <c r="L65" s="431"/>
      <c r="M65" s="54" t="s">
        <v>406</v>
      </c>
      <c r="N65" s="431">
        <v>5</v>
      </c>
      <c r="O65" s="431"/>
      <c r="P65" s="432">
        <v>50</v>
      </c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3</v>
      </c>
      <c r="B66" s="429"/>
      <c r="C66" s="124"/>
      <c r="D66" s="185"/>
      <c r="E66" s="183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4</v>
      </c>
      <c r="B67" s="429"/>
      <c r="C67" s="124"/>
      <c r="D67" s="185"/>
      <c r="E67" s="183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5</v>
      </c>
      <c r="B68" s="429"/>
      <c r="C68" s="124"/>
      <c r="D68" s="185"/>
      <c r="E68" s="183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6</v>
      </c>
      <c r="B69" s="429"/>
      <c r="C69" s="124"/>
      <c r="D69" s="185"/>
      <c r="E69" s="183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7</v>
      </c>
      <c r="B70" s="429"/>
      <c r="C70" s="124"/>
      <c r="D70" s="185"/>
      <c r="E70" s="183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5.5" customHeight="1">
      <c r="A71" s="428">
        <v>8</v>
      </c>
      <c r="B71" s="429"/>
      <c r="C71" s="124"/>
      <c r="D71" s="185"/>
      <c r="E71" s="183"/>
      <c r="F71" s="430"/>
      <c r="G71" s="431"/>
      <c r="H71" s="431"/>
      <c r="I71" s="431"/>
      <c r="J71" s="431"/>
      <c r="K71" s="431"/>
      <c r="L71" s="431"/>
      <c r="M71" s="54"/>
      <c r="N71" s="431"/>
      <c r="O71" s="431"/>
      <c r="P71" s="432"/>
      <c r="Q71" s="432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31"/>
      <c r="AC71" s="431"/>
      <c r="AD71" s="433"/>
      <c r="AF71" s="53"/>
    </row>
    <row r="72" spans="1:32" ht="26.25" customHeight="1" thickBot="1">
      <c r="A72" s="434" t="s">
        <v>409</v>
      </c>
      <c r="B72" s="434"/>
      <c r="C72" s="434"/>
      <c r="D72" s="434"/>
      <c r="E72" s="43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35" t="s">
        <v>116</v>
      </c>
      <c r="B73" s="436"/>
      <c r="C73" s="184" t="s">
        <v>2</v>
      </c>
      <c r="D73" s="184" t="s">
        <v>38</v>
      </c>
      <c r="E73" s="184" t="s">
        <v>3</v>
      </c>
      <c r="F73" s="436" t="s">
        <v>39</v>
      </c>
      <c r="G73" s="436"/>
      <c r="H73" s="436"/>
      <c r="I73" s="436"/>
      <c r="J73" s="436"/>
      <c r="K73" s="437" t="s">
        <v>60</v>
      </c>
      <c r="L73" s="438"/>
      <c r="M73" s="438"/>
      <c r="N73" s="438"/>
      <c r="O73" s="438"/>
      <c r="P73" s="438"/>
      <c r="Q73" s="438"/>
      <c r="R73" s="438"/>
      <c r="S73" s="439"/>
      <c r="T73" s="436" t="s">
        <v>50</v>
      </c>
      <c r="U73" s="436"/>
      <c r="V73" s="437" t="s">
        <v>51</v>
      </c>
      <c r="W73" s="439"/>
      <c r="X73" s="438" t="s">
        <v>52</v>
      </c>
      <c r="Y73" s="438"/>
      <c r="Z73" s="438"/>
      <c r="AA73" s="438"/>
      <c r="AB73" s="438"/>
      <c r="AC73" s="438"/>
      <c r="AD73" s="440"/>
      <c r="AF73" s="53"/>
    </row>
    <row r="74" spans="1:32" ht="33.75" customHeight="1">
      <c r="A74" s="449">
        <v>1</v>
      </c>
      <c r="B74" s="450"/>
      <c r="C74" s="186" t="s">
        <v>119</v>
      </c>
      <c r="D74" s="186"/>
      <c r="E74" s="71" t="s">
        <v>127</v>
      </c>
      <c r="F74" s="451" t="s">
        <v>128</v>
      </c>
      <c r="G74" s="452"/>
      <c r="H74" s="452"/>
      <c r="I74" s="452"/>
      <c r="J74" s="453"/>
      <c r="K74" s="454" t="s">
        <v>121</v>
      </c>
      <c r="L74" s="455"/>
      <c r="M74" s="455"/>
      <c r="N74" s="455"/>
      <c r="O74" s="455"/>
      <c r="P74" s="455"/>
      <c r="Q74" s="455"/>
      <c r="R74" s="455"/>
      <c r="S74" s="456"/>
      <c r="T74" s="457">
        <v>42901</v>
      </c>
      <c r="U74" s="458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1">
        <f>A74+1</f>
        <v>2</v>
      </c>
      <c r="B75" s="442"/>
      <c r="C75" s="185" t="s">
        <v>119</v>
      </c>
      <c r="D75" s="185"/>
      <c r="E75" s="35" t="s">
        <v>124</v>
      </c>
      <c r="F75" s="442" t="s">
        <v>125</v>
      </c>
      <c r="G75" s="442"/>
      <c r="H75" s="442"/>
      <c r="I75" s="442"/>
      <c r="J75" s="442"/>
      <c r="K75" s="443" t="s">
        <v>126</v>
      </c>
      <c r="L75" s="444"/>
      <c r="M75" s="444"/>
      <c r="N75" s="444"/>
      <c r="O75" s="444"/>
      <c r="P75" s="444"/>
      <c r="Q75" s="444"/>
      <c r="R75" s="444"/>
      <c r="S75" s="445"/>
      <c r="T75" s="446">
        <v>42867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ref="A76:A82" si="19">A75+1</f>
        <v>3</v>
      </c>
      <c r="B76" s="442"/>
      <c r="C76" s="185" t="s">
        <v>120</v>
      </c>
      <c r="D76" s="185"/>
      <c r="E76" s="35" t="s">
        <v>354</v>
      </c>
      <c r="F76" s="442" t="s">
        <v>371</v>
      </c>
      <c r="G76" s="442"/>
      <c r="H76" s="442"/>
      <c r="I76" s="442"/>
      <c r="J76" s="442"/>
      <c r="K76" s="443" t="s">
        <v>330</v>
      </c>
      <c r="L76" s="444"/>
      <c r="M76" s="444"/>
      <c r="N76" s="444"/>
      <c r="O76" s="444"/>
      <c r="P76" s="444"/>
      <c r="Q76" s="444"/>
      <c r="R76" s="444"/>
      <c r="S76" s="445"/>
      <c r="T76" s="446">
        <v>42921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9"/>
        <v>4</v>
      </c>
      <c r="B77" s="442"/>
      <c r="C77" s="185" t="s">
        <v>292</v>
      </c>
      <c r="D77" s="185"/>
      <c r="E77" s="35" t="s">
        <v>323</v>
      </c>
      <c r="F77" s="442" t="s">
        <v>294</v>
      </c>
      <c r="G77" s="442"/>
      <c r="H77" s="442"/>
      <c r="I77" s="442"/>
      <c r="J77" s="442"/>
      <c r="K77" s="443" t="s">
        <v>331</v>
      </c>
      <c r="L77" s="444"/>
      <c r="M77" s="444"/>
      <c r="N77" s="444"/>
      <c r="O77" s="444"/>
      <c r="P77" s="444"/>
      <c r="Q77" s="444"/>
      <c r="R77" s="444"/>
      <c r="S77" s="445"/>
      <c r="T77" s="446">
        <v>42920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9"/>
        <v>5</v>
      </c>
      <c r="B78" s="442"/>
      <c r="C78" s="185"/>
      <c r="D78" s="185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9"/>
        <v>6</v>
      </c>
      <c r="B79" s="442"/>
      <c r="C79" s="185"/>
      <c r="D79" s="185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9"/>
        <v>7</v>
      </c>
      <c r="B80" s="442"/>
      <c r="C80" s="185"/>
      <c r="D80" s="185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9"/>
        <v>8</v>
      </c>
      <c r="B81" s="442"/>
      <c r="C81" s="185"/>
      <c r="D81" s="185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0" customHeight="1">
      <c r="A82" s="441">
        <f t="shared" si="19"/>
        <v>9</v>
      </c>
      <c r="B82" s="442"/>
      <c r="C82" s="185"/>
      <c r="D82" s="185"/>
      <c r="E82" s="35"/>
      <c r="F82" s="442"/>
      <c r="G82" s="442"/>
      <c r="H82" s="442"/>
      <c r="I82" s="442"/>
      <c r="J82" s="442"/>
      <c r="K82" s="443"/>
      <c r="L82" s="444"/>
      <c r="M82" s="444"/>
      <c r="N82" s="444"/>
      <c r="O82" s="444"/>
      <c r="P82" s="444"/>
      <c r="Q82" s="444"/>
      <c r="R82" s="444"/>
      <c r="S82" s="445"/>
      <c r="T82" s="446"/>
      <c r="U82" s="446"/>
      <c r="V82" s="446"/>
      <c r="W82" s="446"/>
      <c r="X82" s="447"/>
      <c r="Y82" s="447"/>
      <c r="Z82" s="447"/>
      <c r="AA82" s="447"/>
      <c r="AB82" s="447"/>
      <c r="AC82" s="447"/>
      <c r="AD82" s="448"/>
      <c r="AF82" s="53"/>
    </row>
    <row r="83" spans="1:32" ht="36" thickBot="1">
      <c r="A83" s="434" t="s">
        <v>410</v>
      </c>
      <c r="B83" s="434"/>
      <c r="C83" s="434"/>
      <c r="D83" s="434"/>
      <c r="E83" s="43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2" t="s">
        <v>37</v>
      </c>
      <c r="B84" s="463"/>
      <c r="C84" s="463" t="s">
        <v>53</v>
      </c>
      <c r="D84" s="463"/>
      <c r="E84" s="463" t="s">
        <v>54</v>
      </c>
      <c r="F84" s="463"/>
      <c r="G84" s="463"/>
      <c r="H84" s="463"/>
      <c r="I84" s="463"/>
      <c r="J84" s="463"/>
      <c r="K84" s="463" t="s">
        <v>55</v>
      </c>
      <c r="L84" s="463"/>
      <c r="M84" s="463"/>
      <c r="N84" s="463"/>
      <c r="O84" s="463"/>
      <c r="P84" s="463"/>
      <c r="Q84" s="463"/>
      <c r="R84" s="463"/>
      <c r="S84" s="463"/>
      <c r="T84" s="463" t="s">
        <v>56</v>
      </c>
      <c r="U84" s="463"/>
      <c r="V84" s="463" t="s">
        <v>57</v>
      </c>
      <c r="W84" s="463"/>
      <c r="X84" s="463"/>
      <c r="Y84" s="463" t="s">
        <v>52</v>
      </c>
      <c r="Z84" s="463"/>
      <c r="AA84" s="463"/>
      <c r="AB84" s="463"/>
      <c r="AC84" s="463"/>
      <c r="AD84" s="464"/>
      <c r="AF84" s="53"/>
    </row>
    <row r="85" spans="1:32" ht="30.75" customHeight="1">
      <c r="A85" s="449">
        <v>1</v>
      </c>
      <c r="B85" s="450"/>
      <c r="C85" s="465">
        <v>1</v>
      </c>
      <c r="D85" s="465"/>
      <c r="E85" s="465" t="s">
        <v>149</v>
      </c>
      <c r="F85" s="465"/>
      <c r="G85" s="465"/>
      <c r="H85" s="465"/>
      <c r="I85" s="465"/>
      <c r="J85" s="465"/>
      <c r="K85" s="465" t="s">
        <v>150</v>
      </c>
      <c r="L85" s="465"/>
      <c r="M85" s="465"/>
      <c r="N85" s="465"/>
      <c r="O85" s="465"/>
      <c r="P85" s="465"/>
      <c r="Q85" s="465"/>
      <c r="R85" s="465"/>
      <c r="S85" s="465"/>
      <c r="T85" s="465" t="s">
        <v>151</v>
      </c>
      <c r="U85" s="465"/>
      <c r="V85" s="466">
        <v>1500000</v>
      </c>
      <c r="W85" s="466"/>
      <c r="X85" s="466"/>
      <c r="Y85" s="467" t="s">
        <v>152</v>
      </c>
      <c r="Z85" s="467"/>
      <c r="AA85" s="467"/>
      <c r="AB85" s="467"/>
      <c r="AC85" s="467"/>
      <c r="AD85" s="468"/>
      <c r="AF85" s="53"/>
    </row>
    <row r="86" spans="1:32" ht="30.75" customHeight="1">
      <c r="A86" s="441">
        <v>2</v>
      </c>
      <c r="B86" s="442"/>
      <c r="C86" s="476">
        <v>10</v>
      </c>
      <c r="D86" s="476"/>
      <c r="E86" s="476" t="s">
        <v>162</v>
      </c>
      <c r="F86" s="476"/>
      <c r="G86" s="476"/>
      <c r="H86" s="476"/>
      <c r="I86" s="476"/>
      <c r="J86" s="476"/>
      <c r="K86" s="476" t="s">
        <v>163</v>
      </c>
      <c r="L86" s="476"/>
      <c r="M86" s="476"/>
      <c r="N86" s="476"/>
      <c r="O86" s="476"/>
      <c r="P86" s="476"/>
      <c r="Q86" s="476"/>
      <c r="R86" s="476"/>
      <c r="S86" s="476"/>
      <c r="T86" s="477" t="s">
        <v>164</v>
      </c>
      <c r="U86" s="477"/>
      <c r="V86" s="478">
        <v>350000</v>
      </c>
      <c r="W86" s="478"/>
      <c r="X86" s="478"/>
      <c r="Y86" s="469" t="s">
        <v>176</v>
      </c>
      <c r="Z86" s="469"/>
      <c r="AA86" s="469"/>
      <c r="AB86" s="469"/>
      <c r="AC86" s="469"/>
      <c r="AD86" s="470"/>
      <c r="AF86" s="53"/>
    </row>
    <row r="87" spans="1:32" ht="30.75" customHeight="1" thickBot="1">
      <c r="A87" s="471">
        <v>3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3"/>
      <c r="W87" s="473"/>
      <c r="X87" s="473"/>
      <c r="Y87" s="474"/>
      <c r="Z87" s="474"/>
      <c r="AA87" s="474"/>
      <c r="AB87" s="474"/>
      <c r="AC87" s="474"/>
      <c r="AD87" s="47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411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198" t="s">
        <v>17</v>
      </c>
      <c r="L5" s="198" t="s">
        <v>18</v>
      </c>
      <c r="M5" s="198" t="s">
        <v>19</v>
      </c>
      <c r="N5" s="19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0.46062905018381617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238</v>
      </c>
      <c r="F7" s="12" t="s">
        <v>168</v>
      </c>
      <c r="G7" s="36">
        <v>1</v>
      </c>
      <c r="H7" s="38">
        <v>25</v>
      </c>
      <c r="I7" s="7">
        <v>20000</v>
      </c>
      <c r="J7" s="14">
        <v>4920</v>
      </c>
      <c r="K7" s="15">
        <f>L7+3341+4915</f>
        <v>8256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>
        <v>24</v>
      </c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0.46062905018381617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373</v>
      </c>
      <c r="F8" s="12" t="s">
        <v>130</v>
      </c>
      <c r="G8" s="36">
        <v>1</v>
      </c>
      <c r="H8" s="38">
        <v>25</v>
      </c>
      <c r="I8" s="7">
        <v>20000</v>
      </c>
      <c r="J8" s="14">
        <v>4450</v>
      </c>
      <c r="K8" s="15">
        <f>L8+4701</f>
        <v>9142</v>
      </c>
      <c r="L8" s="15">
        <f>2201+2240</f>
        <v>4441</v>
      </c>
      <c r="M8" s="16">
        <f t="shared" si="0"/>
        <v>4441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0.9979775280898876</v>
      </c>
      <c r="AC8" s="9">
        <f t="shared" si="5"/>
        <v>1</v>
      </c>
      <c r="AD8" s="10">
        <f t="shared" si="6"/>
        <v>0.9979775280898876</v>
      </c>
      <c r="AE8" s="39">
        <f t="shared" si="7"/>
        <v>0.46062905018381617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239</v>
      </c>
      <c r="D9" s="55" t="s">
        <v>334</v>
      </c>
      <c r="E9" s="57" t="s">
        <v>335</v>
      </c>
      <c r="F9" s="12" t="s">
        <v>336</v>
      </c>
      <c r="G9" s="12">
        <v>1</v>
      </c>
      <c r="H9" s="13">
        <v>25</v>
      </c>
      <c r="I9" s="34">
        <v>6000</v>
      </c>
      <c r="J9" s="5">
        <v>4880</v>
      </c>
      <c r="K9" s="15">
        <f>L9+4873</f>
        <v>4873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0.46062905018381617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119</v>
      </c>
      <c r="D10" s="55" t="s">
        <v>412</v>
      </c>
      <c r="E10" s="57" t="s">
        <v>413</v>
      </c>
      <c r="F10" s="12" t="s">
        <v>414</v>
      </c>
      <c r="G10" s="12">
        <v>1</v>
      </c>
      <c r="H10" s="13">
        <v>25</v>
      </c>
      <c r="I10" s="34">
        <v>300</v>
      </c>
      <c r="J10" s="14">
        <v>455</v>
      </c>
      <c r="K10" s="15">
        <f>L10</f>
        <v>455</v>
      </c>
      <c r="L10" s="15">
        <v>455</v>
      </c>
      <c r="M10" s="16">
        <f t="shared" si="0"/>
        <v>455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9">
        <f t="shared" si="7"/>
        <v>0.46062905018381617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129</v>
      </c>
      <c r="E11" s="57" t="s">
        <v>174</v>
      </c>
      <c r="F11" s="12">
        <v>8301</v>
      </c>
      <c r="G11" s="12">
        <v>1</v>
      </c>
      <c r="H11" s="13">
        <v>25</v>
      </c>
      <c r="I11" s="34">
        <v>4000</v>
      </c>
      <c r="J11" s="14">
        <v>1020</v>
      </c>
      <c r="K11" s="15">
        <f>L11+3296+1018</f>
        <v>4314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0.46062905018381617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4120</v>
      </c>
      <c r="K12" s="15">
        <f>L12+3669+4855+2235+2780+2059+3271+4852+4899+2834</f>
        <v>35574</v>
      </c>
      <c r="L12" s="15">
        <f>2225+1895</f>
        <v>4120</v>
      </c>
      <c r="M12" s="16">
        <f t="shared" si="0"/>
        <v>4120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>
        <v>3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9">
        <f t="shared" si="7"/>
        <v>0.46062905018381617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119</v>
      </c>
      <c r="D13" s="55" t="s">
        <v>245</v>
      </c>
      <c r="E13" s="57" t="s">
        <v>246</v>
      </c>
      <c r="F13" s="12">
        <v>7301</v>
      </c>
      <c r="G13" s="12">
        <v>2</v>
      </c>
      <c r="H13" s="13">
        <v>20</v>
      </c>
      <c r="I13" s="7">
        <v>260000</v>
      </c>
      <c r="J13" s="14">
        <v>25300</v>
      </c>
      <c r="K13" s="15">
        <f>L13+11312+12742+13578</f>
        <v>62930</v>
      </c>
      <c r="L13" s="15">
        <f>6449*2+6200*2</f>
        <v>25298</v>
      </c>
      <c r="M13" s="16">
        <f t="shared" si="0"/>
        <v>25298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0.99992094861660075</v>
      </c>
      <c r="AC13" s="9">
        <f t="shared" si="5"/>
        <v>1</v>
      </c>
      <c r="AD13" s="10">
        <f t="shared" si="6"/>
        <v>0.99992094861660075</v>
      </c>
      <c r="AE13" s="39">
        <f t="shared" si="7"/>
        <v>0.46062905018381617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120</v>
      </c>
      <c r="D14" s="55" t="s">
        <v>167</v>
      </c>
      <c r="E14" s="57" t="s">
        <v>340</v>
      </c>
      <c r="F14" s="33" t="s">
        <v>338</v>
      </c>
      <c r="G14" s="36">
        <v>1</v>
      </c>
      <c r="H14" s="38">
        <v>25</v>
      </c>
      <c r="I14" s="7">
        <v>10000</v>
      </c>
      <c r="J14" s="5">
        <v>4510</v>
      </c>
      <c r="K14" s="15">
        <f>L14+2215+4087</f>
        <v>10809</v>
      </c>
      <c r="L14" s="15">
        <f>2416+2091</f>
        <v>4507</v>
      </c>
      <c r="M14" s="16">
        <f t="shared" si="0"/>
        <v>4507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0.99933481152993353</v>
      </c>
      <c r="AC14" s="9">
        <f t="shared" si="5"/>
        <v>1</v>
      </c>
      <c r="AD14" s="10">
        <f t="shared" si="6"/>
        <v>0.99933481152993353</v>
      </c>
      <c r="AE14" s="39">
        <f t="shared" si="7"/>
        <v>0.46062905018381617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142</v>
      </c>
      <c r="D15" s="55" t="s">
        <v>143</v>
      </c>
      <c r="E15" s="57" t="s">
        <v>144</v>
      </c>
      <c r="F15" s="12" t="s">
        <v>145</v>
      </c>
      <c r="G15" s="12">
        <v>8</v>
      </c>
      <c r="H15" s="13">
        <v>25</v>
      </c>
      <c r="I15" s="34">
        <v>50000</v>
      </c>
      <c r="J15" s="5">
        <v>7480</v>
      </c>
      <c r="K15" s="15">
        <f>L15+26528+7476</f>
        <v>34004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0.46062905018381617</v>
      </c>
      <c r="AF15" s="94">
        <f t="shared" si="8"/>
        <v>10</v>
      </c>
    </row>
    <row r="16" spans="1:32" ht="27.75" customHeight="1">
      <c r="A16" s="109">
        <v>11</v>
      </c>
      <c r="B16" s="11" t="s">
        <v>59</v>
      </c>
      <c r="C16" s="11" t="s">
        <v>379</v>
      </c>
      <c r="D16" s="55"/>
      <c r="E16" s="56" t="s">
        <v>415</v>
      </c>
      <c r="F16" s="12">
        <v>7301</v>
      </c>
      <c r="G16" s="36">
        <v>1</v>
      </c>
      <c r="H16" s="38">
        <v>25</v>
      </c>
      <c r="I16" s="7">
        <v>2000</v>
      </c>
      <c r="J16" s="14">
        <v>5040</v>
      </c>
      <c r="K16" s="15">
        <f>L16</f>
        <v>5036</v>
      </c>
      <c r="L16" s="15">
        <f>2797+64+2175</f>
        <v>5036</v>
      </c>
      <c r="M16" s="16">
        <f t="shared" si="0"/>
        <v>5036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0.99920634920634921</v>
      </c>
      <c r="AC16" s="9">
        <f t="shared" si="5"/>
        <v>1</v>
      </c>
      <c r="AD16" s="10">
        <f t="shared" si="6"/>
        <v>0.99920634920634921</v>
      </c>
      <c r="AE16" s="39">
        <f t="shared" si="7"/>
        <v>0.46062905018381617</v>
      </c>
      <c r="AF16" s="94">
        <f>A16</f>
        <v>11</v>
      </c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0.46062905018381617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122</v>
      </c>
      <c r="E18" s="57" t="s">
        <v>137</v>
      </c>
      <c r="F18" s="12" t="s">
        <v>155</v>
      </c>
      <c r="G18" s="12">
        <v>1</v>
      </c>
      <c r="H18" s="13">
        <v>25</v>
      </c>
      <c r="I18" s="34">
        <v>23000</v>
      </c>
      <c r="J18" s="5">
        <v>5230</v>
      </c>
      <c r="K18" s="15">
        <f>L18+2373+5342+5324+2259+3330+5266+3259+5303</f>
        <v>37678</v>
      </c>
      <c r="L18" s="15">
        <f>2668+2554</f>
        <v>5222</v>
      </c>
      <c r="M18" s="16">
        <f t="shared" si="0"/>
        <v>5222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0.99847036328871897</v>
      </c>
      <c r="AC18" s="9">
        <f t="shared" si="5"/>
        <v>1</v>
      </c>
      <c r="AD18" s="10">
        <f t="shared" si="6"/>
        <v>0.99847036328871897</v>
      </c>
      <c r="AE18" s="39">
        <f t="shared" si="7"/>
        <v>0.46062905018381617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58</v>
      </c>
      <c r="E19" s="57" t="s">
        <v>339</v>
      </c>
      <c r="F19" s="12" t="s">
        <v>252</v>
      </c>
      <c r="G19" s="12">
        <v>1</v>
      </c>
      <c r="H19" s="13">
        <v>25</v>
      </c>
      <c r="I19" s="34">
        <v>6000</v>
      </c>
      <c r="J19" s="5">
        <v>780</v>
      </c>
      <c r="K19" s="15">
        <f>L19+2103+4514</f>
        <v>7395</v>
      </c>
      <c r="L19" s="15">
        <v>778</v>
      </c>
      <c r="M19" s="16">
        <f t="shared" si="0"/>
        <v>778</v>
      </c>
      <c r="N19" s="16">
        <v>0</v>
      </c>
      <c r="O19" s="62">
        <f t="shared" si="1"/>
        <v>0</v>
      </c>
      <c r="P19" s="42">
        <f t="shared" si="2"/>
        <v>5</v>
      </c>
      <c r="Q19" s="43">
        <f t="shared" si="3"/>
        <v>19</v>
      </c>
      <c r="R19" s="7"/>
      <c r="S19" s="6">
        <v>19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0.99743589743589745</v>
      </c>
      <c r="AC19" s="9">
        <f t="shared" si="5"/>
        <v>0.20833333333333334</v>
      </c>
      <c r="AD19" s="10">
        <f t="shared" si="6"/>
        <v>0.20779914529914531</v>
      </c>
      <c r="AE19" s="39">
        <f t="shared" si="7"/>
        <v>0.46062905018381617</v>
      </c>
      <c r="AF19" s="94">
        <f t="shared" si="8"/>
        <v>14</v>
      </c>
    </row>
    <row r="20" spans="1:32" ht="27" customHeight="1">
      <c r="A20" s="110">
        <v>14</v>
      </c>
      <c r="B20" s="11" t="s">
        <v>59</v>
      </c>
      <c r="C20" s="37" t="s">
        <v>119</v>
      </c>
      <c r="D20" s="55" t="s">
        <v>416</v>
      </c>
      <c r="E20" s="57" t="s">
        <v>417</v>
      </c>
      <c r="F20" s="12">
        <v>7301</v>
      </c>
      <c r="G20" s="12">
        <v>1</v>
      </c>
      <c r="H20" s="13">
        <v>25</v>
      </c>
      <c r="I20" s="34">
        <v>6000</v>
      </c>
      <c r="J20" s="5">
        <v>390</v>
      </c>
      <c r="K20" s="15">
        <f>L20</f>
        <v>387</v>
      </c>
      <c r="L20" s="15">
        <v>387</v>
      </c>
      <c r="M20" s="16">
        <f t="shared" si="0"/>
        <v>387</v>
      </c>
      <c r="N20" s="16">
        <v>0</v>
      </c>
      <c r="O20" s="62">
        <f t="shared" si="1"/>
        <v>0</v>
      </c>
      <c r="P20" s="42">
        <f t="shared" si="2"/>
        <v>4</v>
      </c>
      <c r="Q20" s="43">
        <f t="shared" si="3"/>
        <v>20</v>
      </c>
      <c r="R20" s="7"/>
      <c r="S20" s="6"/>
      <c r="T20" s="17"/>
      <c r="U20" s="17"/>
      <c r="V20" s="18"/>
      <c r="W20" s="19">
        <v>20</v>
      </c>
      <c r="X20" s="17"/>
      <c r="Y20" s="20"/>
      <c r="Z20" s="20"/>
      <c r="AA20" s="21"/>
      <c r="AB20" s="8">
        <f t="shared" si="4"/>
        <v>0.99230769230769234</v>
      </c>
      <c r="AC20" s="9">
        <f t="shared" si="5"/>
        <v>0.16666666666666666</v>
      </c>
      <c r="AD20" s="10">
        <f t="shared" si="6"/>
        <v>0.16538461538461538</v>
      </c>
      <c r="AE20" s="39">
        <f t="shared" si="7"/>
        <v>0.46062905018381617</v>
      </c>
      <c r="AF20" s="94">
        <f t="shared" si="8"/>
        <v>14</v>
      </c>
    </row>
    <row r="21" spans="1:32" ht="27" customHeight="1">
      <c r="A21" s="110">
        <v>14</v>
      </c>
      <c r="B21" s="11" t="s">
        <v>59</v>
      </c>
      <c r="C21" s="37" t="s">
        <v>120</v>
      </c>
      <c r="D21" s="55" t="s">
        <v>418</v>
      </c>
      <c r="E21" s="57" t="s">
        <v>419</v>
      </c>
      <c r="F21" s="12" t="s">
        <v>420</v>
      </c>
      <c r="G21" s="12">
        <v>1</v>
      </c>
      <c r="H21" s="13">
        <v>25</v>
      </c>
      <c r="I21" s="34">
        <v>1500</v>
      </c>
      <c r="J21" s="5">
        <v>1540</v>
      </c>
      <c r="K21" s="15">
        <f>L21</f>
        <v>1539</v>
      </c>
      <c r="L21" s="15">
        <v>1539</v>
      </c>
      <c r="M21" s="16">
        <f t="shared" ref="M21" si="10">L21-N21</f>
        <v>1539</v>
      </c>
      <c r="N21" s="16">
        <v>0</v>
      </c>
      <c r="O21" s="62">
        <f t="shared" ref="O21" si="11">IF(L21=0,"0",N21/L21)</f>
        <v>0</v>
      </c>
      <c r="P21" s="42">
        <f t="shared" ref="P21" si="12">IF(L21=0,"0",(24-Q21))</f>
        <v>12</v>
      </c>
      <c r="Q21" s="43">
        <f t="shared" ref="Q21" si="13">SUM(R21:AA21)</f>
        <v>12</v>
      </c>
      <c r="R21" s="7"/>
      <c r="S21" s="6"/>
      <c r="T21" s="17">
        <v>12</v>
      </c>
      <c r="U21" s="17"/>
      <c r="V21" s="18"/>
      <c r="W21" s="19"/>
      <c r="X21" s="17"/>
      <c r="Y21" s="20"/>
      <c r="Z21" s="20"/>
      <c r="AA21" s="21"/>
      <c r="AB21" s="8">
        <f t="shared" ref="AB21" si="14">IF(J21=0,"0",(L21/J21))</f>
        <v>0.99935064935064932</v>
      </c>
      <c r="AC21" s="9">
        <f t="shared" ref="AC21" si="15">IF(P21=0,"0",(P21/24))</f>
        <v>0.5</v>
      </c>
      <c r="AD21" s="10">
        <f t="shared" ref="AD21" si="16">AC21*AB21*(1-O21)</f>
        <v>0.49967532467532466</v>
      </c>
      <c r="AE21" s="39">
        <f t="shared" si="7"/>
        <v>0.46062905018381617</v>
      </c>
      <c r="AF21" s="94">
        <f t="shared" ref="AF21" si="17">A21</f>
        <v>14</v>
      </c>
    </row>
    <row r="22" spans="1:32" ht="27" customHeight="1" thickBot="1">
      <c r="A22" s="110">
        <v>15</v>
      </c>
      <c r="B22" s="11" t="s">
        <v>59</v>
      </c>
      <c r="C22" s="11" t="s">
        <v>117</v>
      </c>
      <c r="D22" s="55"/>
      <c r="E22" s="56" t="s">
        <v>172</v>
      </c>
      <c r="F22" s="12" t="s">
        <v>118</v>
      </c>
      <c r="G22" s="12">
        <v>4</v>
      </c>
      <c r="H22" s="38">
        <v>20</v>
      </c>
      <c r="I22" s="7">
        <v>200000</v>
      </c>
      <c r="J22" s="14">
        <v>16170</v>
      </c>
      <c r="K22" s="15">
        <f>L22+51172+67944+16164</f>
        <v>135280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/>
      <c r="W22" s="19">
        <v>24</v>
      </c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0.46062905018381617</v>
      </c>
      <c r="AF22" s="94">
        <f t="shared" si="8"/>
        <v>15</v>
      </c>
    </row>
    <row r="23" spans="1:32" ht="31.5" customHeight="1" thickBot="1">
      <c r="A23" s="382" t="s">
        <v>34</v>
      </c>
      <c r="B23" s="383"/>
      <c r="C23" s="383"/>
      <c r="D23" s="383"/>
      <c r="E23" s="383"/>
      <c r="F23" s="383"/>
      <c r="G23" s="383"/>
      <c r="H23" s="384"/>
      <c r="I23" s="25">
        <f t="shared" ref="I23:N23" si="18">SUM(I6:I22)</f>
        <v>656600</v>
      </c>
      <c r="J23" s="22">
        <f t="shared" si="18"/>
        <v>89696</v>
      </c>
      <c r="K23" s="23">
        <f t="shared" si="18"/>
        <v>361075</v>
      </c>
      <c r="L23" s="24">
        <f t="shared" si="18"/>
        <v>51783</v>
      </c>
      <c r="M23" s="23">
        <f t="shared" si="18"/>
        <v>51783</v>
      </c>
      <c r="N23" s="24">
        <f t="shared" si="18"/>
        <v>0</v>
      </c>
      <c r="O23" s="44">
        <f t="shared" si="1"/>
        <v>0</v>
      </c>
      <c r="P23" s="45">
        <f t="shared" ref="P23:AA23" si="19">SUM(P6:P22)</f>
        <v>166</v>
      </c>
      <c r="Q23" s="46">
        <f t="shared" si="19"/>
        <v>242</v>
      </c>
      <c r="R23" s="26">
        <f t="shared" si="19"/>
        <v>72</v>
      </c>
      <c r="S23" s="27">
        <f t="shared" si="19"/>
        <v>46</v>
      </c>
      <c r="T23" s="27">
        <f t="shared" si="19"/>
        <v>12</v>
      </c>
      <c r="U23" s="27">
        <f t="shared" si="19"/>
        <v>0</v>
      </c>
      <c r="V23" s="28">
        <f t="shared" si="19"/>
        <v>0</v>
      </c>
      <c r="W23" s="29">
        <f t="shared" si="19"/>
        <v>112</v>
      </c>
      <c r="X23" s="30">
        <f t="shared" si="19"/>
        <v>0</v>
      </c>
      <c r="Y23" s="30">
        <f t="shared" si="19"/>
        <v>0</v>
      </c>
      <c r="Z23" s="30">
        <f t="shared" si="19"/>
        <v>0</v>
      </c>
      <c r="AA23" s="30">
        <f t="shared" si="19"/>
        <v>0</v>
      </c>
      <c r="AB23" s="31">
        <f>SUM(AB6:AB22)/15</f>
        <v>0.66560028265504867</v>
      </c>
      <c r="AC23" s="4">
        <f>SUM(AC6:AC22)/15</f>
        <v>0.46111111111111114</v>
      </c>
      <c r="AD23" s="4">
        <f>SUM(AD6:AD22)/15</f>
        <v>0.46062905018381617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85" t="s">
        <v>46</v>
      </c>
      <c r="B50" s="385"/>
      <c r="C50" s="385"/>
      <c r="D50" s="385"/>
      <c r="E50" s="385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86" t="s">
        <v>421</v>
      </c>
      <c r="B51" s="387"/>
      <c r="C51" s="387"/>
      <c r="D51" s="387"/>
      <c r="E51" s="387"/>
      <c r="F51" s="387"/>
      <c r="G51" s="387"/>
      <c r="H51" s="387"/>
      <c r="I51" s="387"/>
      <c r="J51" s="387"/>
      <c r="K51" s="387"/>
      <c r="L51" s="387"/>
      <c r="M51" s="388"/>
      <c r="N51" s="389" t="s">
        <v>432</v>
      </c>
      <c r="O51" s="390"/>
      <c r="P51" s="390"/>
      <c r="Q51" s="390"/>
      <c r="R51" s="390"/>
      <c r="S51" s="390"/>
      <c r="T51" s="390"/>
      <c r="U51" s="390"/>
      <c r="V51" s="390"/>
      <c r="W51" s="390"/>
      <c r="X51" s="390"/>
      <c r="Y51" s="390"/>
      <c r="Z51" s="390"/>
      <c r="AA51" s="390"/>
      <c r="AB51" s="390"/>
      <c r="AC51" s="390"/>
      <c r="AD51" s="391"/>
    </row>
    <row r="52" spans="1:32" ht="27" customHeight="1">
      <c r="A52" s="392" t="s">
        <v>2</v>
      </c>
      <c r="B52" s="393"/>
      <c r="C52" s="197" t="s">
        <v>47</v>
      </c>
      <c r="D52" s="197" t="s">
        <v>48</v>
      </c>
      <c r="E52" s="197" t="s">
        <v>111</v>
      </c>
      <c r="F52" s="393" t="s">
        <v>110</v>
      </c>
      <c r="G52" s="393"/>
      <c r="H52" s="393"/>
      <c r="I52" s="393"/>
      <c r="J52" s="393"/>
      <c r="K52" s="393"/>
      <c r="L52" s="393"/>
      <c r="M52" s="394"/>
      <c r="N52" s="73" t="s">
        <v>115</v>
      </c>
      <c r="O52" s="197" t="s">
        <v>47</v>
      </c>
      <c r="P52" s="395" t="s">
        <v>48</v>
      </c>
      <c r="Q52" s="396"/>
      <c r="R52" s="395" t="s">
        <v>39</v>
      </c>
      <c r="S52" s="397"/>
      <c r="T52" s="397"/>
      <c r="U52" s="396"/>
      <c r="V52" s="395" t="s">
        <v>49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409" t="s">
        <v>119</v>
      </c>
      <c r="B53" s="410"/>
      <c r="C53" s="193" t="s">
        <v>422</v>
      </c>
      <c r="D53" s="193" t="s">
        <v>412</v>
      </c>
      <c r="E53" s="196" t="s">
        <v>423</v>
      </c>
      <c r="F53" s="411" t="s">
        <v>424</v>
      </c>
      <c r="G53" s="411"/>
      <c r="H53" s="411"/>
      <c r="I53" s="411"/>
      <c r="J53" s="411"/>
      <c r="K53" s="411"/>
      <c r="L53" s="411"/>
      <c r="M53" s="412"/>
      <c r="N53" s="192" t="s">
        <v>119</v>
      </c>
      <c r="O53" s="74" t="s">
        <v>433</v>
      </c>
      <c r="P53" s="413" t="s">
        <v>397</v>
      </c>
      <c r="Q53" s="414"/>
      <c r="R53" s="410" t="s">
        <v>434</v>
      </c>
      <c r="S53" s="410"/>
      <c r="T53" s="410"/>
      <c r="U53" s="410"/>
      <c r="V53" s="411" t="s">
        <v>435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119</v>
      </c>
      <c r="B54" s="410"/>
      <c r="C54" s="193" t="s">
        <v>425</v>
      </c>
      <c r="D54" s="193" t="s">
        <v>426</v>
      </c>
      <c r="E54" s="196" t="s">
        <v>427</v>
      </c>
      <c r="F54" s="411" t="s">
        <v>424</v>
      </c>
      <c r="G54" s="411"/>
      <c r="H54" s="411"/>
      <c r="I54" s="411"/>
      <c r="J54" s="411"/>
      <c r="K54" s="411"/>
      <c r="L54" s="411"/>
      <c r="M54" s="412"/>
      <c r="N54" s="192" t="s">
        <v>430</v>
      </c>
      <c r="O54" s="74" t="s">
        <v>425</v>
      </c>
      <c r="P54" s="413" t="s">
        <v>418</v>
      </c>
      <c r="Q54" s="414"/>
      <c r="R54" s="410" t="s">
        <v>419</v>
      </c>
      <c r="S54" s="410"/>
      <c r="T54" s="410"/>
      <c r="U54" s="410"/>
      <c r="V54" s="411" t="s">
        <v>436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379</v>
      </c>
      <c r="B55" s="410"/>
      <c r="C55" s="193" t="s">
        <v>388</v>
      </c>
      <c r="D55" s="193"/>
      <c r="E55" s="196" t="s">
        <v>428</v>
      </c>
      <c r="F55" s="411" t="s">
        <v>384</v>
      </c>
      <c r="G55" s="411"/>
      <c r="H55" s="411"/>
      <c r="I55" s="411"/>
      <c r="J55" s="411"/>
      <c r="K55" s="411"/>
      <c r="L55" s="411"/>
      <c r="M55" s="412"/>
      <c r="N55" s="192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119</v>
      </c>
      <c r="B56" s="410"/>
      <c r="C56" s="193" t="s">
        <v>390</v>
      </c>
      <c r="D56" s="193" t="s">
        <v>123</v>
      </c>
      <c r="E56" s="196" t="s">
        <v>391</v>
      </c>
      <c r="F56" s="411" t="s">
        <v>429</v>
      </c>
      <c r="G56" s="411"/>
      <c r="H56" s="411"/>
      <c r="I56" s="411"/>
      <c r="J56" s="411"/>
      <c r="K56" s="411"/>
      <c r="L56" s="411"/>
      <c r="M56" s="412"/>
      <c r="N56" s="192"/>
      <c r="O56" s="74"/>
      <c r="P56" s="413"/>
      <c r="Q56" s="414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 t="s">
        <v>430</v>
      </c>
      <c r="B57" s="410"/>
      <c r="C57" s="193" t="s">
        <v>425</v>
      </c>
      <c r="D57" s="193" t="s">
        <v>58</v>
      </c>
      <c r="E57" s="196" t="s">
        <v>419</v>
      </c>
      <c r="F57" s="411" t="s">
        <v>431</v>
      </c>
      <c r="G57" s="411"/>
      <c r="H57" s="411"/>
      <c r="I57" s="411"/>
      <c r="J57" s="411"/>
      <c r="K57" s="411"/>
      <c r="L57" s="411"/>
      <c r="M57" s="412"/>
      <c r="N57" s="192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09"/>
      <c r="B58" s="410"/>
      <c r="C58" s="193"/>
      <c r="D58" s="193"/>
      <c r="E58" s="196"/>
      <c r="F58" s="411"/>
      <c r="G58" s="411"/>
      <c r="H58" s="411"/>
      <c r="I58" s="411"/>
      <c r="J58" s="411"/>
      <c r="K58" s="411"/>
      <c r="L58" s="411"/>
      <c r="M58" s="412"/>
      <c r="N58" s="192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193"/>
      <c r="D59" s="193"/>
      <c r="E59" s="196"/>
      <c r="F59" s="411"/>
      <c r="G59" s="411"/>
      <c r="H59" s="411"/>
      <c r="I59" s="411"/>
      <c r="J59" s="411"/>
      <c r="K59" s="411"/>
      <c r="L59" s="411"/>
      <c r="M59" s="412"/>
      <c r="N59" s="192"/>
      <c r="O59" s="74"/>
      <c r="P59" s="413"/>
      <c r="Q59" s="414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</row>
    <row r="60" spans="1:32" ht="27" customHeight="1">
      <c r="A60" s="419"/>
      <c r="B60" s="420"/>
      <c r="C60" s="196"/>
      <c r="D60" s="193"/>
      <c r="E60" s="196"/>
      <c r="F60" s="411"/>
      <c r="G60" s="411"/>
      <c r="H60" s="411"/>
      <c r="I60" s="411"/>
      <c r="J60" s="411"/>
      <c r="K60" s="411"/>
      <c r="L60" s="411"/>
      <c r="M60" s="412"/>
      <c r="N60" s="192"/>
      <c r="O60" s="74"/>
      <c r="P60" s="410"/>
      <c r="Q60" s="410"/>
      <c r="R60" s="410"/>
      <c r="S60" s="410"/>
      <c r="T60" s="410"/>
      <c r="U60" s="410"/>
      <c r="V60" s="411"/>
      <c r="W60" s="411"/>
      <c r="X60" s="411"/>
      <c r="Y60" s="411"/>
      <c r="Z60" s="411"/>
      <c r="AA60" s="411"/>
      <c r="AB60" s="411"/>
      <c r="AC60" s="411"/>
      <c r="AD60" s="412"/>
    </row>
    <row r="61" spans="1:32" ht="27" customHeight="1">
      <c r="A61" s="409"/>
      <c r="B61" s="410"/>
      <c r="C61" s="193"/>
      <c r="D61" s="193"/>
      <c r="E61" s="193"/>
      <c r="F61" s="411"/>
      <c r="G61" s="411"/>
      <c r="H61" s="411"/>
      <c r="I61" s="411"/>
      <c r="J61" s="411"/>
      <c r="K61" s="411"/>
      <c r="L61" s="411"/>
      <c r="M61" s="412"/>
      <c r="N61" s="192"/>
      <c r="O61" s="74"/>
      <c r="P61" s="410"/>
      <c r="Q61" s="410"/>
      <c r="R61" s="410"/>
      <c r="S61" s="410"/>
      <c r="T61" s="410"/>
      <c r="U61" s="410"/>
      <c r="V61" s="411"/>
      <c r="W61" s="411"/>
      <c r="X61" s="411"/>
      <c r="Y61" s="411"/>
      <c r="Z61" s="411"/>
      <c r="AA61" s="411"/>
      <c r="AB61" s="411"/>
      <c r="AC61" s="411"/>
      <c r="AD61" s="412"/>
      <c r="AF61" s="94">
        <f>8*3000</f>
        <v>24000</v>
      </c>
    </row>
    <row r="62" spans="1:32" ht="27" customHeight="1" thickBot="1">
      <c r="A62" s="415"/>
      <c r="B62" s="416"/>
      <c r="C62" s="195"/>
      <c r="D62" s="195"/>
      <c r="E62" s="195"/>
      <c r="F62" s="417"/>
      <c r="G62" s="417"/>
      <c r="H62" s="417"/>
      <c r="I62" s="417"/>
      <c r="J62" s="417"/>
      <c r="K62" s="417"/>
      <c r="L62" s="417"/>
      <c r="M62" s="418"/>
      <c r="N62" s="194"/>
      <c r="O62" s="121"/>
      <c r="P62" s="416"/>
      <c r="Q62" s="416"/>
      <c r="R62" s="416"/>
      <c r="S62" s="416"/>
      <c r="T62" s="416"/>
      <c r="U62" s="416"/>
      <c r="V62" s="417"/>
      <c r="W62" s="417"/>
      <c r="X62" s="417"/>
      <c r="Y62" s="417"/>
      <c r="Z62" s="417"/>
      <c r="AA62" s="417"/>
      <c r="AB62" s="417"/>
      <c r="AC62" s="417"/>
      <c r="AD62" s="418"/>
      <c r="AF62" s="94">
        <f>16*3000</f>
        <v>48000</v>
      </c>
    </row>
    <row r="63" spans="1:32" ht="27.75" thickBot="1">
      <c r="A63" s="421" t="s">
        <v>437</v>
      </c>
      <c r="B63" s="421"/>
      <c r="C63" s="421"/>
      <c r="D63" s="421"/>
      <c r="E63" s="421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22" t="s">
        <v>116</v>
      </c>
      <c r="B64" s="423"/>
      <c r="C64" s="191" t="s">
        <v>2</v>
      </c>
      <c r="D64" s="191" t="s">
        <v>38</v>
      </c>
      <c r="E64" s="191" t="s">
        <v>3</v>
      </c>
      <c r="F64" s="423" t="s">
        <v>113</v>
      </c>
      <c r="G64" s="423"/>
      <c r="H64" s="423"/>
      <c r="I64" s="423"/>
      <c r="J64" s="423"/>
      <c r="K64" s="423" t="s">
        <v>40</v>
      </c>
      <c r="L64" s="423"/>
      <c r="M64" s="191" t="s">
        <v>41</v>
      </c>
      <c r="N64" s="423" t="s">
        <v>42</v>
      </c>
      <c r="O64" s="423"/>
      <c r="P64" s="424" t="s">
        <v>43</v>
      </c>
      <c r="Q64" s="425"/>
      <c r="R64" s="424" t="s">
        <v>44</v>
      </c>
      <c r="S64" s="426"/>
      <c r="T64" s="426"/>
      <c r="U64" s="426"/>
      <c r="V64" s="426"/>
      <c r="W64" s="426"/>
      <c r="X64" s="426"/>
      <c r="Y64" s="426"/>
      <c r="Z64" s="426"/>
      <c r="AA64" s="425"/>
      <c r="AB64" s="423" t="s">
        <v>45</v>
      </c>
      <c r="AC64" s="423"/>
      <c r="AD64" s="427"/>
      <c r="AF64" s="94">
        <f>SUM(AF61:AF63)</f>
        <v>96000</v>
      </c>
    </row>
    <row r="65" spans="1:32" ht="25.5" customHeight="1">
      <c r="A65" s="428">
        <v>1</v>
      </c>
      <c r="B65" s="429"/>
      <c r="C65" s="124" t="s">
        <v>402</v>
      </c>
      <c r="D65" s="187"/>
      <c r="E65" s="189" t="s">
        <v>403</v>
      </c>
      <c r="F65" s="430" t="s">
        <v>404</v>
      </c>
      <c r="G65" s="431"/>
      <c r="H65" s="431"/>
      <c r="I65" s="431"/>
      <c r="J65" s="431"/>
      <c r="K65" s="431" t="s">
        <v>405</v>
      </c>
      <c r="L65" s="431"/>
      <c r="M65" s="54" t="s">
        <v>406</v>
      </c>
      <c r="N65" s="431">
        <v>4</v>
      </c>
      <c r="O65" s="431"/>
      <c r="P65" s="432">
        <v>50</v>
      </c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2</v>
      </c>
      <c r="B66" s="429"/>
      <c r="C66" s="124" t="s">
        <v>402</v>
      </c>
      <c r="D66" s="187"/>
      <c r="E66" s="189" t="s">
        <v>438</v>
      </c>
      <c r="F66" s="430" t="s">
        <v>439</v>
      </c>
      <c r="G66" s="431"/>
      <c r="H66" s="431"/>
      <c r="I66" s="431"/>
      <c r="J66" s="431"/>
      <c r="K66" s="431" t="s">
        <v>405</v>
      </c>
      <c r="L66" s="431"/>
      <c r="M66" s="54" t="s">
        <v>406</v>
      </c>
      <c r="N66" s="431">
        <v>4</v>
      </c>
      <c r="O66" s="431"/>
      <c r="P66" s="432">
        <v>50</v>
      </c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3</v>
      </c>
      <c r="B67" s="429"/>
      <c r="C67" s="124" t="s">
        <v>440</v>
      </c>
      <c r="D67" s="187"/>
      <c r="E67" s="189"/>
      <c r="F67" s="430" t="s">
        <v>441</v>
      </c>
      <c r="G67" s="431"/>
      <c r="H67" s="431"/>
      <c r="I67" s="431"/>
      <c r="J67" s="431"/>
      <c r="K67" s="431" t="s">
        <v>442</v>
      </c>
      <c r="L67" s="431"/>
      <c r="M67" s="54" t="s">
        <v>443</v>
      </c>
      <c r="N67" s="431">
        <v>10</v>
      </c>
      <c r="O67" s="431"/>
      <c r="P67" s="432">
        <v>3000</v>
      </c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4</v>
      </c>
      <c r="B68" s="429"/>
      <c r="C68" s="124" t="s">
        <v>119</v>
      </c>
      <c r="D68" s="187"/>
      <c r="E68" s="189" t="s">
        <v>444</v>
      </c>
      <c r="F68" s="430" t="s">
        <v>445</v>
      </c>
      <c r="G68" s="431"/>
      <c r="H68" s="431"/>
      <c r="I68" s="431"/>
      <c r="J68" s="431"/>
      <c r="K68" s="431">
        <v>8301</v>
      </c>
      <c r="L68" s="431"/>
      <c r="M68" s="54" t="s">
        <v>446</v>
      </c>
      <c r="N68" s="431">
        <v>5</v>
      </c>
      <c r="O68" s="431"/>
      <c r="P68" s="432">
        <v>50</v>
      </c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5</v>
      </c>
      <c r="B69" s="429"/>
      <c r="C69" s="124"/>
      <c r="D69" s="187"/>
      <c r="E69" s="189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6</v>
      </c>
      <c r="B70" s="429"/>
      <c r="C70" s="124"/>
      <c r="D70" s="187"/>
      <c r="E70" s="189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5.5" customHeight="1">
      <c r="A71" s="428">
        <v>7</v>
      </c>
      <c r="B71" s="429"/>
      <c r="C71" s="124"/>
      <c r="D71" s="187"/>
      <c r="E71" s="189"/>
      <c r="F71" s="430"/>
      <c r="G71" s="431"/>
      <c r="H71" s="431"/>
      <c r="I71" s="431"/>
      <c r="J71" s="431"/>
      <c r="K71" s="431"/>
      <c r="L71" s="431"/>
      <c r="M71" s="54"/>
      <c r="N71" s="431"/>
      <c r="O71" s="431"/>
      <c r="P71" s="432"/>
      <c r="Q71" s="432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31"/>
      <c r="AC71" s="431"/>
      <c r="AD71" s="433"/>
      <c r="AF71" s="53"/>
    </row>
    <row r="72" spans="1:32" ht="25.5" customHeight="1">
      <c r="A72" s="428">
        <v>8</v>
      </c>
      <c r="B72" s="429"/>
      <c r="C72" s="124"/>
      <c r="D72" s="187"/>
      <c r="E72" s="189"/>
      <c r="F72" s="430"/>
      <c r="G72" s="431"/>
      <c r="H72" s="431"/>
      <c r="I72" s="431"/>
      <c r="J72" s="431"/>
      <c r="K72" s="431"/>
      <c r="L72" s="431"/>
      <c r="M72" s="54"/>
      <c r="N72" s="431"/>
      <c r="O72" s="431"/>
      <c r="P72" s="432"/>
      <c r="Q72" s="432"/>
      <c r="R72" s="411"/>
      <c r="S72" s="411"/>
      <c r="T72" s="411"/>
      <c r="U72" s="411"/>
      <c r="V72" s="411"/>
      <c r="W72" s="411"/>
      <c r="X72" s="411"/>
      <c r="Y72" s="411"/>
      <c r="Z72" s="411"/>
      <c r="AA72" s="411"/>
      <c r="AB72" s="431"/>
      <c r="AC72" s="431"/>
      <c r="AD72" s="433"/>
      <c r="AF72" s="53"/>
    </row>
    <row r="73" spans="1:32" ht="26.25" customHeight="1" thickBot="1">
      <c r="A73" s="434" t="s">
        <v>447</v>
      </c>
      <c r="B73" s="434"/>
      <c r="C73" s="434"/>
      <c r="D73" s="434"/>
      <c r="E73" s="434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35" t="s">
        <v>116</v>
      </c>
      <c r="B74" s="436"/>
      <c r="C74" s="190" t="s">
        <v>2</v>
      </c>
      <c r="D74" s="190" t="s">
        <v>38</v>
      </c>
      <c r="E74" s="190" t="s">
        <v>3</v>
      </c>
      <c r="F74" s="436" t="s">
        <v>39</v>
      </c>
      <c r="G74" s="436"/>
      <c r="H74" s="436"/>
      <c r="I74" s="436"/>
      <c r="J74" s="436"/>
      <c r="K74" s="437" t="s">
        <v>60</v>
      </c>
      <c r="L74" s="438"/>
      <c r="M74" s="438"/>
      <c r="N74" s="438"/>
      <c r="O74" s="438"/>
      <c r="P74" s="438"/>
      <c r="Q74" s="438"/>
      <c r="R74" s="438"/>
      <c r="S74" s="439"/>
      <c r="T74" s="436" t="s">
        <v>50</v>
      </c>
      <c r="U74" s="436"/>
      <c r="V74" s="437" t="s">
        <v>51</v>
      </c>
      <c r="W74" s="439"/>
      <c r="X74" s="438" t="s">
        <v>52</v>
      </c>
      <c r="Y74" s="438"/>
      <c r="Z74" s="438"/>
      <c r="AA74" s="438"/>
      <c r="AB74" s="438"/>
      <c r="AC74" s="438"/>
      <c r="AD74" s="440"/>
      <c r="AF74" s="53"/>
    </row>
    <row r="75" spans="1:32" ht="33.75" customHeight="1">
      <c r="A75" s="449">
        <v>1</v>
      </c>
      <c r="B75" s="450"/>
      <c r="C75" s="188" t="s">
        <v>119</v>
      </c>
      <c r="D75" s="188"/>
      <c r="E75" s="71" t="s">
        <v>127</v>
      </c>
      <c r="F75" s="451" t="s">
        <v>128</v>
      </c>
      <c r="G75" s="452"/>
      <c r="H75" s="452"/>
      <c r="I75" s="452"/>
      <c r="J75" s="453"/>
      <c r="K75" s="454" t="s">
        <v>121</v>
      </c>
      <c r="L75" s="455"/>
      <c r="M75" s="455"/>
      <c r="N75" s="455"/>
      <c r="O75" s="455"/>
      <c r="P75" s="455"/>
      <c r="Q75" s="455"/>
      <c r="R75" s="455"/>
      <c r="S75" s="456"/>
      <c r="T75" s="457">
        <v>42901</v>
      </c>
      <c r="U75" s="458"/>
      <c r="V75" s="459"/>
      <c r="W75" s="459"/>
      <c r="X75" s="460"/>
      <c r="Y75" s="460"/>
      <c r="Z75" s="460"/>
      <c r="AA75" s="460"/>
      <c r="AB75" s="460"/>
      <c r="AC75" s="460"/>
      <c r="AD75" s="461"/>
      <c r="AF75" s="53"/>
    </row>
    <row r="76" spans="1:32" ht="30" customHeight="1">
      <c r="A76" s="441">
        <f>A75+1</f>
        <v>2</v>
      </c>
      <c r="B76" s="442"/>
      <c r="C76" s="187" t="s">
        <v>119</v>
      </c>
      <c r="D76" s="187"/>
      <c r="E76" s="35" t="s">
        <v>124</v>
      </c>
      <c r="F76" s="442" t="s">
        <v>125</v>
      </c>
      <c r="G76" s="442"/>
      <c r="H76" s="442"/>
      <c r="I76" s="442"/>
      <c r="J76" s="442"/>
      <c r="K76" s="443" t="s">
        <v>126</v>
      </c>
      <c r="L76" s="444"/>
      <c r="M76" s="444"/>
      <c r="N76" s="444"/>
      <c r="O76" s="444"/>
      <c r="P76" s="444"/>
      <c r="Q76" s="444"/>
      <c r="R76" s="444"/>
      <c r="S76" s="445"/>
      <c r="T76" s="446">
        <v>42867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ref="A77:A83" si="20">A76+1</f>
        <v>3</v>
      </c>
      <c r="B77" s="442"/>
      <c r="C77" s="187" t="s">
        <v>120</v>
      </c>
      <c r="D77" s="187"/>
      <c r="E77" s="35" t="s">
        <v>354</v>
      </c>
      <c r="F77" s="442" t="s">
        <v>371</v>
      </c>
      <c r="G77" s="442"/>
      <c r="H77" s="442"/>
      <c r="I77" s="442"/>
      <c r="J77" s="442"/>
      <c r="K77" s="443" t="s">
        <v>330</v>
      </c>
      <c r="L77" s="444"/>
      <c r="M77" s="444"/>
      <c r="N77" s="444"/>
      <c r="O77" s="444"/>
      <c r="P77" s="444"/>
      <c r="Q77" s="444"/>
      <c r="R77" s="444"/>
      <c r="S77" s="445"/>
      <c r="T77" s="446">
        <v>42921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20"/>
        <v>4</v>
      </c>
      <c r="B78" s="442"/>
      <c r="C78" s="187" t="s">
        <v>292</v>
      </c>
      <c r="D78" s="187"/>
      <c r="E78" s="35" t="s">
        <v>323</v>
      </c>
      <c r="F78" s="442" t="s">
        <v>294</v>
      </c>
      <c r="G78" s="442"/>
      <c r="H78" s="442"/>
      <c r="I78" s="442"/>
      <c r="J78" s="442"/>
      <c r="K78" s="443" t="s">
        <v>331</v>
      </c>
      <c r="L78" s="444"/>
      <c r="M78" s="444"/>
      <c r="N78" s="444"/>
      <c r="O78" s="444"/>
      <c r="P78" s="444"/>
      <c r="Q78" s="444"/>
      <c r="R78" s="444"/>
      <c r="S78" s="445"/>
      <c r="T78" s="446">
        <v>42920</v>
      </c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20"/>
        <v>5</v>
      </c>
      <c r="B79" s="442"/>
      <c r="C79" s="187"/>
      <c r="D79" s="187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20"/>
        <v>6</v>
      </c>
      <c r="B80" s="442"/>
      <c r="C80" s="187"/>
      <c r="D80" s="187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20"/>
        <v>7</v>
      </c>
      <c r="B81" s="442"/>
      <c r="C81" s="187"/>
      <c r="D81" s="187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0" customHeight="1">
      <c r="A82" s="441">
        <f t="shared" si="20"/>
        <v>8</v>
      </c>
      <c r="B82" s="442"/>
      <c r="C82" s="187"/>
      <c r="D82" s="187"/>
      <c r="E82" s="35"/>
      <c r="F82" s="442"/>
      <c r="G82" s="442"/>
      <c r="H82" s="442"/>
      <c r="I82" s="442"/>
      <c r="J82" s="442"/>
      <c r="K82" s="443"/>
      <c r="L82" s="444"/>
      <c r="M82" s="444"/>
      <c r="N82" s="444"/>
      <c r="O82" s="444"/>
      <c r="P82" s="444"/>
      <c r="Q82" s="444"/>
      <c r="R82" s="444"/>
      <c r="S82" s="445"/>
      <c r="T82" s="446"/>
      <c r="U82" s="446"/>
      <c r="V82" s="446"/>
      <c r="W82" s="446"/>
      <c r="X82" s="447"/>
      <c r="Y82" s="447"/>
      <c r="Z82" s="447"/>
      <c r="AA82" s="447"/>
      <c r="AB82" s="447"/>
      <c r="AC82" s="447"/>
      <c r="AD82" s="448"/>
      <c r="AF82" s="53"/>
    </row>
    <row r="83" spans="1:32" ht="30" customHeight="1">
      <c r="A83" s="441">
        <f t="shared" si="20"/>
        <v>9</v>
      </c>
      <c r="B83" s="442"/>
      <c r="C83" s="187"/>
      <c r="D83" s="187"/>
      <c r="E83" s="35"/>
      <c r="F83" s="442"/>
      <c r="G83" s="442"/>
      <c r="H83" s="442"/>
      <c r="I83" s="442"/>
      <c r="J83" s="442"/>
      <c r="K83" s="443"/>
      <c r="L83" s="444"/>
      <c r="M83" s="444"/>
      <c r="N83" s="444"/>
      <c r="O83" s="444"/>
      <c r="P83" s="444"/>
      <c r="Q83" s="444"/>
      <c r="R83" s="444"/>
      <c r="S83" s="445"/>
      <c r="T83" s="446"/>
      <c r="U83" s="446"/>
      <c r="V83" s="446"/>
      <c r="W83" s="446"/>
      <c r="X83" s="447"/>
      <c r="Y83" s="447"/>
      <c r="Z83" s="447"/>
      <c r="AA83" s="447"/>
      <c r="AB83" s="447"/>
      <c r="AC83" s="447"/>
      <c r="AD83" s="448"/>
      <c r="AF83" s="53"/>
    </row>
    <row r="84" spans="1:32" ht="36" thickBot="1">
      <c r="A84" s="434" t="s">
        <v>448</v>
      </c>
      <c r="B84" s="434"/>
      <c r="C84" s="434"/>
      <c r="D84" s="434"/>
      <c r="E84" s="434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62" t="s">
        <v>37</v>
      </c>
      <c r="B85" s="463"/>
      <c r="C85" s="463" t="s">
        <v>53</v>
      </c>
      <c r="D85" s="463"/>
      <c r="E85" s="463" t="s">
        <v>54</v>
      </c>
      <c r="F85" s="463"/>
      <c r="G85" s="463"/>
      <c r="H85" s="463"/>
      <c r="I85" s="463"/>
      <c r="J85" s="463"/>
      <c r="K85" s="463" t="s">
        <v>55</v>
      </c>
      <c r="L85" s="463"/>
      <c r="M85" s="463"/>
      <c r="N85" s="463"/>
      <c r="O85" s="463"/>
      <c r="P85" s="463"/>
      <c r="Q85" s="463"/>
      <c r="R85" s="463"/>
      <c r="S85" s="463"/>
      <c r="T85" s="463" t="s">
        <v>56</v>
      </c>
      <c r="U85" s="463"/>
      <c r="V85" s="463" t="s">
        <v>57</v>
      </c>
      <c r="W85" s="463"/>
      <c r="X85" s="463"/>
      <c r="Y85" s="463" t="s">
        <v>52</v>
      </c>
      <c r="Z85" s="463"/>
      <c r="AA85" s="463"/>
      <c r="AB85" s="463"/>
      <c r="AC85" s="463"/>
      <c r="AD85" s="464"/>
      <c r="AF85" s="53"/>
    </row>
    <row r="86" spans="1:32" ht="30.75" customHeight="1">
      <c r="A86" s="449">
        <v>1</v>
      </c>
      <c r="B86" s="450"/>
      <c r="C86" s="465">
        <v>1</v>
      </c>
      <c r="D86" s="465"/>
      <c r="E86" s="465" t="s">
        <v>149</v>
      </c>
      <c r="F86" s="465"/>
      <c r="G86" s="465"/>
      <c r="H86" s="465"/>
      <c r="I86" s="465"/>
      <c r="J86" s="465"/>
      <c r="K86" s="465" t="s">
        <v>150</v>
      </c>
      <c r="L86" s="465"/>
      <c r="M86" s="465"/>
      <c r="N86" s="465"/>
      <c r="O86" s="465"/>
      <c r="P86" s="465"/>
      <c r="Q86" s="465"/>
      <c r="R86" s="465"/>
      <c r="S86" s="465"/>
      <c r="T86" s="465" t="s">
        <v>151</v>
      </c>
      <c r="U86" s="465"/>
      <c r="V86" s="466">
        <v>1500000</v>
      </c>
      <c r="W86" s="466"/>
      <c r="X86" s="466"/>
      <c r="Y86" s="467" t="s">
        <v>152</v>
      </c>
      <c r="Z86" s="467"/>
      <c r="AA86" s="467"/>
      <c r="AB86" s="467"/>
      <c r="AC86" s="467"/>
      <c r="AD86" s="468"/>
      <c r="AF86" s="53"/>
    </row>
    <row r="87" spans="1:32" ht="30.75" customHeight="1">
      <c r="A87" s="441">
        <v>2</v>
      </c>
      <c r="B87" s="442"/>
      <c r="C87" s="476">
        <v>10</v>
      </c>
      <c r="D87" s="476"/>
      <c r="E87" s="476" t="s">
        <v>162</v>
      </c>
      <c r="F87" s="476"/>
      <c r="G87" s="476"/>
      <c r="H87" s="476"/>
      <c r="I87" s="476"/>
      <c r="J87" s="476"/>
      <c r="K87" s="476" t="s">
        <v>163</v>
      </c>
      <c r="L87" s="476"/>
      <c r="M87" s="476"/>
      <c r="N87" s="476"/>
      <c r="O87" s="476"/>
      <c r="P87" s="476"/>
      <c r="Q87" s="476"/>
      <c r="R87" s="476"/>
      <c r="S87" s="476"/>
      <c r="T87" s="477" t="s">
        <v>164</v>
      </c>
      <c r="U87" s="477"/>
      <c r="V87" s="478">
        <v>350000</v>
      </c>
      <c r="W87" s="478"/>
      <c r="X87" s="478"/>
      <c r="Y87" s="469" t="s">
        <v>176</v>
      </c>
      <c r="Z87" s="469"/>
      <c r="AA87" s="469"/>
      <c r="AB87" s="469"/>
      <c r="AC87" s="469"/>
      <c r="AD87" s="470"/>
      <c r="AF87" s="53"/>
    </row>
    <row r="88" spans="1:32" ht="30.75" customHeight="1" thickBot="1">
      <c r="A88" s="471">
        <v>3</v>
      </c>
      <c r="B88" s="472"/>
      <c r="C88" s="473"/>
      <c r="D88" s="473"/>
      <c r="E88" s="473"/>
      <c r="F88" s="473"/>
      <c r="G88" s="473"/>
      <c r="H88" s="473"/>
      <c r="I88" s="473"/>
      <c r="J88" s="473"/>
      <c r="K88" s="473"/>
      <c r="L88" s="473"/>
      <c r="M88" s="473"/>
      <c r="N88" s="473"/>
      <c r="O88" s="473"/>
      <c r="P88" s="473"/>
      <c r="Q88" s="473"/>
      <c r="R88" s="473"/>
      <c r="S88" s="473"/>
      <c r="T88" s="473"/>
      <c r="U88" s="473"/>
      <c r="V88" s="473"/>
      <c r="W88" s="473"/>
      <c r="X88" s="473"/>
      <c r="Y88" s="474"/>
      <c r="Z88" s="474"/>
      <c r="AA88" s="474"/>
      <c r="AB88" s="474"/>
      <c r="AC88" s="474"/>
      <c r="AD88" s="475"/>
      <c r="AF88" s="53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449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199" t="s">
        <v>17</v>
      </c>
      <c r="L5" s="199" t="s">
        <v>18</v>
      </c>
      <c r="M5" s="199" t="s">
        <v>19</v>
      </c>
      <c r="N5" s="19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0.43013012993664584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238</v>
      </c>
      <c r="F7" s="12" t="s">
        <v>168</v>
      </c>
      <c r="G7" s="36">
        <v>1</v>
      </c>
      <c r="H7" s="38">
        <v>25</v>
      </c>
      <c r="I7" s="7">
        <v>20000</v>
      </c>
      <c r="J7" s="14">
        <v>4920</v>
      </c>
      <c r="K7" s="15">
        <f>L7+3341+4915</f>
        <v>8256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>
        <v>24</v>
      </c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0.43013012993664584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373</v>
      </c>
      <c r="F8" s="12" t="s">
        <v>130</v>
      </c>
      <c r="G8" s="36">
        <v>1</v>
      </c>
      <c r="H8" s="38">
        <v>25</v>
      </c>
      <c r="I8" s="7">
        <v>20000</v>
      </c>
      <c r="J8" s="14">
        <v>4830</v>
      </c>
      <c r="K8" s="15">
        <f>L8+4701+4441</f>
        <v>13972</v>
      </c>
      <c r="L8" s="15">
        <f>2995+1835</f>
        <v>4830</v>
      </c>
      <c r="M8" s="16">
        <f t="shared" si="0"/>
        <v>4830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0.43013012993664584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186</v>
      </c>
      <c r="D9" s="55" t="s">
        <v>334</v>
      </c>
      <c r="E9" s="57" t="s">
        <v>335</v>
      </c>
      <c r="F9" s="12" t="s">
        <v>336</v>
      </c>
      <c r="G9" s="12">
        <v>1</v>
      </c>
      <c r="H9" s="13">
        <v>25</v>
      </c>
      <c r="I9" s="34">
        <v>6000</v>
      </c>
      <c r="J9" s="5">
        <v>2930</v>
      </c>
      <c r="K9" s="15">
        <f>L9+4873</f>
        <v>7801</v>
      </c>
      <c r="L9" s="15">
        <f>2113+815</f>
        <v>2928</v>
      </c>
      <c r="M9" s="16">
        <f t="shared" si="0"/>
        <v>2928</v>
      </c>
      <c r="N9" s="16">
        <v>0</v>
      </c>
      <c r="O9" s="62">
        <f t="shared" si="1"/>
        <v>0</v>
      </c>
      <c r="P9" s="42">
        <f t="shared" si="2"/>
        <v>17</v>
      </c>
      <c r="Q9" s="43">
        <f t="shared" si="3"/>
        <v>7</v>
      </c>
      <c r="R9" s="7"/>
      <c r="S9" s="6">
        <v>7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0.99931740614334474</v>
      </c>
      <c r="AC9" s="9">
        <f t="shared" si="5"/>
        <v>0.70833333333333337</v>
      </c>
      <c r="AD9" s="10">
        <f t="shared" si="6"/>
        <v>0.70784982935153584</v>
      </c>
      <c r="AE9" s="39">
        <f t="shared" si="7"/>
        <v>0.43013012993664584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119</v>
      </c>
      <c r="D10" s="55" t="s">
        <v>412</v>
      </c>
      <c r="E10" s="57" t="s">
        <v>413</v>
      </c>
      <c r="F10" s="12" t="s">
        <v>414</v>
      </c>
      <c r="G10" s="12">
        <v>1</v>
      </c>
      <c r="H10" s="13">
        <v>25</v>
      </c>
      <c r="I10" s="34">
        <v>300</v>
      </c>
      <c r="J10" s="14">
        <v>455</v>
      </c>
      <c r="K10" s="15">
        <f>L10+455</f>
        <v>455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0.43013012993664584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266</v>
      </c>
      <c r="E11" s="57" t="s">
        <v>450</v>
      </c>
      <c r="F11" s="12" t="s">
        <v>451</v>
      </c>
      <c r="G11" s="12">
        <v>1</v>
      </c>
      <c r="H11" s="13">
        <v>25</v>
      </c>
      <c r="I11" s="34">
        <v>4000</v>
      </c>
      <c r="J11" s="14">
        <v>950</v>
      </c>
      <c r="K11" s="15">
        <f>L11</f>
        <v>947</v>
      </c>
      <c r="L11" s="15">
        <v>947</v>
      </c>
      <c r="M11" s="16">
        <f t="shared" si="0"/>
        <v>947</v>
      </c>
      <c r="N11" s="16">
        <v>0</v>
      </c>
      <c r="O11" s="62">
        <f t="shared" si="1"/>
        <v>0</v>
      </c>
      <c r="P11" s="42">
        <f t="shared" si="2"/>
        <v>8</v>
      </c>
      <c r="Q11" s="43">
        <f t="shared" si="3"/>
        <v>16</v>
      </c>
      <c r="R11" s="7"/>
      <c r="S11" s="6"/>
      <c r="T11" s="17"/>
      <c r="U11" s="17"/>
      <c r="V11" s="18">
        <v>16</v>
      </c>
      <c r="W11" s="19"/>
      <c r="X11" s="17"/>
      <c r="Y11" s="20"/>
      <c r="Z11" s="20"/>
      <c r="AA11" s="21"/>
      <c r="AB11" s="8">
        <f t="shared" si="4"/>
        <v>0.99684210526315786</v>
      </c>
      <c r="AC11" s="9">
        <f t="shared" si="5"/>
        <v>0.33333333333333331</v>
      </c>
      <c r="AD11" s="10">
        <f t="shared" si="6"/>
        <v>0.33228070175438595</v>
      </c>
      <c r="AE11" s="39">
        <f t="shared" si="7"/>
        <v>0.43013012993664584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5020</v>
      </c>
      <c r="K12" s="15">
        <f>L12+3669+4855+2235+2780+2059+3271+4852+4899+2834+4120</f>
        <v>40593</v>
      </c>
      <c r="L12" s="15">
        <f>2999+2020</f>
        <v>5019</v>
      </c>
      <c r="M12" s="16">
        <f t="shared" si="0"/>
        <v>5019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0.99980079681274903</v>
      </c>
      <c r="AC12" s="9">
        <f t="shared" si="5"/>
        <v>1</v>
      </c>
      <c r="AD12" s="10">
        <f t="shared" si="6"/>
        <v>0.99980079681274903</v>
      </c>
      <c r="AE12" s="39">
        <f t="shared" si="7"/>
        <v>0.43013012993664584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119</v>
      </c>
      <c r="D13" s="55" t="s">
        <v>245</v>
      </c>
      <c r="E13" s="57" t="s">
        <v>246</v>
      </c>
      <c r="F13" s="12">
        <v>7301</v>
      </c>
      <c r="G13" s="12">
        <v>2</v>
      </c>
      <c r="H13" s="13">
        <v>20</v>
      </c>
      <c r="I13" s="7">
        <v>260000</v>
      </c>
      <c r="J13" s="14">
        <v>24860</v>
      </c>
      <c r="K13" s="15">
        <f>L13+11312+12742+13578+25298</f>
        <v>87782</v>
      </c>
      <c r="L13" s="15">
        <f>7126*2+5300*2</f>
        <v>24852</v>
      </c>
      <c r="M13" s="16">
        <f t="shared" si="0"/>
        <v>24852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0.99967819790828638</v>
      </c>
      <c r="AC13" s="9">
        <f t="shared" si="5"/>
        <v>1</v>
      </c>
      <c r="AD13" s="10">
        <f t="shared" si="6"/>
        <v>0.99967819790828638</v>
      </c>
      <c r="AE13" s="39">
        <f t="shared" si="7"/>
        <v>0.43013012993664584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120</v>
      </c>
      <c r="D14" s="55" t="s">
        <v>167</v>
      </c>
      <c r="E14" s="57" t="s">
        <v>340</v>
      </c>
      <c r="F14" s="33" t="s">
        <v>338</v>
      </c>
      <c r="G14" s="36">
        <v>1</v>
      </c>
      <c r="H14" s="38">
        <v>25</v>
      </c>
      <c r="I14" s="7">
        <v>10000</v>
      </c>
      <c r="J14" s="5">
        <v>5240</v>
      </c>
      <c r="K14" s="15">
        <f>L14+2215+4087+4507</f>
        <v>16043</v>
      </c>
      <c r="L14" s="15">
        <f>3104+2130</f>
        <v>5234</v>
      </c>
      <c r="M14" s="16">
        <f t="shared" si="0"/>
        <v>5234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0.99885496183206102</v>
      </c>
      <c r="AC14" s="9">
        <f t="shared" si="5"/>
        <v>1</v>
      </c>
      <c r="AD14" s="10">
        <f t="shared" si="6"/>
        <v>0.99885496183206102</v>
      </c>
      <c r="AE14" s="39">
        <f t="shared" si="7"/>
        <v>0.43013012993664584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142</v>
      </c>
      <c r="D15" s="55" t="s">
        <v>143</v>
      </c>
      <c r="E15" s="57" t="s">
        <v>144</v>
      </c>
      <c r="F15" s="12" t="s">
        <v>145</v>
      </c>
      <c r="G15" s="12">
        <v>8</v>
      </c>
      <c r="H15" s="13">
        <v>25</v>
      </c>
      <c r="I15" s="34">
        <v>50000</v>
      </c>
      <c r="J15" s="5">
        <v>7480</v>
      </c>
      <c r="K15" s="15">
        <f>L15+26528+7476</f>
        <v>34004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0.43013012993664584</v>
      </c>
      <c r="AF15" s="94">
        <f t="shared" si="8"/>
        <v>10</v>
      </c>
    </row>
    <row r="16" spans="1:32" ht="27.75" customHeight="1">
      <c r="A16" s="109">
        <v>11</v>
      </c>
      <c r="B16" s="11" t="s">
        <v>59</v>
      </c>
      <c r="C16" s="11" t="s">
        <v>379</v>
      </c>
      <c r="D16" s="55"/>
      <c r="E16" s="56" t="s">
        <v>415</v>
      </c>
      <c r="F16" s="12">
        <v>7301</v>
      </c>
      <c r="G16" s="36">
        <v>1</v>
      </c>
      <c r="H16" s="38">
        <v>25</v>
      </c>
      <c r="I16" s="7">
        <v>2000</v>
      </c>
      <c r="J16" s="14">
        <v>5040</v>
      </c>
      <c r="K16" s="15">
        <f>L16+5036</f>
        <v>5036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0.43013012993664584</v>
      </c>
      <c r="AF16" s="94">
        <f>A16</f>
        <v>11</v>
      </c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0.43013012993664584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122</v>
      </c>
      <c r="E18" s="57" t="s">
        <v>137</v>
      </c>
      <c r="F18" s="12" t="s">
        <v>155</v>
      </c>
      <c r="G18" s="12">
        <v>1</v>
      </c>
      <c r="H18" s="13">
        <v>25</v>
      </c>
      <c r="I18" s="34">
        <v>23000</v>
      </c>
      <c r="J18" s="5">
        <v>5290</v>
      </c>
      <c r="K18" s="15">
        <f>L18+2373+5342+5324+2259+3330+5266+3259+5303+5222</f>
        <v>42962</v>
      </c>
      <c r="L18" s="15">
        <f>3184+2100</f>
        <v>5284</v>
      </c>
      <c r="M18" s="16">
        <f t="shared" si="0"/>
        <v>5284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0.99886578449905483</v>
      </c>
      <c r="AC18" s="9">
        <f t="shared" si="5"/>
        <v>1</v>
      </c>
      <c r="AD18" s="10">
        <f t="shared" si="6"/>
        <v>0.99886578449905483</v>
      </c>
      <c r="AE18" s="39">
        <f t="shared" si="7"/>
        <v>0.43013012993664584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418</v>
      </c>
      <c r="E19" s="57" t="s">
        <v>419</v>
      </c>
      <c r="F19" s="12" t="s">
        <v>420</v>
      </c>
      <c r="G19" s="12">
        <v>1</v>
      </c>
      <c r="H19" s="13">
        <v>25</v>
      </c>
      <c r="I19" s="34">
        <v>1500</v>
      </c>
      <c r="J19" s="5">
        <v>1630</v>
      </c>
      <c r="K19" s="15">
        <f>L19+1539</f>
        <v>3161</v>
      </c>
      <c r="L19" s="15">
        <f>1622</f>
        <v>1622</v>
      </c>
      <c r="M19" s="16">
        <f t="shared" si="0"/>
        <v>1622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/>
      <c r="T19" s="17"/>
      <c r="U19" s="17"/>
      <c r="V19" s="18"/>
      <c r="W19" s="19">
        <v>14</v>
      </c>
      <c r="X19" s="17"/>
      <c r="Y19" s="20"/>
      <c r="Z19" s="20"/>
      <c r="AA19" s="21"/>
      <c r="AB19" s="8">
        <f t="shared" si="4"/>
        <v>0.99509202453987733</v>
      </c>
      <c r="AC19" s="9">
        <f t="shared" si="5"/>
        <v>0.41666666666666669</v>
      </c>
      <c r="AD19" s="10">
        <f t="shared" si="6"/>
        <v>0.41462167689161555</v>
      </c>
      <c r="AE19" s="39">
        <f t="shared" si="7"/>
        <v>0.43013012993664584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172</v>
      </c>
      <c r="F20" s="12" t="s">
        <v>118</v>
      </c>
      <c r="G20" s="12">
        <v>4</v>
      </c>
      <c r="H20" s="38">
        <v>20</v>
      </c>
      <c r="I20" s="7">
        <v>200000</v>
      </c>
      <c r="J20" s="14">
        <v>16170</v>
      </c>
      <c r="K20" s="15">
        <f>L20+51172+67944+16164</f>
        <v>135280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0.43013012993664584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644600</v>
      </c>
      <c r="J21" s="22">
        <f t="shared" si="10"/>
        <v>88226</v>
      </c>
      <c r="K21" s="23">
        <f t="shared" si="10"/>
        <v>399695</v>
      </c>
      <c r="L21" s="24">
        <f t="shared" si="10"/>
        <v>50716</v>
      </c>
      <c r="M21" s="23">
        <f t="shared" si="10"/>
        <v>50716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155</v>
      </c>
      <c r="Q21" s="46">
        <f t="shared" si="11"/>
        <v>205</v>
      </c>
      <c r="R21" s="26">
        <f t="shared" si="11"/>
        <v>72</v>
      </c>
      <c r="S21" s="27">
        <f t="shared" si="11"/>
        <v>7</v>
      </c>
      <c r="T21" s="27">
        <f t="shared" si="11"/>
        <v>0</v>
      </c>
      <c r="U21" s="27">
        <f t="shared" si="11"/>
        <v>0</v>
      </c>
      <c r="V21" s="28">
        <f t="shared" si="11"/>
        <v>16</v>
      </c>
      <c r="W21" s="29">
        <f t="shared" si="11"/>
        <v>110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0.53256341846656874</v>
      </c>
      <c r="AC21" s="4">
        <f>SUM(AC6:AC20)/15</f>
        <v>0.43055555555555558</v>
      </c>
      <c r="AD21" s="4">
        <f>SUM(AD6:AD20)/15</f>
        <v>0.43013012993664584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452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459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200" t="s">
        <v>47</v>
      </c>
      <c r="D50" s="200" t="s">
        <v>48</v>
      </c>
      <c r="E50" s="200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200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119</v>
      </c>
      <c r="B51" s="410"/>
      <c r="C51" s="202" t="s">
        <v>200</v>
      </c>
      <c r="D51" s="202" t="s">
        <v>412</v>
      </c>
      <c r="E51" s="205" t="s">
        <v>450</v>
      </c>
      <c r="F51" s="411" t="s">
        <v>453</v>
      </c>
      <c r="G51" s="411"/>
      <c r="H51" s="411"/>
      <c r="I51" s="411"/>
      <c r="J51" s="411"/>
      <c r="K51" s="411"/>
      <c r="L51" s="411"/>
      <c r="M51" s="412"/>
      <c r="N51" s="201" t="s">
        <v>460</v>
      </c>
      <c r="O51" s="74" t="s">
        <v>461</v>
      </c>
      <c r="P51" s="413" t="s">
        <v>462</v>
      </c>
      <c r="Q51" s="414"/>
      <c r="R51" s="410" t="s">
        <v>463</v>
      </c>
      <c r="S51" s="410"/>
      <c r="T51" s="410"/>
      <c r="U51" s="410"/>
      <c r="V51" s="411" t="s">
        <v>464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454</v>
      </c>
      <c r="B52" s="410"/>
      <c r="C52" s="202" t="s">
        <v>260</v>
      </c>
      <c r="D52" s="202" t="s">
        <v>455</v>
      </c>
      <c r="E52" s="205" t="s">
        <v>456</v>
      </c>
      <c r="F52" s="411" t="s">
        <v>457</v>
      </c>
      <c r="G52" s="411"/>
      <c r="H52" s="411"/>
      <c r="I52" s="411"/>
      <c r="J52" s="411"/>
      <c r="K52" s="411"/>
      <c r="L52" s="411"/>
      <c r="M52" s="412"/>
      <c r="N52" s="201" t="s">
        <v>465</v>
      </c>
      <c r="O52" s="74" t="s">
        <v>205</v>
      </c>
      <c r="P52" s="413" t="s">
        <v>466</v>
      </c>
      <c r="Q52" s="414"/>
      <c r="R52" s="410" t="s">
        <v>467</v>
      </c>
      <c r="S52" s="410"/>
      <c r="T52" s="410"/>
      <c r="U52" s="410"/>
      <c r="V52" s="411" t="s">
        <v>464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430</v>
      </c>
      <c r="B53" s="410"/>
      <c r="C53" s="202" t="s">
        <v>425</v>
      </c>
      <c r="D53" s="202" t="s">
        <v>58</v>
      </c>
      <c r="E53" s="205" t="s">
        <v>419</v>
      </c>
      <c r="F53" s="411" t="s">
        <v>458</v>
      </c>
      <c r="G53" s="411"/>
      <c r="H53" s="411"/>
      <c r="I53" s="411"/>
      <c r="J53" s="411"/>
      <c r="K53" s="411"/>
      <c r="L53" s="411"/>
      <c r="M53" s="412"/>
      <c r="N53" s="201"/>
      <c r="O53" s="74"/>
      <c r="P53" s="413"/>
      <c r="Q53" s="414"/>
      <c r="R53" s="410"/>
      <c r="S53" s="410"/>
      <c r="T53" s="410"/>
      <c r="U53" s="410"/>
      <c r="V53" s="411"/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/>
      <c r="B54" s="410"/>
      <c r="C54" s="202"/>
      <c r="D54" s="202"/>
      <c r="E54" s="205"/>
      <c r="F54" s="411"/>
      <c r="G54" s="411"/>
      <c r="H54" s="411"/>
      <c r="I54" s="411"/>
      <c r="J54" s="411"/>
      <c r="K54" s="411"/>
      <c r="L54" s="411"/>
      <c r="M54" s="412"/>
      <c r="N54" s="201"/>
      <c r="O54" s="74"/>
      <c r="P54" s="413"/>
      <c r="Q54" s="414"/>
      <c r="R54" s="410"/>
      <c r="S54" s="410"/>
      <c r="T54" s="410"/>
      <c r="U54" s="410"/>
      <c r="V54" s="411"/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/>
      <c r="B55" s="410"/>
      <c r="C55" s="202"/>
      <c r="D55" s="202"/>
      <c r="E55" s="205"/>
      <c r="F55" s="411"/>
      <c r="G55" s="411"/>
      <c r="H55" s="411"/>
      <c r="I55" s="411"/>
      <c r="J55" s="411"/>
      <c r="K55" s="411"/>
      <c r="L55" s="411"/>
      <c r="M55" s="412"/>
      <c r="N55" s="201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/>
      <c r="B56" s="410"/>
      <c r="C56" s="202"/>
      <c r="D56" s="202"/>
      <c r="E56" s="205"/>
      <c r="F56" s="411"/>
      <c r="G56" s="411"/>
      <c r="H56" s="411"/>
      <c r="I56" s="411"/>
      <c r="J56" s="411"/>
      <c r="K56" s="411"/>
      <c r="L56" s="411"/>
      <c r="M56" s="412"/>
      <c r="N56" s="201"/>
      <c r="O56" s="74"/>
      <c r="P56" s="410"/>
      <c r="Q56" s="410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/>
      <c r="B57" s="410"/>
      <c r="C57" s="202"/>
      <c r="D57" s="202"/>
      <c r="E57" s="205"/>
      <c r="F57" s="411"/>
      <c r="G57" s="411"/>
      <c r="H57" s="411"/>
      <c r="I57" s="411"/>
      <c r="J57" s="411"/>
      <c r="K57" s="411"/>
      <c r="L57" s="411"/>
      <c r="M57" s="412"/>
      <c r="N57" s="201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205"/>
      <c r="D58" s="202"/>
      <c r="E58" s="205"/>
      <c r="F58" s="411"/>
      <c r="G58" s="411"/>
      <c r="H58" s="411"/>
      <c r="I58" s="411"/>
      <c r="J58" s="411"/>
      <c r="K58" s="411"/>
      <c r="L58" s="411"/>
      <c r="M58" s="412"/>
      <c r="N58" s="201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202"/>
      <c r="D59" s="202"/>
      <c r="E59" s="202"/>
      <c r="F59" s="411"/>
      <c r="G59" s="411"/>
      <c r="H59" s="411"/>
      <c r="I59" s="411"/>
      <c r="J59" s="411"/>
      <c r="K59" s="411"/>
      <c r="L59" s="411"/>
      <c r="M59" s="412"/>
      <c r="N59" s="201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204"/>
      <c r="D60" s="204"/>
      <c r="E60" s="204"/>
      <c r="F60" s="417"/>
      <c r="G60" s="417"/>
      <c r="H60" s="417"/>
      <c r="I60" s="417"/>
      <c r="J60" s="417"/>
      <c r="K60" s="417"/>
      <c r="L60" s="417"/>
      <c r="M60" s="418"/>
      <c r="N60" s="203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468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206" t="s">
        <v>2</v>
      </c>
      <c r="D62" s="206" t="s">
        <v>38</v>
      </c>
      <c r="E62" s="206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206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454</v>
      </c>
      <c r="D63" s="209"/>
      <c r="E63" s="207" t="s">
        <v>469</v>
      </c>
      <c r="F63" s="430" t="s">
        <v>470</v>
      </c>
      <c r="G63" s="431"/>
      <c r="H63" s="431"/>
      <c r="I63" s="431"/>
      <c r="J63" s="431"/>
      <c r="K63" s="431" t="s">
        <v>471</v>
      </c>
      <c r="L63" s="431"/>
      <c r="M63" s="54" t="s">
        <v>472</v>
      </c>
      <c r="N63" s="431">
        <v>4</v>
      </c>
      <c r="O63" s="431"/>
      <c r="P63" s="432">
        <v>100</v>
      </c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/>
      <c r="D64" s="209"/>
      <c r="E64" s="207"/>
      <c r="F64" s="430"/>
      <c r="G64" s="431"/>
      <c r="H64" s="431"/>
      <c r="I64" s="431"/>
      <c r="J64" s="431"/>
      <c r="K64" s="431"/>
      <c r="L64" s="431"/>
      <c r="M64" s="54"/>
      <c r="N64" s="431"/>
      <c r="O64" s="431"/>
      <c r="P64" s="432"/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/>
      <c r="D65" s="209"/>
      <c r="E65" s="207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/>
      <c r="D66" s="209"/>
      <c r="E66" s="207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209"/>
      <c r="E67" s="207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209"/>
      <c r="E68" s="207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209"/>
      <c r="E69" s="207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209"/>
      <c r="E70" s="207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473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208" t="s">
        <v>2</v>
      </c>
      <c r="D72" s="208" t="s">
        <v>38</v>
      </c>
      <c r="E72" s="208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210" t="s">
        <v>119</v>
      </c>
      <c r="D73" s="210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209" t="s">
        <v>119</v>
      </c>
      <c r="D74" s="209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209" t="s">
        <v>120</v>
      </c>
      <c r="D75" s="209"/>
      <c r="E75" s="35" t="s">
        <v>354</v>
      </c>
      <c r="F75" s="442" t="s">
        <v>474</v>
      </c>
      <c r="G75" s="442"/>
      <c r="H75" s="442"/>
      <c r="I75" s="442"/>
      <c r="J75" s="442"/>
      <c r="K75" s="443" t="s">
        <v>330</v>
      </c>
      <c r="L75" s="444"/>
      <c r="M75" s="444"/>
      <c r="N75" s="444"/>
      <c r="O75" s="444"/>
      <c r="P75" s="444"/>
      <c r="Q75" s="444"/>
      <c r="R75" s="444"/>
      <c r="S75" s="445"/>
      <c r="T75" s="446">
        <v>42921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209" t="s">
        <v>292</v>
      </c>
      <c r="D76" s="209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209" t="s">
        <v>186</v>
      </c>
      <c r="D77" s="209"/>
      <c r="E77" s="35" t="s">
        <v>475</v>
      </c>
      <c r="F77" s="442" t="s">
        <v>476</v>
      </c>
      <c r="G77" s="442"/>
      <c r="H77" s="442"/>
      <c r="I77" s="442"/>
      <c r="J77" s="442"/>
      <c r="K77" s="443" t="s">
        <v>330</v>
      </c>
      <c r="L77" s="444"/>
      <c r="M77" s="444"/>
      <c r="N77" s="444"/>
      <c r="O77" s="444"/>
      <c r="P77" s="444"/>
      <c r="Q77" s="444"/>
      <c r="R77" s="444"/>
      <c r="S77" s="445"/>
      <c r="T77" s="446">
        <v>42924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209"/>
      <c r="D78" s="209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209"/>
      <c r="D79" s="209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209"/>
      <c r="D80" s="209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209"/>
      <c r="D81" s="209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477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176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F71" sqref="F71:J7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478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222" t="s">
        <v>17</v>
      </c>
      <c r="L5" s="222" t="s">
        <v>18</v>
      </c>
      <c r="M5" s="222" t="s">
        <v>19</v>
      </c>
      <c r="N5" s="22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0.3299440538558342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238</v>
      </c>
      <c r="F7" s="12" t="s">
        <v>168</v>
      </c>
      <c r="G7" s="36">
        <v>1</v>
      </c>
      <c r="H7" s="38">
        <v>25</v>
      </c>
      <c r="I7" s="7">
        <v>20000</v>
      </c>
      <c r="J7" s="14">
        <v>4920</v>
      </c>
      <c r="K7" s="15">
        <f>L7+3341+4915</f>
        <v>8256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>
        <v>24</v>
      </c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0.3299440538558342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373</v>
      </c>
      <c r="F8" s="12" t="s">
        <v>130</v>
      </c>
      <c r="G8" s="36">
        <v>1</v>
      </c>
      <c r="H8" s="38">
        <v>25</v>
      </c>
      <c r="I8" s="7">
        <v>20000</v>
      </c>
      <c r="J8" s="14">
        <v>4140</v>
      </c>
      <c r="K8" s="15">
        <f>L8+4701+4441+4830</f>
        <v>18103</v>
      </c>
      <c r="L8" s="15">
        <f>2092+187+1852</f>
        <v>4131</v>
      </c>
      <c r="M8" s="16">
        <f t="shared" si="0"/>
        <v>4131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>
        <v>1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0.99782608695652175</v>
      </c>
      <c r="AC8" s="9">
        <f t="shared" si="5"/>
        <v>0.95833333333333337</v>
      </c>
      <c r="AD8" s="10">
        <f t="shared" si="6"/>
        <v>0.95625000000000004</v>
      </c>
      <c r="AE8" s="39">
        <f t="shared" si="7"/>
        <v>0.3299440538558342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186</v>
      </c>
      <c r="D9" s="55" t="s">
        <v>334</v>
      </c>
      <c r="E9" s="57" t="s">
        <v>335</v>
      </c>
      <c r="F9" s="12" t="s">
        <v>336</v>
      </c>
      <c r="G9" s="12">
        <v>1</v>
      </c>
      <c r="H9" s="13">
        <v>25</v>
      </c>
      <c r="I9" s="34">
        <v>6000</v>
      </c>
      <c r="J9" s="5">
        <v>2930</v>
      </c>
      <c r="K9" s="15">
        <f>L9+4873+2928</f>
        <v>7801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0.3299440538558342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119</v>
      </c>
      <c r="D10" s="55" t="s">
        <v>479</v>
      </c>
      <c r="E10" s="57" t="s">
        <v>480</v>
      </c>
      <c r="F10" s="12">
        <v>8301</v>
      </c>
      <c r="G10" s="12">
        <v>1</v>
      </c>
      <c r="H10" s="13">
        <v>25</v>
      </c>
      <c r="I10" s="34">
        <v>1000</v>
      </c>
      <c r="J10" s="14">
        <v>1300</v>
      </c>
      <c r="K10" s="15">
        <f>L10</f>
        <v>1298</v>
      </c>
      <c r="L10" s="15">
        <v>1298</v>
      </c>
      <c r="M10" s="16">
        <f t="shared" si="0"/>
        <v>1298</v>
      </c>
      <c r="N10" s="16">
        <v>0</v>
      </c>
      <c r="O10" s="62">
        <f t="shared" si="1"/>
        <v>0</v>
      </c>
      <c r="P10" s="42">
        <f t="shared" si="2"/>
        <v>8</v>
      </c>
      <c r="Q10" s="43">
        <f t="shared" si="3"/>
        <v>16</v>
      </c>
      <c r="R10" s="7"/>
      <c r="S10" s="6"/>
      <c r="T10" s="17"/>
      <c r="U10" s="17"/>
      <c r="V10" s="18"/>
      <c r="W10" s="19">
        <v>16</v>
      </c>
      <c r="X10" s="17"/>
      <c r="Y10" s="20"/>
      <c r="Z10" s="20"/>
      <c r="AA10" s="21"/>
      <c r="AB10" s="8">
        <f t="shared" si="4"/>
        <v>0.99846153846153851</v>
      </c>
      <c r="AC10" s="9">
        <f t="shared" si="5"/>
        <v>0.33333333333333331</v>
      </c>
      <c r="AD10" s="10">
        <f t="shared" si="6"/>
        <v>0.33282051282051284</v>
      </c>
      <c r="AE10" s="39">
        <f t="shared" si="7"/>
        <v>0.3299440538558342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266</v>
      </c>
      <c r="E11" s="57" t="s">
        <v>450</v>
      </c>
      <c r="F11" s="12" t="s">
        <v>451</v>
      </c>
      <c r="G11" s="12">
        <v>1</v>
      </c>
      <c r="H11" s="13">
        <v>25</v>
      </c>
      <c r="I11" s="34">
        <v>4000</v>
      </c>
      <c r="J11" s="14">
        <v>950</v>
      </c>
      <c r="K11" s="15">
        <f>L11+947</f>
        <v>947</v>
      </c>
      <c r="L11" s="15">
        <v>0</v>
      </c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>
        <v>24</v>
      </c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0.3299440538558342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3680</v>
      </c>
      <c r="K12" s="15">
        <f>L12+3669+4855+2235+2780+2059+3271+4852+4899+2834+4120+5019</f>
        <v>44270</v>
      </c>
      <c r="L12" s="15">
        <f>2194+1483</f>
        <v>3677</v>
      </c>
      <c r="M12" s="16">
        <f t="shared" si="0"/>
        <v>3677</v>
      </c>
      <c r="N12" s="16">
        <v>0</v>
      </c>
      <c r="O12" s="62">
        <f t="shared" si="1"/>
        <v>0</v>
      </c>
      <c r="P12" s="42">
        <f t="shared" si="2"/>
        <v>20</v>
      </c>
      <c r="Q12" s="43">
        <f t="shared" si="3"/>
        <v>4</v>
      </c>
      <c r="R12" s="7"/>
      <c r="S12" s="6">
        <v>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0.9991847826086957</v>
      </c>
      <c r="AC12" s="9">
        <f t="shared" si="5"/>
        <v>0.83333333333333337</v>
      </c>
      <c r="AD12" s="10">
        <f t="shared" si="6"/>
        <v>0.83265398550724645</v>
      </c>
      <c r="AE12" s="39">
        <f t="shared" si="7"/>
        <v>0.3299440538558342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481</v>
      </c>
      <c r="D13" s="55" t="s">
        <v>482</v>
      </c>
      <c r="E13" s="57" t="s">
        <v>483</v>
      </c>
      <c r="F13" s="12" t="s">
        <v>484</v>
      </c>
      <c r="G13" s="12">
        <v>1</v>
      </c>
      <c r="H13" s="13">
        <v>35</v>
      </c>
      <c r="I13" s="7">
        <v>1000</v>
      </c>
      <c r="J13" s="14">
        <v>1350</v>
      </c>
      <c r="K13" s="15">
        <f>L13</f>
        <v>1349</v>
      </c>
      <c r="L13" s="15">
        <f>1349</f>
        <v>1349</v>
      </c>
      <c r="M13" s="16">
        <f t="shared" si="0"/>
        <v>1349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/>
      <c r="T13" s="17"/>
      <c r="U13" s="17"/>
      <c r="V13" s="18"/>
      <c r="W13" s="19">
        <v>12</v>
      </c>
      <c r="X13" s="17"/>
      <c r="Y13" s="20"/>
      <c r="Z13" s="20"/>
      <c r="AA13" s="21"/>
      <c r="AB13" s="8">
        <f t="shared" si="4"/>
        <v>0.99925925925925929</v>
      </c>
      <c r="AC13" s="9">
        <f t="shared" si="5"/>
        <v>0.5</v>
      </c>
      <c r="AD13" s="10">
        <f t="shared" si="6"/>
        <v>0.49962962962962965</v>
      </c>
      <c r="AE13" s="39">
        <f t="shared" si="7"/>
        <v>0.3299440538558342</v>
      </c>
      <c r="AF13" s="94">
        <f t="shared" si="8"/>
        <v>8</v>
      </c>
    </row>
    <row r="14" spans="1:32" ht="27" customHeight="1">
      <c r="A14" s="110">
        <v>8</v>
      </c>
      <c r="B14" s="11" t="s">
        <v>59</v>
      </c>
      <c r="C14" s="11" t="s">
        <v>120</v>
      </c>
      <c r="D14" s="55" t="s">
        <v>482</v>
      </c>
      <c r="E14" s="57" t="s">
        <v>485</v>
      </c>
      <c r="F14" s="12" t="s">
        <v>486</v>
      </c>
      <c r="G14" s="12">
        <v>1</v>
      </c>
      <c r="H14" s="13">
        <v>35</v>
      </c>
      <c r="I14" s="7">
        <v>7000</v>
      </c>
      <c r="J14" s="14">
        <v>2510</v>
      </c>
      <c r="K14" s="15">
        <f>L14</f>
        <v>2502</v>
      </c>
      <c r="L14" s="15">
        <v>2502</v>
      </c>
      <c r="M14" s="16">
        <f t="shared" ref="M14" si="10">L14-N14</f>
        <v>2502</v>
      </c>
      <c r="N14" s="16">
        <v>0</v>
      </c>
      <c r="O14" s="62">
        <f t="shared" ref="O14" si="11">IF(L14=0,"0",N14/L14)</f>
        <v>0</v>
      </c>
      <c r="P14" s="42">
        <f t="shared" ref="P14" si="12">IF(L14=0,"0",(24-Q14))</f>
        <v>11</v>
      </c>
      <c r="Q14" s="43">
        <f t="shared" ref="Q14" si="13">SUM(R14:AA14)</f>
        <v>13</v>
      </c>
      <c r="R14" s="7"/>
      <c r="S14" s="6"/>
      <c r="T14" s="17">
        <v>13</v>
      </c>
      <c r="U14" s="17"/>
      <c r="V14" s="18"/>
      <c r="W14" s="19"/>
      <c r="X14" s="17"/>
      <c r="Y14" s="20"/>
      <c r="Z14" s="20"/>
      <c r="AA14" s="21"/>
      <c r="AB14" s="8">
        <f t="shared" ref="AB14" si="14">IF(J14=0,"0",(L14/J14))</f>
        <v>0.99681274900398409</v>
      </c>
      <c r="AC14" s="9">
        <f t="shared" ref="AC14" si="15">IF(P14=0,"0",(P14/24))</f>
        <v>0.45833333333333331</v>
      </c>
      <c r="AD14" s="10">
        <f t="shared" ref="AD14" si="16">AC14*AB14*(1-O14)</f>
        <v>0.45687250996015938</v>
      </c>
      <c r="AE14" s="39">
        <f t="shared" si="7"/>
        <v>0.3299440538558342</v>
      </c>
      <c r="AF14" s="94">
        <f t="shared" ref="AF14" si="17">A14</f>
        <v>8</v>
      </c>
    </row>
    <row r="15" spans="1:32" ht="27" customHeight="1">
      <c r="A15" s="109">
        <v>9</v>
      </c>
      <c r="B15" s="11" t="s">
        <v>59</v>
      </c>
      <c r="C15" s="37" t="s">
        <v>120</v>
      </c>
      <c r="D15" s="55" t="s">
        <v>167</v>
      </c>
      <c r="E15" s="57" t="s">
        <v>340</v>
      </c>
      <c r="F15" s="33" t="s">
        <v>338</v>
      </c>
      <c r="G15" s="36">
        <v>1</v>
      </c>
      <c r="H15" s="38">
        <v>25</v>
      </c>
      <c r="I15" s="7">
        <v>10000</v>
      </c>
      <c r="J15" s="5">
        <v>410</v>
      </c>
      <c r="K15" s="15">
        <f>L15+2215+4087+4507+5234</f>
        <v>16446</v>
      </c>
      <c r="L15" s="15">
        <v>403</v>
      </c>
      <c r="M15" s="16">
        <f t="shared" si="0"/>
        <v>403</v>
      </c>
      <c r="N15" s="16">
        <v>0</v>
      </c>
      <c r="O15" s="62">
        <f t="shared" si="1"/>
        <v>0</v>
      </c>
      <c r="P15" s="42">
        <f t="shared" si="2"/>
        <v>4</v>
      </c>
      <c r="Q15" s="43">
        <f t="shared" si="3"/>
        <v>20</v>
      </c>
      <c r="R15" s="7"/>
      <c r="S15" s="6">
        <v>20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0.98292682926829267</v>
      </c>
      <c r="AC15" s="9">
        <f t="shared" si="5"/>
        <v>0.16666666666666666</v>
      </c>
      <c r="AD15" s="10">
        <f t="shared" si="6"/>
        <v>0.16382113821138211</v>
      </c>
      <c r="AE15" s="39">
        <f t="shared" si="7"/>
        <v>0.3299440538558342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142</v>
      </c>
      <c r="D16" s="55" t="s">
        <v>143</v>
      </c>
      <c r="E16" s="57" t="s">
        <v>144</v>
      </c>
      <c r="F16" s="12" t="s">
        <v>145</v>
      </c>
      <c r="G16" s="12">
        <v>8</v>
      </c>
      <c r="H16" s="13">
        <v>25</v>
      </c>
      <c r="I16" s="34">
        <v>50000</v>
      </c>
      <c r="J16" s="5">
        <v>7480</v>
      </c>
      <c r="K16" s="15">
        <f>L16+26528+7476</f>
        <v>34004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0.3299440538558342</v>
      </c>
      <c r="AF16" s="94">
        <f t="shared" si="8"/>
        <v>10</v>
      </c>
    </row>
    <row r="17" spans="1:32" ht="27.75" customHeight="1">
      <c r="A17" s="109">
        <v>11</v>
      </c>
      <c r="B17" s="11" t="s">
        <v>59</v>
      </c>
      <c r="C17" s="11" t="s">
        <v>379</v>
      </c>
      <c r="D17" s="55"/>
      <c r="E17" s="56" t="s">
        <v>415</v>
      </c>
      <c r="F17" s="12">
        <v>7301</v>
      </c>
      <c r="G17" s="36">
        <v>1</v>
      </c>
      <c r="H17" s="38">
        <v>25</v>
      </c>
      <c r="I17" s="7">
        <v>2000</v>
      </c>
      <c r="J17" s="14">
        <v>5040</v>
      </c>
      <c r="K17" s="15">
        <f>L17+5036</f>
        <v>5036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0.3299440538558342</v>
      </c>
      <c r="AF17" s="94">
        <f>A17</f>
        <v>11</v>
      </c>
    </row>
    <row r="18" spans="1:32" ht="27" customHeight="1">
      <c r="A18" s="109">
        <v>12</v>
      </c>
      <c r="B18" s="11" t="s">
        <v>59</v>
      </c>
      <c r="C18" s="37" t="s">
        <v>119</v>
      </c>
      <c r="D18" s="55" t="s">
        <v>153</v>
      </c>
      <c r="E18" s="56" t="s">
        <v>157</v>
      </c>
      <c r="F18" s="12">
        <v>8301</v>
      </c>
      <c r="G18" s="12">
        <v>1</v>
      </c>
      <c r="H18" s="13">
        <v>25</v>
      </c>
      <c r="I18" s="34">
        <v>800</v>
      </c>
      <c r="J18" s="5">
        <v>1441</v>
      </c>
      <c r="K18" s="15">
        <f>L18+1441</f>
        <v>1441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>
        <v>24</v>
      </c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0.3299440538558342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119</v>
      </c>
      <c r="D19" s="55" t="s">
        <v>122</v>
      </c>
      <c r="E19" s="57" t="s">
        <v>137</v>
      </c>
      <c r="F19" s="12" t="s">
        <v>155</v>
      </c>
      <c r="G19" s="12">
        <v>1</v>
      </c>
      <c r="H19" s="13">
        <v>25</v>
      </c>
      <c r="I19" s="34">
        <v>23000</v>
      </c>
      <c r="J19" s="5">
        <v>3220</v>
      </c>
      <c r="K19" s="15">
        <f>L19+2373+5342+5324+2259+3330+5266+3259+5303+5222+5284</f>
        <v>46178</v>
      </c>
      <c r="L19" s="15">
        <f>2468+748</f>
        <v>3216</v>
      </c>
      <c r="M19" s="16">
        <f t="shared" si="0"/>
        <v>3216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0.99875776397515525</v>
      </c>
      <c r="AC19" s="9">
        <f t="shared" si="5"/>
        <v>0.79166666666666663</v>
      </c>
      <c r="AD19" s="10">
        <f t="shared" si="6"/>
        <v>0.79068322981366457</v>
      </c>
      <c r="AE19" s="39">
        <f t="shared" si="7"/>
        <v>0.3299440538558342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487</v>
      </c>
      <c r="D20" s="55" t="s">
        <v>418</v>
      </c>
      <c r="E20" s="57" t="s">
        <v>488</v>
      </c>
      <c r="F20" s="12" t="s">
        <v>489</v>
      </c>
      <c r="G20" s="12">
        <v>1</v>
      </c>
      <c r="H20" s="13">
        <v>25</v>
      </c>
      <c r="I20" s="34">
        <v>20000</v>
      </c>
      <c r="J20" s="5">
        <v>3870</v>
      </c>
      <c r="K20" s="15">
        <f>L20</f>
        <v>3869</v>
      </c>
      <c r="L20" s="15">
        <f>1800+2069</f>
        <v>3869</v>
      </c>
      <c r="M20" s="16">
        <f t="shared" si="0"/>
        <v>3869</v>
      </c>
      <c r="N20" s="16">
        <v>0</v>
      </c>
      <c r="O20" s="62">
        <f t="shared" si="1"/>
        <v>0</v>
      </c>
      <c r="P20" s="42">
        <f t="shared" si="2"/>
        <v>22</v>
      </c>
      <c r="Q20" s="43">
        <f t="shared" si="3"/>
        <v>2</v>
      </c>
      <c r="R20" s="7"/>
      <c r="S20" s="6">
        <v>2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0.99974160206718343</v>
      </c>
      <c r="AC20" s="9">
        <f t="shared" si="5"/>
        <v>0.91666666666666663</v>
      </c>
      <c r="AD20" s="10">
        <f t="shared" si="6"/>
        <v>0.91642980189491807</v>
      </c>
      <c r="AE20" s="39">
        <f t="shared" si="7"/>
        <v>0.3299440538558342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117</v>
      </c>
      <c r="D21" s="55"/>
      <c r="E21" s="56" t="s">
        <v>172</v>
      </c>
      <c r="F21" s="12" t="s">
        <v>118</v>
      </c>
      <c r="G21" s="12">
        <v>4</v>
      </c>
      <c r="H21" s="38">
        <v>20</v>
      </c>
      <c r="I21" s="7">
        <v>200000</v>
      </c>
      <c r="J21" s="14">
        <v>16170</v>
      </c>
      <c r="K21" s="15">
        <f>L21+51172+67944+16164</f>
        <v>135280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0.3299440538558342</v>
      </c>
      <c r="AF21" s="94">
        <f t="shared" si="8"/>
        <v>15</v>
      </c>
    </row>
    <row r="22" spans="1:32" ht="31.5" customHeight="1" thickBot="1">
      <c r="A22" s="382" t="s">
        <v>34</v>
      </c>
      <c r="B22" s="383"/>
      <c r="C22" s="383"/>
      <c r="D22" s="383"/>
      <c r="E22" s="383"/>
      <c r="F22" s="383"/>
      <c r="G22" s="383"/>
      <c r="H22" s="384"/>
      <c r="I22" s="25">
        <f t="shared" ref="I22:N22" si="18">SUM(I6:I21)</f>
        <v>411800</v>
      </c>
      <c r="J22" s="22">
        <f t="shared" si="18"/>
        <v>61381</v>
      </c>
      <c r="K22" s="23">
        <f t="shared" si="18"/>
        <v>328742</v>
      </c>
      <c r="L22" s="24">
        <f t="shared" si="18"/>
        <v>20445</v>
      </c>
      <c r="M22" s="23">
        <f t="shared" si="18"/>
        <v>20445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119</v>
      </c>
      <c r="Q22" s="46">
        <f t="shared" si="19"/>
        <v>265</v>
      </c>
      <c r="R22" s="26">
        <f t="shared" si="19"/>
        <v>72</v>
      </c>
      <c r="S22" s="27">
        <f t="shared" si="19"/>
        <v>56</v>
      </c>
      <c r="T22" s="27">
        <f t="shared" si="19"/>
        <v>13</v>
      </c>
      <c r="U22" s="27">
        <f t="shared" si="19"/>
        <v>0</v>
      </c>
      <c r="V22" s="28">
        <f t="shared" si="19"/>
        <v>24</v>
      </c>
      <c r="W22" s="29">
        <f t="shared" si="19"/>
        <v>100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0.5315313741067087</v>
      </c>
      <c r="AC22" s="4">
        <f>SUM(AC6:AC21)/15</f>
        <v>0.3305555555555556</v>
      </c>
      <c r="AD22" s="4">
        <f>SUM(AD6:AD21)/15</f>
        <v>0.3299440538558342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5" t="s">
        <v>46</v>
      </c>
      <c r="B49" s="385"/>
      <c r="C49" s="385"/>
      <c r="D49" s="385"/>
      <c r="E49" s="38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86" t="s">
        <v>490</v>
      </c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8"/>
      <c r="N50" s="389" t="s">
        <v>506</v>
      </c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  <c r="AA50" s="390"/>
      <c r="AB50" s="390"/>
      <c r="AC50" s="390"/>
      <c r="AD50" s="391"/>
    </row>
    <row r="51" spans="1:32" ht="27" customHeight="1">
      <c r="A51" s="392" t="s">
        <v>2</v>
      </c>
      <c r="B51" s="393"/>
      <c r="C51" s="221" t="s">
        <v>47</v>
      </c>
      <c r="D51" s="221" t="s">
        <v>48</v>
      </c>
      <c r="E51" s="221" t="s">
        <v>111</v>
      </c>
      <c r="F51" s="393" t="s">
        <v>110</v>
      </c>
      <c r="G51" s="393"/>
      <c r="H51" s="393"/>
      <c r="I51" s="393"/>
      <c r="J51" s="393"/>
      <c r="K51" s="393"/>
      <c r="L51" s="393"/>
      <c r="M51" s="394"/>
      <c r="N51" s="73" t="s">
        <v>115</v>
      </c>
      <c r="O51" s="221" t="s">
        <v>47</v>
      </c>
      <c r="P51" s="395" t="s">
        <v>48</v>
      </c>
      <c r="Q51" s="396"/>
      <c r="R51" s="395" t="s">
        <v>39</v>
      </c>
      <c r="S51" s="397"/>
      <c r="T51" s="397"/>
      <c r="U51" s="396"/>
      <c r="V51" s="395" t="s">
        <v>49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09" t="s">
        <v>119</v>
      </c>
      <c r="B52" s="410"/>
      <c r="C52" s="217" t="s">
        <v>491</v>
      </c>
      <c r="D52" s="217" t="s">
        <v>412</v>
      </c>
      <c r="E52" s="220" t="s">
        <v>492</v>
      </c>
      <c r="F52" s="411" t="s">
        <v>493</v>
      </c>
      <c r="G52" s="411"/>
      <c r="H52" s="411"/>
      <c r="I52" s="411"/>
      <c r="J52" s="411"/>
      <c r="K52" s="411"/>
      <c r="L52" s="411"/>
      <c r="M52" s="412"/>
      <c r="N52" s="216" t="s">
        <v>507</v>
      </c>
      <c r="O52" s="74" t="s">
        <v>508</v>
      </c>
      <c r="P52" s="413" t="s">
        <v>509</v>
      </c>
      <c r="Q52" s="414"/>
      <c r="R52" s="410" t="s">
        <v>510</v>
      </c>
      <c r="S52" s="410"/>
      <c r="T52" s="410"/>
      <c r="U52" s="410"/>
      <c r="V52" s="411" t="s">
        <v>511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494</v>
      </c>
      <c r="B53" s="410"/>
      <c r="C53" s="217" t="s">
        <v>495</v>
      </c>
      <c r="D53" s="217" t="s">
        <v>58</v>
      </c>
      <c r="E53" s="220" t="s">
        <v>483</v>
      </c>
      <c r="F53" s="411" t="s">
        <v>496</v>
      </c>
      <c r="G53" s="411"/>
      <c r="H53" s="411"/>
      <c r="I53" s="411"/>
      <c r="J53" s="411"/>
      <c r="K53" s="411"/>
      <c r="L53" s="411"/>
      <c r="M53" s="412"/>
      <c r="N53" s="216" t="s">
        <v>120</v>
      </c>
      <c r="O53" s="74" t="s">
        <v>512</v>
      </c>
      <c r="P53" s="413" t="s">
        <v>513</v>
      </c>
      <c r="Q53" s="414"/>
      <c r="R53" s="410" t="s">
        <v>514</v>
      </c>
      <c r="S53" s="410"/>
      <c r="T53" s="410"/>
      <c r="U53" s="410"/>
      <c r="V53" s="411" t="s">
        <v>493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430</v>
      </c>
      <c r="B54" s="410"/>
      <c r="C54" s="217" t="s">
        <v>495</v>
      </c>
      <c r="D54" s="217" t="s">
        <v>58</v>
      </c>
      <c r="E54" s="220" t="s">
        <v>497</v>
      </c>
      <c r="F54" s="411" t="s">
        <v>496</v>
      </c>
      <c r="G54" s="411"/>
      <c r="H54" s="411"/>
      <c r="I54" s="411"/>
      <c r="J54" s="411"/>
      <c r="K54" s="411"/>
      <c r="L54" s="411"/>
      <c r="M54" s="412"/>
      <c r="N54" s="216" t="s">
        <v>515</v>
      </c>
      <c r="O54" s="74" t="s">
        <v>516</v>
      </c>
      <c r="P54" s="413" t="s">
        <v>517</v>
      </c>
      <c r="Q54" s="414"/>
      <c r="R54" s="410"/>
      <c r="S54" s="410"/>
      <c r="T54" s="410"/>
      <c r="U54" s="410"/>
      <c r="V54" s="411" t="s">
        <v>518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487</v>
      </c>
      <c r="B55" s="410"/>
      <c r="C55" s="217" t="s">
        <v>498</v>
      </c>
      <c r="D55" s="217" t="s">
        <v>58</v>
      </c>
      <c r="E55" s="220" t="s">
        <v>488</v>
      </c>
      <c r="F55" s="411" t="s">
        <v>496</v>
      </c>
      <c r="G55" s="411"/>
      <c r="H55" s="411"/>
      <c r="I55" s="411"/>
      <c r="J55" s="411"/>
      <c r="K55" s="411"/>
      <c r="L55" s="411"/>
      <c r="M55" s="412"/>
      <c r="N55" s="216" t="s">
        <v>120</v>
      </c>
      <c r="O55" s="74" t="s">
        <v>502</v>
      </c>
      <c r="P55" s="413" t="s">
        <v>503</v>
      </c>
      <c r="Q55" s="414"/>
      <c r="R55" s="410" t="s">
        <v>504</v>
      </c>
      <c r="S55" s="410"/>
      <c r="T55" s="410"/>
      <c r="U55" s="410"/>
      <c r="V55" s="411" t="s">
        <v>386</v>
      </c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119</v>
      </c>
      <c r="B56" s="410"/>
      <c r="C56" s="217" t="s">
        <v>387</v>
      </c>
      <c r="D56" s="217" t="s">
        <v>479</v>
      </c>
      <c r="E56" s="220" t="s">
        <v>499</v>
      </c>
      <c r="F56" s="411" t="s">
        <v>496</v>
      </c>
      <c r="G56" s="411"/>
      <c r="H56" s="411"/>
      <c r="I56" s="411"/>
      <c r="J56" s="411"/>
      <c r="K56" s="411"/>
      <c r="L56" s="411"/>
      <c r="M56" s="412"/>
      <c r="N56" s="216"/>
      <c r="O56" s="74"/>
      <c r="P56" s="413"/>
      <c r="Q56" s="414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 t="s">
        <v>119</v>
      </c>
      <c r="B57" s="410"/>
      <c r="C57" s="217" t="s">
        <v>390</v>
      </c>
      <c r="D57" s="217" t="s">
        <v>123</v>
      </c>
      <c r="E57" s="220" t="s">
        <v>500</v>
      </c>
      <c r="F57" s="411" t="s">
        <v>501</v>
      </c>
      <c r="G57" s="411"/>
      <c r="H57" s="411"/>
      <c r="I57" s="411"/>
      <c r="J57" s="411"/>
      <c r="K57" s="411"/>
      <c r="L57" s="411"/>
      <c r="M57" s="412"/>
      <c r="N57" s="216"/>
      <c r="O57" s="74"/>
      <c r="P57" s="410"/>
      <c r="Q57" s="410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09" t="s">
        <v>120</v>
      </c>
      <c r="B58" s="410"/>
      <c r="C58" s="217" t="s">
        <v>502</v>
      </c>
      <c r="D58" s="217" t="s">
        <v>503</v>
      </c>
      <c r="E58" s="220" t="s">
        <v>504</v>
      </c>
      <c r="F58" s="411" t="s">
        <v>505</v>
      </c>
      <c r="G58" s="411"/>
      <c r="H58" s="411"/>
      <c r="I58" s="411"/>
      <c r="J58" s="411"/>
      <c r="K58" s="411"/>
      <c r="L58" s="411"/>
      <c r="M58" s="412"/>
      <c r="N58" s="216"/>
      <c r="O58" s="74"/>
      <c r="P58" s="413"/>
      <c r="Q58" s="414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19"/>
      <c r="B59" s="420"/>
      <c r="C59" s="220"/>
      <c r="D59" s="217"/>
      <c r="E59" s="220"/>
      <c r="F59" s="411"/>
      <c r="G59" s="411"/>
      <c r="H59" s="411"/>
      <c r="I59" s="411"/>
      <c r="J59" s="411"/>
      <c r="K59" s="411"/>
      <c r="L59" s="411"/>
      <c r="M59" s="412"/>
      <c r="N59" s="216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</row>
    <row r="60" spans="1:32" ht="27" customHeight="1">
      <c r="A60" s="409"/>
      <c r="B60" s="410"/>
      <c r="C60" s="217"/>
      <c r="D60" s="217"/>
      <c r="E60" s="217"/>
      <c r="F60" s="411"/>
      <c r="G60" s="411"/>
      <c r="H60" s="411"/>
      <c r="I60" s="411"/>
      <c r="J60" s="411"/>
      <c r="K60" s="411"/>
      <c r="L60" s="411"/>
      <c r="M60" s="412"/>
      <c r="N60" s="216"/>
      <c r="O60" s="74"/>
      <c r="P60" s="410"/>
      <c r="Q60" s="410"/>
      <c r="R60" s="410"/>
      <c r="S60" s="410"/>
      <c r="T60" s="410"/>
      <c r="U60" s="410"/>
      <c r="V60" s="411"/>
      <c r="W60" s="411"/>
      <c r="X60" s="411"/>
      <c r="Y60" s="411"/>
      <c r="Z60" s="411"/>
      <c r="AA60" s="411"/>
      <c r="AB60" s="411"/>
      <c r="AC60" s="411"/>
      <c r="AD60" s="412"/>
      <c r="AF60" s="94">
        <f>8*3000</f>
        <v>24000</v>
      </c>
    </row>
    <row r="61" spans="1:32" ht="27" customHeight="1" thickBot="1">
      <c r="A61" s="415"/>
      <c r="B61" s="416"/>
      <c r="C61" s="219"/>
      <c r="D61" s="219"/>
      <c r="E61" s="219"/>
      <c r="F61" s="417"/>
      <c r="G61" s="417"/>
      <c r="H61" s="417"/>
      <c r="I61" s="417"/>
      <c r="J61" s="417"/>
      <c r="K61" s="417"/>
      <c r="L61" s="417"/>
      <c r="M61" s="418"/>
      <c r="N61" s="218"/>
      <c r="O61" s="121"/>
      <c r="P61" s="416"/>
      <c r="Q61" s="416"/>
      <c r="R61" s="416"/>
      <c r="S61" s="416"/>
      <c r="T61" s="416"/>
      <c r="U61" s="416"/>
      <c r="V61" s="417"/>
      <c r="W61" s="417"/>
      <c r="X61" s="417"/>
      <c r="Y61" s="417"/>
      <c r="Z61" s="417"/>
      <c r="AA61" s="417"/>
      <c r="AB61" s="417"/>
      <c r="AC61" s="417"/>
      <c r="AD61" s="418"/>
      <c r="AF61" s="94">
        <f>16*3000</f>
        <v>48000</v>
      </c>
    </row>
    <row r="62" spans="1:32" ht="27.75" thickBot="1">
      <c r="A62" s="421" t="s">
        <v>519</v>
      </c>
      <c r="B62" s="421"/>
      <c r="C62" s="421"/>
      <c r="D62" s="421"/>
      <c r="E62" s="42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2" t="s">
        <v>116</v>
      </c>
      <c r="B63" s="423"/>
      <c r="C63" s="215" t="s">
        <v>2</v>
      </c>
      <c r="D63" s="215" t="s">
        <v>38</v>
      </c>
      <c r="E63" s="215" t="s">
        <v>3</v>
      </c>
      <c r="F63" s="423" t="s">
        <v>113</v>
      </c>
      <c r="G63" s="423"/>
      <c r="H63" s="423"/>
      <c r="I63" s="423"/>
      <c r="J63" s="423"/>
      <c r="K63" s="423" t="s">
        <v>40</v>
      </c>
      <c r="L63" s="423"/>
      <c r="M63" s="215" t="s">
        <v>41</v>
      </c>
      <c r="N63" s="423" t="s">
        <v>42</v>
      </c>
      <c r="O63" s="423"/>
      <c r="P63" s="424" t="s">
        <v>43</v>
      </c>
      <c r="Q63" s="425"/>
      <c r="R63" s="424" t="s">
        <v>44</v>
      </c>
      <c r="S63" s="426"/>
      <c r="T63" s="426"/>
      <c r="U63" s="426"/>
      <c r="V63" s="426"/>
      <c r="W63" s="426"/>
      <c r="X63" s="426"/>
      <c r="Y63" s="426"/>
      <c r="Z63" s="426"/>
      <c r="AA63" s="425"/>
      <c r="AB63" s="423" t="s">
        <v>45</v>
      </c>
      <c r="AC63" s="423"/>
      <c r="AD63" s="427"/>
      <c r="AF63" s="94">
        <f>SUM(AF60:AF62)</f>
        <v>96000</v>
      </c>
    </row>
    <row r="64" spans="1:32" ht="25.5" customHeight="1">
      <c r="A64" s="428">
        <v>1</v>
      </c>
      <c r="B64" s="429"/>
      <c r="C64" s="124" t="s">
        <v>487</v>
      </c>
      <c r="D64" s="211"/>
      <c r="E64" s="213" t="s">
        <v>520</v>
      </c>
      <c r="F64" s="430" t="s">
        <v>521</v>
      </c>
      <c r="G64" s="431"/>
      <c r="H64" s="431"/>
      <c r="I64" s="431"/>
      <c r="J64" s="431"/>
      <c r="K64" s="431" t="s">
        <v>522</v>
      </c>
      <c r="L64" s="431"/>
      <c r="M64" s="54" t="s">
        <v>523</v>
      </c>
      <c r="N64" s="431">
        <v>6</v>
      </c>
      <c r="O64" s="431"/>
      <c r="P64" s="432">
        <v>50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2</v>
      </c>
      <c r="B65" s="429"/>
      <c r="C65" s="124" t="s">
        <v>487</v>
      </c>
      <c r="D65" s="211"/>
      <c r="E65" s="213" t="s">
        <v>520</v>
      </c>
      <c r="F65" s="430" t="s">
        <v>524</v>
      </c>
      <c r="G65" s="431"/>
      <c r="H65" s="431"/>
      <c r="I65" s="431"/>
      <c r="J65" s="431"/>
      <c r="K65" s="431" t="s">
        <v>522</v>
      </c>
      <c r="L65" s="431"/>
      <c r="M65" s="54" t="s">
        <v>525</v>
      </c>
      <c r="N65" s="431">
        <v>6</v>
      </c>
      <c r="O65" s="431"/>
      <c r="P65" s="432">
        <v>50</v>
      </c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3</v>
      </c>
      <c r="B66" s="429"/>
      <c r="C66" s="124" t="s">
        <v>526</v>
      </c>
      <c r="D66" s="211"/>
      <c r="E66" s="213" t="s">
        <v>527</v>
      </c>
      <c r="F66" s="430" t="s">
        <v>528</v>
      </c>
      <c r="G66" s="431"/>
      <c r="H66" s="431"/>
      <c r="I66" s="431"/>
      <c r="J66" s="431"/>
      <c r="K66" s="431" t="s">
        <v>529</v>
      </c>
      <c r="L66" s="431"/>
      <c r="M66" s="54" t="s">
        <v>523</v>
      </c>
      <c r="N66" s="431">
        <v>11</v>
      </c>
      <c r="O66" s="431"/>
      <c r="P66" s="432">
        <v>100</v>
      </c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4</v>
      </c>
      <c r="B67" s="429"/>
      <c r="C67" s="124" t="s">
        <v>487</v>
      </c>
      <c r="D67" s="211"/>
      <c r="E67" s="213" t="s">
        <v>530</v>
      </c>
      <c r="F67" s="430" t="s">
        <v>531</v>
      </c>
      <c r="G67" s="431"/>
      <c r="H67" s="431"/>
      <c r="I67" s="431"/>
      <c r="J67" s="431"/>
      <c r="K67" s="431" t="s">
        <v>532</v>
      </c>
      <c r="L67" s="431"/>
      <c r="M67" s="54" t="s">
        <v>533</v>
      </c>
      <c r="N67" s="431">
        <v>11</v>
      </c>
      <c r="O67" s="431"/>
      <c r="P67" s="432">
        <v>50</v>
      </c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5</v>
      </c>
      <c r="B68" s="429"/>
      <c r="C68" s="124" t="s">
        <v>534</v>
      </c>
      <c r="D68" s="211"/>
      <c r="E68" s="213" t="s">
        <v>535</v>
      </c>
      <c r="F68" s="430" t="s">
        <v>536</v>
      </c>
      <c r="G68" s="431"/>
      <c r="H68" s="431"/>
      <c r="I68" s="431"/>
      <c r="J68" s="431"/>
      <c r="K68" s="431" t="s">
        <v>537</v>
      </c>
      <c r="L68" s="431"/>
      <c r="M68" s="54" t="s">
        <v>538</v>
      </c>
      <c r="N68" s="431">
        <v>10</v>
      </c>
      <c r="O68" s="431"/>
      <c r="P68" s="432">
        <v>200</v>
      </c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6</v>
      </c>
      <c r="B69" s="429"/>
      <c r="C69" s="124" t="s">
        <v>534</v>
      </c>
      <c r="D69" s="211"/>
      <c r="E69" s="213" t="s">
        <v>539</v>
      </c>
      <c r="F69" s="430" t="s">
        <v>540</v>
      </c>
      <c r="G69" s="431"/>
      <c r="H69" s="431"/>
      <c r="I69" s="431"/>
      <c r="J69" s="431"/>
      <c r="K69" s="431">
        <v>7301</v>
      </c>
      <c r="L69" s="431"/>
      <c r="M69" s="54" t="s">
        <v>538</v>
      </c>
      <c r="N69" s="431">
        <v>11</v>
      </c>
      <c r="O69" s="431"/>
      <c r="P69" s="432">
        <v>200</v>
      </c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7</v>
      </c>
      <c r="B70" s="429"/>
      <c r="C70" s="124" t="s">
        <v>541</v>
      </c>
      <c r="D70" s="211"/>
      <c r="E70" s="213" t="s">
        <v>542</v>
      </c>
      <c r="F70" s="430" t="s">
        <v>543</v>
      </c>
      <c r="G70" s="431"/>
      <c r="H70" s="431"/>
      <c r="I70" s="431"/>
      <c r="J70" s="431"/>
      <c r="K70" s="431" t="s">
        <v>544</v>
      </c>
      <c r="L70" s="431"/>
      <c r="M70" s="54" t="s">
        <v>545</v>
      </c>
      <c r="N70" s="431">
        <v>4</v>
      </c>
      <c r="O70" s="431"/>
      <c r="P70" s="432">
        <v>50</v>
      </c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5.5" customHeight="1">
      <c r="A71" s="428">
        <v>8</v>
      </c>
      <c r="B71" s="429"/>
      <c r="C71" s="124"/>
      <c r="D71" s="211"/>
      <c r="E71" s="213"/>
      <c r="F71" s="430"/>
      <c r="G71" s="431"/>
      <c r="H71" s="431"/>
      <c r="I71" s="431"/>
      <c r="J71" s="431"/>
      <c r="K71" s="431"/>
      <c r="L71" s="431"/>
      <c r="M71" s="54"/>
      <c r="N71" s="431"/>
      <c r="O71" s="431"/>
      <c r="P71" s="432"/>
      <c r="Q71" s="432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31"/>
      <c r="AC71" s="431"/>
      <c r="AD71" s="433"/>
      <c r="AF71" s="53"/>
    </row>
    <row r="72" spans="1:32" ht="26.25" customHeight="1" thickBot="1">
      <c r="A72" s="434" t="s">
        <v>546</v>
      </c>
      <c r="B72" s="434"/>
      <c r="C72" s="434"/>
      <c r="D72" s="434"/>
      <c r="E72" s="43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35" t="s">
        <v>116</v>
      </c>
      <c r="B73" s="436"/>
      <c r="C73" s="214" t="s">
        <v>2</v>
      </c>
      <c r="D73" s="214" t="s">
        <v>38</v>
      </c>
      <c r="E73" s="214" t="s">
        <v>3</v>
      </c>
      <c r="F73" s="436" t="s">
        <v>39</v>
      </c>
      <c r="G73" s="436"/>
      <c r="H73" s="436"/>
      <c r="I73" s="436"/>
      <c r="J73" s="436"/>
      <c r="K73" s="437" t="s">
        <v>60</v>
      </c>
      <c r="L73" s="438"/>
      <c r="M73" s="438"/>
      <c r="N73" s="438"/>
      <c r="O73" s="438"/>
      <c r="P73" s="438"/>
      <c r="Q73" s="438"/>
      <c r="R73" s="438"/>
      <c r="S73" s="439"/>
      <c r="T73" s="436" t="s">
        <v>50</v>
      </c>
      <c r="U73" s="436"/>
      <c r="V73" s="437" t="s">
        <v>51</v>
      </c>
      <c r="W73" s="439"/>
      <c r="X73" s="438" t="s">
        <v>52</v>
      </c>
      <c r="Y73" s="438"/>
      <c r="Z73" s="438"/>
      <c r="AA73" s="438"/>
      <c r="AB73" s="438"/>
      <c r="AC73" s="438"/>
      <c r="AD73" s="440"/>
      <c r="AF73" s="53"/>
    </row>
    <row r="74" spans="1:32" ht="33.75" customHeight="1">
      <c r="A74" s="449">
        <v>1</v>
      </c>
      <c r="B74" s="450"/>
      <c r="C74" s="212" t="s">
        <v>119</v>
      </c>
      <c r="D74" s="212"/>
      <c r="E74" s="71" t="s">
        <v>127</v>
      </c>
      <c r="F74" s="451" t="s">
        <v>128</v>
      </c>
      <c r="G74" s="452"/>
      <c r="H74" s="452"/>
      <c r="I74" s="452"/>
      <c r="J74" s="453"/>
      <c r="K74" s="454" t="s">
        <v>121</v>
      </c>
      <c r="L74" s="455"/>
      <c r="M74" s="455"/>
      <c r="N74" s="455"/>
      <c r="O74" s="455"/>
      <c r="P74" s="455"/>
      <c r="Q74" s="455"/>
      <c r="R74" s="455"/>
      <c r="S74" s="456"/>
      <c r="T74" s="457">
        <v>42901</v>
      </c>
      <c r="U74" s="458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1">
        <f>A74+1</f>
        <v>2</v>
      </c>
      <c r="B75" s="442"/>
      <c r="C75" s="211" t="s">
        <v>119</v>
      </c>
      <c r="D75" s="211"/>
      <c r="E75" s="35" t="s">
        <v>124</v>
      </c>
      <c r="F75" s="442" t="s">
        <v>125</v>
      </c>
      <c r="G75" s="442"/>
      <c r="H75" s="442"/>
      <c r="I75" s="442"/>
      <c r="J75" s="442"/>
      <c r="K75" s="443" t="s">
        <v>126</v>
      </c>
      <c r="L75" s="444"/>
      <c r="M75" s="444"/>
      <c r="N75" s="444"/>
      <c r="O75" s="444"/>
      <c r="P75" s="444"/>
      <c r="Q75" s="444"/>
      <c r="R75" s="444"/>
      <c r="S75" s="445"/>
      <c r="T75" s="446">
        <v>42867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ref="A76:A82" si="20">A75+1</f>
        <v>3</v>
      </c>
      <c r="B76" s="442"/>
      <c r="C76" s="211" t="s">
        <v>120</v>
      </c>
      <c r="D76" s="211"/>
      <c r="E76" s="35" t="s">
        <v>354</v>
      </c>
      <c r="F76" s="442" t="s">
        <v>474</v>
      </c>
      <c r="G76" s="442"/>
      <c r="H76" s="442"/>
      <c r="I76" s="442"/>
      <c r="J76" s="442"/>
      <c r="K76" s="443" t="s">
        <v>330</v>
      </c>
      <c r="L76" s="444"/>
      <c r="M76" s="444"/>
      <c r="N76" s="444"/>
      <c r="O76" s="444"/>
      <c r="P76" s="444"/>
      <c r="Q76" s="444"/>
      <c r="R76" s="444"/>
      <c r="S76" s="445"/>
      <c r="T76" s="446">
        <v>42921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20"/>
        <v>4</v>
      </c>
      <c r="B77" s="442"/>
      <c r="C77" s="211" t="s">
        <v>292</v>
      </c>
      <c r="D77" s="211"/>
      <c r="E77" s="35" t="s">
        <v>293</v>
      </c>
      <c r="F77" s="442" t="s">
        <v>294</v>
      </c>
      <c r="G77" s="442"/>
      <c r="H77" s="442"/>
      <c r="I77" s="442"/>
      <c r="J77" s="442"/>
      <c r="K77" s="443" t="s">
        <v>331</v>
      </c>
      <c r="L77" s="444"/>
      <c r="M77" s="444"/>
      <c r="N77" s="444"/>
      <c r="O77" s="444"/>
      <c r="P77" s="444"/>
      <c r="Q77" s="444"/>
      <c r="R77" s="444"/>
      <c r="S77" s="445"/>
      <c r="T77" s="446">
        <v>42920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20"/>
        <v>5</v>
      </c>
      <c r="B78" s="442"/>
      <c r="C78" s="211" t="s">
        <v>186</v>
      </c>
      <c r="D78" s="211"/>
      <c r="E78" s="35" t="s">
        <v>542</v>
      </c>
      <c r="F78" s="442" t="s">
        <v>510</v>
      </c>
      <c r="G78" s="442"/>
      <c r="H78" s="442"/>
      <c r="I78" s="442"/>
      <c r="J78" s="442"/>
      <c r="K78" s="443" t="s">
        <v>547</v>
      </c>
      <c r="L78" s="444"/>
      <c r="M78" s="444"/>
      <c r="N78" s="444"/>
      <c r="O78" s="444"/>
      <c r="P78" s="444"/>
      <c r="Q78" s="444"/>
      <c r="R78" s="444"/>
      <c r="S78" s="445"/>
      <c r="T78" s="446">
        <v>42924</v>
      </c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20"/>
        <v>6</v>
      </c>
      <c r="B79" s="442"/>
      <c r="C79" s="211"/>
      <c r="D79" s="211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20"/>
        <v>7</v>
      </c>
      <c r="B80" s="442"/>
      <c r="C80" s="211"/>
      <c r="D80" s="211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20"/>
        <v>8</v>
      </c>
      <c r="B81" s="442"/>
      <c r="C81" s="211"/>
      <c r="D81" s="211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0" customHeight="1">
      <c r="A82" s="441">
        <f t="shared" si="20"/>
        <v>9</v>
      </c>
      <c r="B82" s="442"/>
      <c r="C82" s="211"/>
      <c r="D82" s="211"/>
      <c r="E82" s="35"/>
      <c r="F82" s="442"/>
      <c r="G82" s="442"/>
      <c r="H82" s="442"/>
      <c r="I82" s="442"/>
      <c r="J82" s="442"/>
      <c r="K82" s="443"/>
      <c r="L82" s="444"/>
      <c r="M82" s="444"/>
      <c r="N82" s="444"/>
      <c r="O82" s="444"/>
      <c r="P82" s="444"/>
      <c r="Q82" s="444"/>
      <c r="R82" s="444"/>
      <c r="S82" s="445"/>
      <c r="T82" s="446"/>
      <c r="U82" s="446"/>
      <c r="V82" s="446"/>
      <c r="W82" s="446"/>
      <c r="X82" s="447"/>
      <c r="Y82" s="447"/>
      <c r="Z82" s="447"/>
      <c r="AA82" s="447"/>
      <c r="AB82" s="447"/>
      <c r="AC82" s="447"/>
      <c r="AD82" s="448"/>
      <c r="AF82" s="53"/>
    </row>
    <row r="83" spans="1:32" ht="36" thickBot="1">
      <c r="A83" s="434" t="s">
        <v>548</v>
      </c>
      <c r="B83" s="434"/>
      <c r="C83" s="434"/>
      <c r="D83" s="434"/>
      <c r="E83" s="43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2" t="s">
        <v>37</v>
      </c>
      <c r="B84" s="463"/>
      <c r="C84" s="463" t="s">
        <v>53</v>
      </c>
      <c r="D84" s="463"/>
      <c r="E84" s="463" t="s">
        <v>54</v>
      </c>
      <c r="F84" s="463"/>
      <c r="G84" s="463"/>
      <c r="H84" s="463"/>
      <c r="I84" s="463"/>
      <c r="J84" s="463"/>
      <c r="K84" s="463" t="s">
        <v>55</v>
      </c>
      <c r="L84" s="463"/>
      <c r="M84" s="463"/>
      <c r="N84" s="463"/>
      <c r="O84" s="463"/>
      <c r="P84" s="463"/>
      <c r="Q84" s="463"/>
      <c r="R84" s="463"/>
      <c r="S84" s="463"/>
      <c r="T84" s="463" t="s">
        <v>56</v>
      </c>
      <c r="U84" s="463"/>
      <c r="V84" s="463" t="s">
        <v>57</v>
      </c>
      <c r="W84" s="463"/>
      <c r="X84" s="463"/>
      <c r="Y84" s="463" t="s">
        <v>52</v>
      </c>
      <c r="Z84" s="463"/>
      <c r="AA84" s="463"/>
      <c r="AB84" s="463"/>
      <c r="AC84" s="463"/>
      <c r="AD84" s="464"/>
      <c r="AF84" s="53"/>
    </row>
    <row r="85" spans="1:32" ht="30.75" customHeight="1">
      <c r="A85" s="449">
        <v>1</v>
      </c>
      <c r="B85" s="450"/>
      <c r="C85" s="465">
        <v>1</v>
      </c>
      <c r="D85" s="465"/>
      <c r="E85" s="465" t="s">
        <v>149</v>
      </c>
      <c r="F85" s="465"/>
      <c r="G85" s="465"/>
      <c r="H85" s="465"/>
      <c r="I85" s="465"/>
      <c r="J85" s="465"/>
      <c r="K85" s="465" t="s">
        <v>150</v>
      </c>
      <c r="L85" s="465"/>
      <c r="M85" s="465"/>
      <c r="N85" s="465"/>
      <c r="O85" s="465"/>
      <c r="P85" s="465"/>
      <c r="Q85" s="465"/>
      <c r="R85" s="465"/>
      <c r="S85" s="465"/>
      <c r="T85" s="465" t="s">
        <v>151</v>
      </c>
      <c r="U85" s="465"/>
      <c r="V85" s="466">
        <v>1500000</v>
      </c>
      <c r="W85" s="466"/>
      <c r="X85" s="466"/>
      <c r="Y85" s="467" t="s">
        <v>152</v>
      </c>
      <c r="Z85" s="467"/>
      <c r="AA85" s="467"/>
      <c r="AB85" s="467"/>
      <c r="AC85" s="467"/>
      <c r="AD85" s="468"/>
      <c r="AF85" s="53"/>
    </row>
    <row r="86" spans="1:32" ht="30.75" customHeight="1">
      <c r="A86" s="441">
        <v>2</v>
      </c>
      <c r="B86" s="442"/>
      <c r="C86" s="476">
        <v>10</v>
      </c>
      <c r="D86" s="476"/>
      <c r="E86" s="476" t="s">
        <v>162</v>
      </c>
      <c r="F86" s="476"/>
      <c r="G86" s="476"/>
      <c r="H86" s="476"/>
      <c r="I86" s="476"/>
      <c r="J86" s="476"/>
      <c r="K86" s="476" t="s">
        <v>163</v>
      </c>
      <c r="L86" s="476"/>
      <c r="M86" s="476"/>
      <c r="N86" s="476"/>
      <c r="O86" s="476"/>
      <c r="P86" s="476"/>
      <c r="Q86" s="476"/>
      <c r="R86" s="476"/>
      <c r="S86" s="476"/>
      <c r="T86" s="477" t="s">
        <v>164</v>
      </c>
      <c r="U86" s="477"/>
      <c r="V86" s="478">
        <v>350000</v>
      </c>
      <c r="W86" s="478"/>
      <c r="X86" s="478"/>
      <c r="Y86" s="469" t="s">
        <v>176</v>
      </c>
      <c r="Z86" s="469"/>
      <c r="AA86" s="469"/>
      <c r="AB86" s="469"/>
      <c r="AC86" s="469"/>
      <c r="AD86" s="470"/>
      <c r="AF86" s="53"/>
    </row>
    <row r="87" spans="1:32" ht="30.75" customHeight="1" thickBot="1">
      <c r="A87" s="471">
        <v>3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3"/>
      <c r="W87" s="473"/>
      <c r="X87" s="473"/>
      <c r="Y87" s="474"/>
      <c r="Z87" s="474"/>
      <c r="AA87" s="474"/>
      <c r="AB87" s="474"/>
      <c r="AC87" s="474"/>
      <c r="AD87" s="475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T78" sqref="T78:U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549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223" t="s">
        <v>17</v>
      </c>
      <c r="L5" s="223" t="s">
        <v>18</v>
      </c>
      <c r="M5" s="223" t="s">
        <v>19</v>
      </c>
      <c r="N5" s="22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0.3881914675341675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238</v>
      </c>
      <c r="F7" s="12" t="s">
        <v>168</v>
      </c>
      <c r="G7" s="36">
        <v>1</v>
      </c>
      <c r="H7" s="38">
        <v>25</v>
      </c>
      <c r="I7" s="7">
        <v>20000</v>
      </c>
      <c r="J7" s="14">
        <v>4920</v>
      </c>
      <c r="K7" s="15">
        <f>L7+3341+4915</f>
        <v>8256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>
        <v>24</v>
      </c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0.3881914675341675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373</v>
      </c>
      <c r="F8" s="12" t="s">
        <v>130</v>
      </c>
      <c r="G8" s="36">
        <v>1</v>
      </c>
      <c r="H8" s="38">
        <v>25</v>
      </c>
      <c r="I8" s="7">
        <v>20000</v>
      </c>
      <c r="J8" s="14">
        <v>1620</v>
      </c>
      <c r="K8" s="15">
        <f>L8+4701+4441+4830+4131</f>
        <v>19718</v>
      </c>
      <c r="L8" s="15">
        <f>1615</f>
        <v>1615</v>
      </c>
      <c r="M8" s="16">
        <f t="shared" si="0"/>
        <v>1615</v>
      </c>
      <c r="N8" s="16">
        <v>0</v>
      </c>
      <c r="O8" s="62">
        <f t="shared" si="1"/>
        <v>0</v>
      </c>
      <c r="P8" s="42">
        <f t="shared" si="2"/>
        <v>11</v>
      </c>
      <c r="Q8" s="43">
        <f t="shared" si="3"/>
        <v>13</v>
      </c>
      <c r="R8" s="7"/>
      <c r="S8" s="6">
        <v>13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0.99691358024691357</v>
      </c>
      <c r="AC8" s="9">
        <f t="shared" si="5"/>
        <v>0.45833333333333331</v>
      </c>
      <c r="AD8" s="10">
        <f t="shared" si="6"/>
        <v>0.45691872427983538</v>
      </c>
      <c r="AE8" s="39">
        <f t="shared" si="7"/>
        <v>0.3881914675341675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186</v>
      </c>
      <c r="D9" s="55" t="s">
        <v>334</v>
      </c>
      <c r="E9" s="57" t="s">
        <v>335</v>
      </c>
      <c r="F9" s="12" t="s">
        <v>336</v>
      </c>
      <c r="G9" s="12">
        <v>1</v>
      </c>
      <c r="H9" s="13">
        <v>25</v>
      </c>
      <c r="I9" s="34">
        <v>6000</v>
      </c>
      <c r="J9" s="5">
        <v>2690</v>
      </c>
      <c r="K9" s="15">
        <f>L9+4873+2928</f>
        <v>10489</v>
      </c>
      <c r="L9" s="15">
        <f>1246+1442</f>
        <v>2688</v>
      </c>
      <c r="M9" s="16">
        <f t="shared" si="0"/>
        <v>2688</v>
      </c>
      <c r="N9" s="16">
        <v>0</v>
      </c>
      <c r="O9" s="62">
        <f t="shared" si="1"/>
        <v>0</v>
      </c>
      <c r="P9" s="42">
        <f t="shared" si="2"/>
        <v>15</v>
      </c>
      <c r="Q9" s="43">
        <f t="shared" si="3"/>
        <v>9</v>
      </c>
      <c r="R9" s="7"/>
      <c r="S9" s="6">
        <v>9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0.99925650557620815</v>
      </c>
      <c r="AC9" s="9">
        <f t="shared" si="5"/>
        <v>0.625</v>
      </c>
      <c r="AD9" s="10">
        <f t="shared" si="6"/>
        <v>0.62453531598513012</v>
      </c>
      <c r="AE9" s="39">
        <f t="shared" si="7"/>
        <v>0.3881914675341675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119</v>
      </c>
      <c r="D10" s="55" t="s">
        <v>479</v>
      </c>
      <c r="E10" s="57" t="s">
        <v>480</v>
      </c>
      <c r="F10" s="12">
        <v>8301</v>
      </c>
      <c r="G10" s="12">
        <v>1</v>
      </c>
      <c r="H10" s="13">
        <v>25</v>
      </c>
      <c r="I10" s="34">
        <v>1000</v>
      </c>
      <c r="J10" s="14">
        <v>1300</v>
      </c>
      <c r="K10" s="15">
        <f>L10+1298</f>
        <v>1298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0.3881914675341675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266</v>
      </c>
      <c r="E11" s="57" t="s">
        <v>450</v>
      </c>
      <c r="F11" s="12" t="s">
        <v>451</v>
      </c>
      <c r="G11" s="12">
        <v>1</v>
      </c>
      <c r="H11" s="13">
        <v>25</v>
      </c>
      <c r="I11" s="34">
        <v>4000</v>
      </c>
      <c r="J11" s="14">
        <v>950</v>
      </c>
      <c r="K11" s="15">
        <f>L11+947</f>
        <v>947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>
        <v>24</v>
      </c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0.3881914675341675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4080</v>
      </c>
      <c r="K12" s="15">
        <f>L12+3669+4855+2235+2780+2059+3271+4852+4899+2834+4120+5019+3677</f>
        <v>48344</v>
      </c>
      <c r="L12" s="15">
        <f>2545+1529</f>
        <v>4074</v>
      </c>
      <c r="M12" s="16">
        <f t="shared" si="0"/>
        <v>4074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>
        <v>3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0.99852941176470589</v>
      </c>
      <c r="AC12" s="9">
        <f t="shared" si="5"/>
        <v>0.875</v>
      </c>
      <c r="AD12" s="10">
        <f t="shared" si="6"/>
        <v>0.87371323529411771</v>
      </c>
      <c r="AE12" s="39">
        <f t="shared" si="7"/>
        <v>0.3881914675341675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120</v>
      </c>
      <c r="D13" s="55" t="s">
        <v>482</v>
      </c>
      <c r="E13" s="57" t="s">
        <v>485</v>
      </c>
      <c r="F13" s="12" t="s">
        <v>486</v>
      </c>
      <c r="G13" s="12">
        <v>1</v>
      </c>
      <c r="H13" s="13">
        <v>35</v>
      </c>
      <c r="I13" s="7">
        <v>7000</v>
      </c>
      <c r="J13" s="14">
        <v>5640</v>
      </c>
      <c r="K13" s="15">
        <f>L13+2502</f>
        <v>8138</v>
      </c>
      <c r="L13" s="15">
        <f>2973+2663</f>
        <v>5636</v>
      </c>
      <c r="M13" s="16">
        <f t="shared" si="0"/>
        <v>5636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0.99929078014184403</v>
      </c>
      <c r="AC13" s="9">
        <f t="shared" si="5"/>
        <v>1</v>
      </c>
      <c r="AD13" s="10">
        <f t="shared" si="6"/>
        <v>0.99929078014184403</v>
      </c>
      <c r="AE13" s="39">
        <f t="shared" si="7"/>
        <v>0.3881914675341675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120</v>
      </c>
      <c r="D14" s="55" t="s">
        <v>167</v>
      </c>
      <c r="E14" s="57" t="s">
        <v>340</v>
      </c>
      <c r="F14" s="33" t="s">
        <v>338</v>
      </c>
      <c r="G14" s="36">
        <v>1</v>
      </c>
      <c r="H14" s="38">
        <v>25</v>
      </c>
      <c r="I14" s="7">
        <v>10000</v>
      </c>
      <c r="J14" s="5">
        <v>410</v>
      </c>
      <c r="K14" s="15">
        <f>L14+2215+4087+4507+5234+403</f>
        <v>16446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0.3881914675341675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550</v>
      </c>
      <c r="D15" s="55"/>
      <c r="E15" s="57" t="s">
        <v>551</v>
      </c>
      <c r="F15" s="12" t="s">
        <v>552</v>
      </c>
      <c r="G15" s="12">
        <v>2</v>
      </c>
      <c r="H15" s="13">
        <v>25</v>
      </c>
      <c r="I15" s="34">
        <v>70000</v>
      </c>
      <c r="J15" s="5">
        <v>6900</v>
      </c>
      <c r="K15" s="15">
        <f>L15</f>
        <v>6898</v>
      </c>
      <c r="L15" s="15">
        <f>2287*2+1162*2</f>
        <v>6898</v>
      </c>
      <c r="M15" s="16">
        <f t="shared" si="0"/>
        <v>6898</v>
      </c>
      <c r="N15" s="16">
        <v>0</v>
      </c>
      <c r="O15" s="62">
        <f t="shared" si="1"/>
        <v>0</v>
      </c>
      <c r="P15" s="42">
        <f t="shared" si="2"/>
        <v>22</v>
      </c>
      <c r="Q15" s="43">
        <f t="shared" si="3"/>
        <v>2</v>
      </c>
      <c r="R15" s="7"/>
      <c r="S15" s="6"/>
      <c r="T15" s="17">
        <v>2</v>
      </c>
      <c r="U15" s="17"/>
      <c r="V15" s="18"/>
      <c r="W15" s="19"/>
      <c r="X15" s="17"/>
      <c r="Y15" s="20"/>
      <c r="Z15" s="20"/>
      <c r="AA15" s="21"/>
      <c r="AB15" s="8">
        <f t="shared" si="4"/>
        <v>0.99971014492753618</v>
      </c>
      <c r="AC15" s="9">
        <f t="shared" si="5"/>
        <v>0.91666666666666663</v>
      </c>
      <c r="AD15" s="10">
        <f t="shared" si="6"/>
        <v>0.91640096618357481</v>
      </c>
      <c r="AE15" s="39">
        <f t="shared" si="7"/>
        <v>0.3881914675341675</v>
      </c>
      <c r="AF15" s="94">
        <f t="shared" si="8"/>
        <v>10</v>
      </c>
    </row>
    <row r="16" spans="1:32" ht="27.75" customHeight="1">
      <c r="A16" s="109">
        <v>11</v>
      </c>
      <c r="B16" s="11" t="s">
        <v>59</v>
      </c>
      <c r="C16" s="11" t="s">
        <v>379</v>
      </c>
      <c r="D16" s="55"/>
      <c r="E16" s="56" t="s">
        <v>415</v>
      </c>
      <c r="F16" s="12">
        <v>7301</v>
      </c>
      <c r="G16" s="36">
        <v>1</v>
      </c>
      <c r="H16" s="38">
        <v>25</v>
      </c>
      <c r="I16" s="7">
        <v>2000</v>
      </c>
      <c r="J16" s="14">
        <v>5040</v>
      </c>
      <c r="K16" s="15">
        <f>L16+5036</f>
        <v>5036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0.3881914675341675</v>
      </c>
      <c r="AF16" s="94">
        <f>A16</f>
        <v>11</v>
      </c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0.3881914675341675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122</v>
      </c>
      <c r="E18" s="57" t="s">
        <v>137</v>
      </c>
      <c r="F18" s="12" t="s">
        <v>155</v>
      </c>
      <c r="G18" s="12">
        <v>1</v>
      </c>
      <c r="H18" s="13">
        <v>25</v>
      </c>
      <c r="I18" s="34">
        <v>23000</v>
      </c>
      <c r="J18" s="5">
        <v>5260</v>
      </c>
      <c r="K18" s="15">
        <f>L18+2373+5342+5324+2259+3330+5266+3259+5303+5222+5284+3216</f>
        <v>51435</v>
      </c>
      <c r="L18" s="15">
        <f>2757+2500</f>
        <v>5257</v>
      </c>
      <c r="M18" s="16">
        <f t="shared" si="0"/>
        <v>5257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0.99942965779467685</v>
      </c>
      <c r="AC18" s="9">
        <f t="shared" si="5"/>
        <v>1</v>
      </c>
      <c r="AD18" s="10">
        <f t="shared" si="6"/>
        <v>0.99942965779467685</v>
      </c>
      <c r="AE18" s="39">
        <f t="shared" si="7"/>
        <v>0.3881914675341675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487</v>
      </c>
      <c r="D19" s="55" t="s">
        <v>418</v>
      </c>
      <c r="E19" s="57" t="s">
        <v>488</v>
      </c>
      <c r="F19" s="12" t="s">
        <v>489</v>
      </c>
      <c r="G19" s="12">
        <v>1</v>
      </c>
      <c r="H19" s="13">
        <v>25</v>
      </c>
      <c r="I19" s="34">
        <v>20000</v>
      </c>
      <c r="J19" s="5">
        <v>4000</v>
      </c>
      <c r="K19" s="15">
        <f>L19+3869</f>
        <v>7845</v>
      </c>
      <c r="L19" s="15">
        <f>2971+1005</f>
        <v>3976</v>
      </c>
      <c r="M19" s="16">
        <f t="shared" si="0"/>
        <v>3976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/>
      <c r="S19" s="6">
        <v>1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0.99399999999999999</v>
      </c>
      <c r="AC19" s="9">
        <f t="shared" si="5"/>
        <v>0.95833333333333337</v>
      </c>
      <c r="AD19" s="10">
        <f t="shared" si="6"/>
        <v>0.95258333333333334</v>
      </c>
      <c r="AE19" s="39">
        <f t="shared" si="7"/>
        <v>0.3881914675341675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172</v>
      </c>
      <c r="F20" s="12" t="s">
        <v>118</v>
      </c>
      <c r="G20" s="12">
        <v>4</v>
      </c>
      <c r="H20" s="38">
        <v>20</v>
      </c>
      <c r="I20" s="7">
        <v>200000</v>
      </c>
      <c r="J20" s="14">
        <v>16170</v>
      </c>
      <c r="K20" s="15">
        <f>L20+51172+67944+16164</f>
        <v>135280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0.3881914675341675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430800</v>
      </c>
      <c r="J21" s="22">
        <f t="shared" si="10"/>
        <v>62391</v>
      </c>
      <c r="K21" s="23">
        <f t="shared" si="10"/>
        <v>323533</v>
      </c>
      <c r="L21" s="24">
        <f t="shared" si="10"/>
        <v>30144</v>
      </c>
      <c r="M21" s="23">
        <f t="shared" si="10"/>
        <v>30144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140</v>
      </c>
      <c r="Q21" s="46">
        <f t="shared" si="11"/>
        <v>220</v>
      </c>
      <c r="R21" s="26">
        <f t="shared" si="11"/>
        <v>72</v>
      </c>
      <c r="S21" s="27">
        <f t="shared" si="11"/>
        <v>50</v>
      </c>
      <c r="T21" s="27">
        <f t="shared" si="11"/>
        <v>2</v>
      </c>
      <c r="U21" s="27">
        <f t="shared" si="11"/>
        <v>0</v>
      </c>
      <c r="V21" s="28">
        <f t="shared" si="11"/>
        <v>24</v>
      </c>
      <c r="W21" s="29">
        <f t="shared" si="11"/>
        <v>72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0.4658086720301256</v>
      </c>
      <c r="AC21" s="4">
        <f>SUM(AC6:AC20)/15</f>
        <v>0.3888888888888889</v>
      </c>
      <c r="AD21" s="4">
        <f>SUM(AD6:AD20)/15</f>
        <v>0.3881914675341675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553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564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224" t="s">
        <v>47</v>
      </c>
      <c r="D50" s="224" t="s">
        <v>48</v>
      </c>
      <c r="E50" s="224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224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487</v>
      </c>
      <c r="B51" s="410"/>
      <c r="C51" s="226" t="s">
        <v>498</v>
      </c>
      <c r="D51" s="226" t="s">
        <v>58</v>
      </c>
      <c r="E51" s="229" t="s">
        <v>488</v>
      </c>
      <c r="F51" s="411" t="s">
        <v>554</v>
      </c>
      <c r="G51" s="411"/>
      <c r="H51" s="411"/>
      <c r="I51" s="411"/>
      <c r="J51" s="411"/>
      <c r="K51" s="411"/>
      <c r="L51" s="411"/>
      <c r="M51" s="412"/>
      <c r="N51" s="225" t="s">
        <v>507</v>
      </c>
      <c r="O51" s="74" t="s">
        <v>508</v>
      </c>
      <c r="P51" s="413" t="s">
        <v>509</v>
      </c>
      <c r="Q51" s="414"/>
      <c r="R51" s="410" t="s">
        <v>510</v>
      </c>
      <c r="S51" s="410"/>
      <c r="T51" s="410"/>
      <c r="U51" s="410"/>
      <c r="V51" s="411" t="s">
        <v>511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119</v>
      </c>
      <c r="B52" s="410"/>
      <c r="C52" s="226" t="s">
        <v>390</v>
      </c>
      <c r="D52" s="226" t="s">
        <v>123</v>
      </c>
      <c r="E52" s="229" t="s">
        <v>500</v>
      </c>
      <c r="F52" s="411" t="s">
        <v>554</v>
      </c>
      <c r="G52" s="411"/>
      <c r="H52" s="411"/>
      <c r="I52" s="411"/>
      <c r="J52" s="411"/>
      <c r="K52" s="411"/>
      <c r="L52" s="411"/>
      <c r="M52" s="412"/>
      <c r="N52" s="225" t="s">
        <v>120</v>
      </c>
      <c r="O52" s="74" t="s">
        <v>570</v>
      </c>
      <c r="P52" s="413" t="s">
        <v>571</v>
      </c>
      <c r="Q52" s="414"/>
      <c r="R52" s="410" t="s">
        <v>569</v>
      </c>
      <c r="S52" s="410"/>
      <c r="T52" s="410"/>
      <c r="U52" s="410"/>
      <c r="V52" s="411" t="s">
        <v>558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555</v>
      </c>
      <c r="B53" s="410"/>
      <c r="C53" s="226" t="s">
        <v>556</v>
      </c>
      <c r="D53" s="226"/>
      <c r="E53" s="229" t="s">
        <v>557</v>
      </c>
      <c r="F53" s="411" t="s">
        <v>558</v>
      </c>
      <c r="G53" s="411"/>
      <c r="H53" s="411"/>
      <c r="I53" s="411"/>
      <c r="J53" s="411"/>
      <c r="K53" s="411"/>
      <c r="L53" s="411"/>
      <c r="M53" s="412"/>
      <c r="N53" s="225"/>
      <c r="O53" s="74"/>
      <c r="P53" s="413"/>
      <c r="Q53" s="414"/>
      <c r="R53" s="410"/>
      <c r="S53" s="410"/>
      <c r="T53" s="410"/>
      <c r="U53" s="410"/>
      <c r="V53" s="411"/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559</v>
      </c>
      <c r="B54" s="410"/>
      <c r="C54" s="226" t="s">
        <v>560</v>
      </c>
      <c r="D54" s="226" t="s">
        <v>561</v>
      </c>
      <c r="E54" s="229" t="s">
        <v>562</v>
      </c>
      <c r="F54" s="411" t="s">
        <v>563</v>
      </c>
      <c r="G54" s="411"/>
      <c r="H54" s="411"/>
      <c r="I54" s="411"/>
      <c r="J54" s="411"/>
      <c r="K54" s="411"/>
      <c r="L54" s="411"/>
      <c r="M54" s="412"/>
      <c r="N54" s="225"/>
      <c r="O54" s="74"/>
      <c r="P54" s="413"/>
      <c r="Q54" s="414"/>
      <c r="R54" s="410"/>
      <c r="S54" s="410"/>
      <c r="T54" s="410"/>
      <c r="U54" s="410"/>
      <c r="V54" s="411"/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120</v>
      </c>
      <c r="B55" s="410"/>
      <c r="C55" s="226" t="s">
        <v>565</v>
      </c>
      <c r="D55" s="226" t="s">
        <v>566</v>
      </c>
      <c r="E55" s="229" t="s">
        <v>567</v>
      </c>
      <c r="F55" s="411" t="s">
        <v>568</v>
      </c>
      <c r="G55" s="411"/>
      <c r="H55" s="411"/>
      <c r="I55" s="411"/>
      <c r="J55" s="411"/>
      <c r="K55" s="411"/>
      <c r="L55" s="411"/>
      <c r="M55" s="412"/>
      <c r="N55" s="225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/>
      <c r="B56" s="410"/>
      <c r="C56" s="226"/>
      <c r="D56" s="226"/>
      <c r="E56" s="229"/>
      <c r="F56" s="411"/>
      <c r="G56" s="411"/>
      <c r="H56" s="411"/>
      <c r="I56" s="411"/>
      <c r="J56" s="411"/>
      <c r="K56" s="411"/>
      <c r="L56" s="411"/>
      <c r="M56" s="412"/>
      <c r="N56" s="225"/>
      <c r="O56" s="74"/>
      <c r="P56" s="410"/>
      <c r="Q56" s="410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/>
      <c r="B57" s="410"/>
      <c r="C57" s="226"/>
      <c r="D57" s="226"/>
      <c r="E57" s="229"/>
      <c r="F57" s="411"/>
      <c r="G57" s="411"/>
      <c r="H57" s="411"/>
      <c r="I57" s="411"/>
      <c r="J57" s="411"/>
      <c r="K57" s="411"/>
      <c r="L57" s="411"/>
      <c r="M57" s="412"/>
      <c r="N57" s="225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229"/>
      <c r="D58" s="226"/>
      <c r="E58" s="229"/>
      <c r="F58" s="411"/>
      <c r="G58" s="411"/>
      <c r="H58" s="411"/>
      <c r="I58" s="411"/>
      <c r="J58" s="411"/>
      <c r="K58" s="411"/>
      <c r="L58" s="411"/>
      <c r="M58" s="412"/>
      <c r="N58" s="225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226"/>
      <c r="D59" s="226"/>
      <c r="E59" s="226"/>
      <c r="F59" s="411"/>
      <c r="G59" s="411"/>
      <c r="H59" s="411"/>
      <c r="I59" s="411"/>
      <c r="J59" s="411"/>
      <c r="K59" s="411"/>
      <c r="L59" s="411"/>
      <c r="M59" s="412"/>
      <c r="N59" s="225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228"/>
      <c r="D60" s="228"/>
      <c r="E60" s="228"/>
      <c r="F60" s="417"/>
      <c r="G60" s="417"/>
      <c r="H60" s="417"/>
      <c r="I60" s="417"/>
      <c r="J60" s="417"/>
      <c r="K60" s="417"/>
      <c r="L60" s="417"/>
      <c r="M60" s="418"/>
      <c r="N60" s="227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572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230" t="s">
        <v>2</v>
      </c>
      <c r="D62" s="230" t="s">
        <v>38</v>
      </c>
      <c r="E62" s="230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230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534</v>
      </c>
      <c r="D63" s="233"/>
      <c r="E63" s="231" t="s">
        <v>573</v>
      </c>
      <c r="F63" s="430" t="s">
        <v>574</v>
      </c>
      <c r="G63" s="431"/>
      <c r="H63" s="431"/>
      <c r="I63" s="431"/>
      <c r="J63" s="431"/>
      <c r="K63" s="431" t="s">
        <v>575</v>
      </c>
      <c r="L63" s="431"/>
      <c r="M63" s="54" t="s">
        <v>538</v>
      </c>
      <c r="N63" s="431">
        <v>9</v>
      </c>
      <c r="O63" s="431"/>
      <c r="P63" s="432">
        <v>200</v>
      </c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 t="s">
        <v>576</v>
      </c>
      <c r="D64" s="233"/>
      <c r="E64" s="231" t="s">
        <v>577</v>
      </c>
      <c r="F64" s="430" t="s">
        <v>578</v>
      </c>
      <c r="G64" s="431"/>
      <c r="H64" s="431"/>
      <c r="I64" s="431"/>
      <c r="J64" s="431"/>
      <c r="K64" s="431" t="s">
        <v>579</v>
      </c>
      <c r="L64" s="431"/>
      <c r="M64" s="54" t="s">
        <v>538</v>
      </c>
      <c r="N64" s="431">
        <v>11</v>
      </c>
      <c r="O64" s="431"/>
      <c r="P64" s="432"/>
      <c r="Q64" s="432"/>
      <c r="R64" s="411" t="s">
        <v>580</v>
      </c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/>
      <c r="D65" s="233"/>
      <c r="E65" s="231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/>
      <c r="D66" s="233"/>
      <c r="E66" s="231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233"/>
      <c r="E67" s="231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233"/>
      <c r="E68" s="231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233"/>
      <c r="E69" s="231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233"/>
      <c r="E70" s="231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581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232" t="s">
        <v>2</v>
      </c>
      <c r="D72" s="232" t="s">
        <v>38</v>
      </c>
      <c r="E72" s="232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234" t="s">
        <v>119</v>
      </c>
      <c r="D73" s="234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233" t="s">
        <v>119</v>
      </c>
      <c r="D74" s="233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233" t="s">
        <v>120</v>
      </c>
      <c r="D75" s="233"/>
      <c r="E75" s="35" t="s">
        <v>354</v>
      </c>
      <c r="F75" s="442" t="s">
        <v>474</v>
      </c>
      <c r="G75" s="442"/>
      <c r="H75" s="442"/>
      <c r="I75" s="442"/>
      <c r="J75" s="442"/>
      <c r="K75" s="443" t="s">
        <v>330</v>
      </c>
      <c r="L75" s="444"/>
      <c r="M75" s="444"/>
      <c r="N75" s="444"/>
      <c r="O75" s="444"/>
      <c r="P75" s="444"/>
      <c r="Q75" s="444"/>
      <c r="R75" s="444"/>
      <c r="S75" s="445"/>
      <c r="T75" s="446">
        <v>42921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233" t="s">
        <v>292</v>
      </c>
      <c r="D76" s="233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233" t="s">
        <v>186</v>
      </c>
      <c r="D77" s="233"/>
      <c r="E77" s="35" t="s">
        <v>542</v>
      </c>
      <c r="F77" s="442" t="s">
        <v>510</v>
      </c>
      <c r="G77" s="442"/>
      <c r="H77" s="442"/>
      <c r="I77" s="442"/>
      <c r="J77" s="442"/>
      <c r="K77" s="443" t="s">
        <v>583</v>
      </c>
      <c r="L77" s="444"/>
      <c r="M77" s="444"/>
      <c r="N77" s="444"/>
      <c r="O77" s="444"/>
      <c r="P77" s="444"/>
      <c r="Q77" s="444"/>
      <c r="R77" s="444"/>
      <c r="S77" s="445"/>
      <c r="T77" s="446">
        <v>42928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233"/>
      <c r="D78" s="233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233"/>
      <c r="D79" s="233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233"/>
      <c r="D80" s="233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233"/>
      <c r="D81" s="233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582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176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43" zoomScale="72" zoomScaleNormal="72" zoomScaleSheetLayoutView="70" workbookViewId="0">
      <selection activeCell="K82" sqref="K82:S8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584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246" t="s">
        <v>17</v>
      </c>
      <c r="L5" s="246" t="s">
        <v>18</v>
      </c>
      <c r="M5" s="246" t="s">
        <v>19</v>
      </c>
      <c r="N5" s="24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0.3857216893619238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585</v>
      </c>
      <c r="D7" s="55" t="s">
        <v>586</v>
      </c>
      <c r="E7" s="56" t="s">
        <v>587</v>
      </c>
      <c r="F7" s="12" t="s">
        <v>588</v>
      </c>
      <c r="G7" s="36">
        <v>3</v>
      </c>
      <c r="H7" s="38">
        <v>25</v>
      </c>
      <c r="I7" s="7">
        <v>20000</v>
      </c>
      <c r="J7" s="14">
        <v>5220</v>
      </c>
      <c r="K7" s="15">
        <f>L7</f>
        <v>5220</v>
      </c>
      <c r="L7" s="15">
        <f>1740*3</f>
        <v>5220</v>
      </c>
      <c r="M7" s="16">
        <f t="shared" si="0"/>
        <v>5220</v>
      </c>
      <c r="N7" s="16">
        <v>0</v>
      </c>
      <c r="O7" s="62">
        <f t="shared" si="1"/>
        <v>0</v>
      </c>
      <c r="P7" s="42">
        <f t="shared" si="2"/>
        <v>12</v>
      </c>
      <c r="Q7" s="43">
        <f t="shared" si="3"/>
        <v>12</v>
      </c>
      <c r="R7" s="7"/>
      <c r="S7" s="6"/>
      <c r="T7" s="17">
        <v>12</v>
      </c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0.5</v>
      </c>
      <c r="AD7" s="10">
        <f t="shared" si="6"/>
        <v>0.5</v>
      </c>
      <c r="AE7" s="39">
        <f t="shared" si="7"/>
        <v>0.3857216893619238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373</v>
      </c>
      <c r="F8" s="12" t="s">
        <v>130</v>
      </c>
      <c r="G8" s="36">
        <v>1</v>
      </c>
      <c r="H8" s="38">
        <v>25</v>
      </c>
      <c r="I8" s="7">
        <v>20000</v>
      </c>
      <c r="J8" s="14">
        <v>4610</v>
      </c>
      <c r="K8" s="15">
        <f>L8+4701+4441+4830+4131+1615</f>
        <v>24319</v>
      </c>
      <c r="L8" s="15">
        <f>2382+2219</f>
        <v>4601</v>
      </c>
      <c r="M8" s="16">
        <f t="shared" si="0"/>
        <v>4601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0.9980477223427332</v>
      </c>
      <c r="AC8" s="9">
        <f t="shared" si="5"/>
        <v>1</v>
      </c>
      <c r="AD8" s="10">
        <f t="shared" si="6"/>
        <v>0.9980477223427332</v>
      </c>
      <c r="AE8" s="39">
        <f t="shared" si="7"/>
        <v>0.3857216893619238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186</v>
      </c>
      <c r="D9" s="55" t="s">
        <v>334</v>
      </c>
      <c r="E9" s="57" t="s">
        <v>335</v>
      </c>
      <c r="F9" s="12" t="s">
        <v>336</v>
      </c>
      <c r="G9" s="12">
        <v>1</v>
      </c>
      <c r="H9" s="13">
        <v>25</v>
      </c>
      <c r="I9" s="34">
        <v>6000</v>
      </c>
      <c r="J9" s="5">
        <v>510</v>
      </c>
      <c r="K9" s="15">
        <f>L9+4873+2928+2688</f>
        <v>10998</v>
      </c>
      <c r="L9" s="15">
        <v>509</v>
      </c>
      <c r="M9" s="16">
        <f t="shared" si="0"/>
        <v>509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>
        <v>20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0.99803921568627452</v>
      </c>
      <c r="AC9" s="9">
        <f t="shared" si="5"/>
        <v>0.16666666666666666</v>
      </c>
      <c r="AD9" s="10">
        <f t="shared" si="6"/>
        <v>0.16633986928104574</v>
      </c>
      <c r="AE9" s="39">
        <f t="shared" si="7"/>
        <v>0.3857216893619238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119</v>
      </c>
      <c r="D10" s="55" t="s">
        <v>479</v>
      </c>
      <c r="E10" s="57" t="s">
        <v>480</v>
      </c>
      <c r="F10" s="12">
        <v>8301</v>
      </c>
      <c r="G10" s="12">
        <v>1</v>
      </c>
      <c r="H10" s="13">
        <v>25</v>
      </c>
      <c r="I10" s="34">
        <v>1000</v>
      </c>
      <c r="J10" s="14">
        <v>1300</v>
      </c>
      <c r="K10" s="15">
        <f>L10+1298</f>
        <v>1298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0.3857216893619238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266</v>
      </c>
      <c r="E11" s="57" t="s">
        <v>450</v>
      </c>
      <c r="F11" s="12" t="s">
        <v>451</v>
      </c>
      <c r="G11" s="12">
        <v>1</v>
      </c>
      <c r="H11" s="13">
        <v>25</v>
      </c>
      <c r="I11" s="34">
        <v>4000</v>
      </c>
      <c r="J11" s="14">
        <v>950</v>
      </c>
      <c r="K11" s="15">
        <f>L11+947</f>
        <v>947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>
        <v>24</v>
      </c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0.3857216893619238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3800</v>
      </c>
      <c r="K12" s="15">
        <f>L12+3669+4855+2235+2780+2059+3271+4852+4899+2834+4120+5019+3677+4074</f>
        <v>52143</v>
      </c>
      <c r="L12" s="15">
        <f>2499+1300</f>
        <v>3799</v>
      </c>
      <c r="M12" s="16">
        <f t="shared" si="0"/>
        <v>3799</v>
      </c>
      <c r="N12" s="16">
        <v>0</v>
      </c>
      <c r="O12" s="62">
        <f t="shared" si="1"/>
        <v>0</v>
      </c>
      <c r="P12" s="42">
        <f t="shared" si="2"/>
        <v>20</v>
      </c>
      <c r="Q12" s="43">
        <f t="shared" si="3"/>
        <v>4</v>
      </c>
      <c r="R12" s="7"/>
      <c r="S12" s="6">
        <v>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0.99973684210526315</v>
      </c>
      <c r="AC12" s="9">
        <f t="shared" si="5"/>
        <v>0.83333333333333337</v>
      </c>
      <c r="AD12" s="10">
        <f t="shared" si="6"/>
        <v>0.83311403508771931</v>
      </c>
      <c r="AE12" s="39">
        <f t="shared" si="7"/>
        <v>0.3857216893619238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120</v>
      </c>
      <c r="D13" s="55" t="s">
        <v>482</v>
      </c>
      <c r="E13" s="57" t="s">
        <v>485</v>
      </c>
      <c r="F13" s="12" t="s">
        <v>486</v>
      </c>
      <c r="G13" s="12">
        <v>1</v>
      </c>
      <c r="H13" s="13">
        <v>35</v>
      </c>
      <c r="I13" s="7">
        <v>7000</v>
      </c>
      <c r="J13" s="14">
        <v>5130</v>
      </c>
      <c r="K13" s="15">
        <f>L13+2502+5636</f>
        <v>13265</v>
      </c>
      <c r="L13" s="15">
        <f>2663+2464</f>
        <v>5127</v>
      </c>
      <c r="M13" s="16">
        <f t="shared" si="0"/>
        <v>5127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0.99941520467836253</v>
      </c>
      <c r="AC13" s="9">
        <f t="shared" si="5"/>
        <v>1</v>
      </c>
      <c r="AD13" s="10">
        <f t="shared" si="6"/>
        <v>0.99941520467836253</v>
      </c>
      <c r="AE13" s="39">
        <f t="shared" si="7"/>
        <v>0.3857216893619238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120</v>
      </c>
      <c r="D14" s="55" t="s">
        <v>167</v>
      </c>
      <c r="E14" s="57" t="s">
        <v>340</v>
      </c>
      <c r="F14" s="33" t="s">
        <v>338</v>
      </c>
      <c r="G14" s="36">
        <v>1</v>
      </c>
      <c r="H14" s="38">
        <v>25</v>
      </c>
      <c r="I14" s="7">
        <v>10000</v>
      </c>
      <c r="J14" s="5">
        <v>410</v>
      </c>
      <c r="K14" s="15">
        <f>L14+2215+4087+4507+5234+403</f>
        <v>16446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0.3857216893619238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550</v>
      </c>
      <c r="D15" s="55"/>
      <c r="E15" s="57" t="s">
        <v>551</v>
      </c>
      <c r="F15" s="12" t="s">
        <v>552</v>
      </c>
      <c r="G15" s="12">
        <v>2</v>
      </c>
      <c r="H15" s="13">
        <v>25</v>
      </c>
      <c r="I15" s="34">
        <v>70000</v>
      </c>
      <c r="J15" s="5">
        <v>8630</v>
      </c>
      <c r="K15" s="15">
        <f>L15+6898</f>
        <v>15522</v>
      </c>
      <c r="L15" s="15">
        <f>2160*2+2152*2</f>
        <v>8624</v>
      </c>
      <c r="M15" s="16">
        <f t="shared" si="0"/>
        <v>8624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0.99930475086906145</v>
      </c>
      <c r="AC15" s="9">
        <f t="shared" si="5"/>
        <v>1</v>
      </c>
      <c r="AD15" s="10">
        <f t="shared" si="6"/>
        <v>0.99930475086906145</v>
      </c>
      <c r="AE15" s="39">
        <f t="shared" si="7"/>
        <v>0.3857216893619238</v>
      </c>
      <c r="AF15" s="94">
        <f t="shared" si="8"/>
        <v>10</v>
      </c>
    </row>
    <row r="16" spans="1:32" ht="27.75" customHeight="1">
      <c r="A16" s="109">
        <v>11</v>
      </c>
      <c r="B16" s="11" t="s">
        <v>59</v>
      </c>
      <c r="C16" s="11" t="s">
        <v>379</v>
      </c>
      <c r="D16" s="55"/>
      <c r="E16" s="56" t="s">
        <v>415</v>
      </c>
      <c r="F16" s="12">
        <v>7301</v>
      </c>
      <c r="G16" s="36">
        <v>1</v>
      </c>
      <c r="H16" s="38">
        <v>25</v>
      </c>
      <c r="I16" s="7">
        <v>2000</v>
      </c>
      <c r="J16" s="14">
        <v>5040</v>
      </c>
      <c r="K16" s="15">
        <f>L16+5036</f>
        <v>5036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0.3857216893619238</v>
      </c>
      <c r="AF16" s="94">
        <f>A16</f>
        <v>11</v>
      </c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0.3857216893619238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122</v>
      </c>
      <c r="E18" s="57" t="s">
        <v>137</v>
      </c>
      <c r="F18" s="12" t="s">
        <v>155</v>
      </c>
      <c r="G18" s="12">
        <v>1</v>
      </c>
      <c r="H18" s="13">
        <v>25</v>
      </c>
      <c r="I18" s="34">
        <v>23000</v>
      </c>
      <c r="J18" s="5">
        <v>1050</v>
      </c>
      <c r="K18" s="15">
        <f>L18+2373+5342+5324+2259+3330+5266+3259+5303+5222+5284+3216+5257</f>
        <v>52485</v>
      </c>
      <c r="L18" s="15">
        <v>1050</v>
      </c>
      <c r="M18" s="16">
        <f t="shared" si="0"/>
        <v>1050</v>
      </c>
      <c r="N18" s="16">
        <v>0</v>
      </c>
      <c r="O18" s="62">
        <f t="shared" si="1"/>
        <v>0</v>
      </c>
      <c r="P18" s="42">
        <f t="shared" si="2"/>
        <v>6</v>
      </c>
      <c r="Q18" s="43">
        <f t="shared" si="3"/>
        <v>18</v>
      </c>
      <c r="R18" s="7"/>
      <c r="S18" s="6"/>
      <c r="T18" s="17"/>
      <c r="U18" s="17"/>
      <c r="V18" s="18"/>
      <c r="W18" s="19">
        <v>18</v>
      </c>
      <c r="X18" s="17"/>
      <c r="Y18" s="20"/>
      <c r="Z18" s="20"/>
      <c r="AA18" s="21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9">
        <f t="shared" si="7"/>
        <v>0.3857216893619238</v>
      </c>
      <c r="AF18" s="94">
        <f t="shared" si="8"/>
        <v>13</v>
      </c>
    </row>
    <row r="19" spans="1:32" ht="27" customHeight="1">
      <c r="A19" s="110">
        <v>13</v>
      </c>
      <c r="B19" s="11" t="s">
        <v>59</v>
      </c>
      <c r="C19" s="37" t="s">
        <v>119</v>
      </c>
      <c r="D19" s="55" t="s">
        <v>589</v>
      </c>
      <c r="E19" s="57" t="s">
        <v>590</v>
      </c>
      <c r="F19" s="12" t="s">
        <v>130</v>
      </c>
      <c r="G19" s="12">
        <v>1</v>
      </c>
      <c r="H19" s="13">
        <v>25</v>
      </c>
      <c r="I19" s="34">
        <v>300</v>
      </c>
      <c r="J19" s="5">
        <v>360</v>
      </c>
      <c r="K19" s="15">
        <f>L19</f>
        <v>356</v>
      </c>
      <c r="L19" s="15">
        <v>356</v>
      </c>
      <c r="M19" s="16">
        <f t="shared" ref="M19" si="10">L19-N19</f>
        <v>356</v>
      </c>
      <c r="N19" s="16">
        <v>0</v>
      </c>
      <c r="O19" s="62">
        <f t="shared" ref="O19" si="11">IF(L19=0,"0",N19/L19)</f>
        <v>0</v>
      </c>
      <c r="P19" s="42">
        <f t="shared" ref="P19" si="12">IF(L19=0,"0",(24-Q19))</f>
        <v>3</v>
      </c>
      <c r="Q19" s="43">
        <f t="shared" ref="Q19" si="13">SUM(R19:AA19)</f>
        <v>21</v>
      </c>
      <c r="R19" s="7"/>
      <c r="S19" s="6"/>
      <c r="T19" s="17"/>
      <c r="U19" s="17"/>
      <c r="V19" s="18"/>
      <c r="W19" s="19">
        <v>21</v>
      </c>
      <c r="X19" s="17"/>
      <c r="Y19" s="20"/>
      <c r="Z19" s="20"/>
      <c r="AA19" s="21"/>
      <c r="AB19" s="8">
        <f t="shared" ref="AB19" si="14">IF(J19=0,"0",(L19/J19))</f>
        <v>0.98888888888888893</v>
      </c>
      <c r="AC19" s="9">
        <f t="shared" ref="AC19" si="15">IF(P19=0,"0",(P19/24))</f>
        <v>0.125</v>
      </c>
      <c r="AD19" s="10">
        <f t="shared" ref="AD19" si="16">AC19*AB19*(1-O19)</f>
        <v>0.12361111111111112</v>
      </c>
      <c r="AE19" s="39">
        <f t="shared" si="7"/>
        <v>0.3857216893619238</v>
      </c>
      <c r="AF19" s="94">
        <f t="shared" ref="AF19" si="17">A19</f>
        <v>13</v>
      </c>
    </row>
    <row r="20" spans="1:32" ht="27" customHeight="1">
      <c r="A20" s="110">
        <v>14</v>
      </c>
      <c r="B20" s="11" t="s">
        <v>59</v>
      </c>
      <c r="C20" s="37" t="s">
        <v>120</v>
      </c>
      <c r="D20" s="55" t="s">
        <v>167</v>
      </c>
      <c r="E20" s="57" t="s">
        <v>340</v>
      </c>
      <c r="F20" s="33" t="s">
        <v>338</v>
      </c>
      <c r="G20" s="36">
        <v>1</v>
      </c>
      <c r="H20" s="38">
        <v>25</v>
      </c>
      <c r="I20" s="7">
        <v>10000</v>
      </c>
      <c r="J20" s="5">
        <v>4080</v>
      </c>
      <c r="K20" s="15">
        <f>L20+2215+4087+4507+5234+403</f>
        <v>20523</v>
      </c>
      <c r="L20" s="15">
        <f>2415+1662</f>
        <v>4077</v>
      </c>
      <c r="M20" s="16">
        <f t="shared" ref="M20" si="18">L20-N20</f>
        <v>4077</v>
      </c>
      <c r="N20" s="16">
        <v>0</v>
      </c>
      <c r="O20" s="62">
        <f t="shared" ref="O20" si="19">IF(L20=0,"0",N20/L20)</f>
        <v>0</v>
      </c>
      <c r="P20" s="42">
        <f t="shared" ref="P20" si="20">IF(L20=0,"0",(24-Q20))</f>
        <v>22</v>
      </c>
      <c r="Q20" s="43">
        <f t="shared" ref="Q20" si="21">SUM(R20:AA20)</f>
        <v>2</v>
      </c>
      <c r="R20" s="7"/>
      <c r="S20" s="6"/>
      <c r="T20" s="17">
        <v>2</v>
      </c>
      <c r="U20" s="17"/>
      <c r="V20" s="18"/>
      <c r="W20" s="19"/>
      <c r="X20" s="17"/>
      <c r="Y20" s="20"/>
      <c r="Z20" s="20"/>
      <c r="AA20" s="21"/>
      <c r="AB20" s="8">
        <f t="shared" ref="AB20" si="22">IF(J20=0,"0",(L20/J20))</f>
        <v>0.99926470588235294</v>
      </c>
      <c r="AC20" s="9">
        <f t="shared" ref="AC20" si="23">IF(P20=0,"0",(P20/24))</f>
        <v>0.91666666666666663</v>
      </c>
      <c r="AD20" s="10">
        <f t="shared" ref="AD20" si="24">AC20*AB20*(1-O20)</f>
        <v>0.91599264705882355</v>
      </c>
      <c r="AE20" s="39">
        <f t="shared" si="7"/>
        <v>0.3857216893619238</v>
      </c>
      <c r="AF20" s="94">
        <f t="shared" ref="AF20" si="25">A20</f>
        <v>14</v>
      </c>
    </row>
    <row r="21" spans="1:32" ht="27" customHeight="1" thickBot="1">
      <c r="A21" s="110">
        <v>15</v>
      </c>
      <c r="B21" s="11" t="s">
        <v>59</v>
      </c>
      <c r="C21" s="11" t="s">
        <v>117</v>
      </c>
      <c r="D21" s="55"/>
      <c r="E21" s="56" t="s">
        <v>172</v>
      </c>
      <c r="F21" s="12" t="s">
        <v>118</v>
      </c>
      <c r="G21" s="12">
        <v>4</v>
      </c>
      <c r="H21" s="38">
        <v>20</v>
      </c>
      <c r="I21" s="7">
        <v>200000</v>
      </c>
      <c r="J21" s="14">
        <v>16170</v>
      </c>
      <c r="K21" s="15">
        <f>L21+51172+67944+16164</f>
        <v>135280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0.3857216893619238</v>
      </c>
      <c r="AF21" s="94">
        <f t="shared" si="8"/>
        <v>15</v>
      </c>
    </row>
    <row r="22" spans="1:32" ht="31.5" customHeight="1" thickBot="1">
      <c r="A22" s="382" t="s">
        <v>34</v>
      </c>
      <c r="B22" s="383"/>
      <c r="C22" s="383"/>
      <c r="D22" s="383"/>
      <c r="E22" s="383"/>
      <c r="F22" s="383"/>
      <c r="G22" s="383"/>
      <c r="H22" s="384"/>
      <c r="I22" s="25">
        <f t="shared" ref="I22:N22" si="26">SUM(I6:I21)</f>
        <v>421100</v>
      </c>
      <c r="J22" s="22">
        <f t="shared" si="26"/>
        <v>60671</v>
      </c>
      <c r="K22" s="23">
        <f t="shared" si="26"/>
        <v>357241</v>
      </c>
      <c r="L22" s="24">
        <f t="shared" si="26"/>
        <v>33363</v>
      </c>
      <c r="M22" s="23">
        <f t="shared" si="26"/>
        <v>33363</v>
      </c>
      <c r="N22" s="24">
        <f t="shared" si="26"/>
        <v>0</v>
      </c>
      <c r="O22" s="44">
        <f t="shared" si="1"/>
        <v>0</v>
      </c>
      <c r="P22" s="45">
        <f t="shared" ref="P22:AA22" si="27">SUM(P6:P21)</f>
        <v>139</v>
      </c>
      <c r="Q22" s="46">
        <f t="shared" si="27"/>
        <v>245</v>
      </c>
      <c r="R22" s="26">
        <f t="shared" si="27"/>
        <v>48</v>
      </c>
      <c r="S22" s="27">
        <f t="shared" si="27"/>
        <v>48</v>
      </c>
      <c r="T22" s="27">
        <f t="shared" si="27"/>
        <v>14</v>
      </c>
      <c r="U22" s="27">
        <f t="shared" si="27"/>
        <v>0</v>
      </c>
      <c r="V22" s="28">
        <f t="shared" si="27"/>
        <v>24</v>
      </c>
      <c r="W22" s="29">
        <f t="shared" si="27"/>
        <v>111</v>
      </c>
      <c r="X22" s="30">
        <f t="shared" si="27"/>
        <v>0</v>
      </c>
      <c r="Y22" s="30">
        <f t="shared" si="27"/>
        <v>0</v>
      </c>
      <c r="Z22" s="30">
        <f t="shared" si="27"/>
        <v>0</v>
      </c>
      <c r="AA22" s="30">
        <f t="shared" si="27"/>
        <v>0</v>
      </c>
      <c r="AB22" s="31">
        <f>SUM(AB6:AB21)/15</f>
        <v>0.59884648869686252</v>
      </c>
      <c r="AC22" s="4">
        <f>SUM(AC6:AC21)/15</f>
        <v>0.38611111111111113</v>
      </c>
      <c r="AD22" s="4">
        <f>SUM(AD6:AD21)/15</f>
        <v>0.3857216893619238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5" t="s">
        <v>46</v>
      </c>
      <c r="B49" s="385"/>
      <c r="C49" s="385"/>
      <c r="D49" s="385"/>
      <c r="E49" s="38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86" t="s">
        <v>591</v>
      </c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8"/>
      <c r="N50" s="389" t="s">
        <v>608</v>
      </c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  <c r="AA50" s="390"/>
      <c r="AB50" s="390"/>
      <c r="AC50" s="390"/>
      <c r="AD50" s="391"/>
    </row>
    <row r="51" spans="1:32" ht="27" customHeight="1">
      <c r="A51" s="392" t="s">
        <v>2</v>
      </c>
      <c r="B51" s="393"/>
      <c r="C51" s="245" t="s">
        <v>47</v>
      </c>
      <c r="D51" s="245" t="s">
        <v>48</v>
      </c>
      <c r="E51" s="245" t="s">
        <v>111</v>
      </c>
      <c r="F51" s="393" t="s">
        <v>110</v>
      </c>
      <c r="G51" s="393"/>
      <c r="H51" s="393"/>
      <c r="I51" s="393"/>
      <c r="J51" s="393"/>
      <c r="K51" s="393"/>
      <c r="L51" s="393"/>
      <c r="M51" s="394"/>
      <c r="N51" s="73" t="s">
        <v>115</v>
      </c>
      <c r="O51" s="245" t="s">
        <v>47</v>
      </c>
      <c r="P51" s="395" t="s">
        <v>48</v>
      </c>
      <c r="Q51" s="396"/>
      <c r="R51" s="395" t="s">
        <v>39</v>
      </c>
      <c r="S51" s="397"/>
      <c r="T51" s="397"/>
      <c r="U51" s="396"/>
      <c r="V51" s="395" t="s">
        <v>49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09" t="s">
        <v>119</v>
      </c>
      <c r="B52" s="410"/>
      <c r="C52" s="241" t="s">
        <v>390</v>
      </c>
      <c r="D52" s="241" t="s">
        <v>123</v>
      </c>
      <c r="E52" s="244" t="s">
        <v>500</v>
      </c>
      <c r="F52" s="411" t="s">
        <v>592</v>
      </c>
      <c r="G52" s="411"/>
      <c r="H52" s="411"/>
      <c r="I52" s="411"/>
      <c r="J52" s="411"/>
      <c r="K52" s="411"/>
      <c r="L52" s="411"/>
      <c r="M52" s="412"/>
      <c r="N52" s="240" t="s">
        <v>507</v>
      </c>
      <c r="O52" s="74" t="s">
        <v>508</v>
      </c>
      <c r="P52" s="413" t="s">
        <v>509</v>
      </c>
      <c r="Q52" s="414"/>
      <c r="R52" s="410" t="s">
        <v>510</v>
      </c>
      <c r="S52" s="410"/>
      <c r="T52" s="410"/>
      <c r="U52" s="410"/>
      <c r="V52" s="411" t="s">
        <v>511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559</v>
      </c>
      <c r="B53" s="410"/>
      <c r="C53" s="241" t="s">
        <v>560</v>
      </c>
      <c r="D53" s="241" t="s">
        <v>561</v>
      </c>
      <c r="E53" s="244" t="s">
        <v>562</v>
      </c>
      <c r="F53" s="411" t="s">
        <v>593</v>
      </c>
      <c r="G53" s="411"/>
      <c r="H53" s="411"/>
      <c r="I53" s="411"/>
      <c r="J53" s="411"/>
      <c r="K53" s="411"/>
      <c r="L53" s="411"/>
      <c r="M53" s="412"/>
      <c r="N53" s="240" t="s">
        <v>610</v>
      </c>
      <c r="O53" s="74" t="s">
        <v>611</v>
      </c>
      <c r="P53" s="413"/>
      <c r="Q53" s="414"/>
      <c r="R53" s="410" t="s">
        <v>609</v>
      </c>
      <c r="S53" s="410"/>
      <c r="T53" s="410"/>
      <c r="U53" s="410"/>
      <c r="V53" s="411" t="s">
        <v>597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120</v>
      </c>
      <c r="B54" s="410"/>
      <c r="C54" s="241" t="s">
        <v>594</v>
      </c>
      <c r="D54" s="241" t="s">
        <v>595</v>
      </c>
      <c r="E54" s="244" t="s">
        <v>596</v>
      </c>
      <c r="F54" s="411" t="s">
        <v>597</v>
      </c>
      <c r="G54" s="411"/>
      <c r="H54" s="411"/>
      <c r="I54" s="411"/>
      <c r="J54" s="411"/>
      <c r="K54" s="411"/>
      <c r="L54" s="411"/>
      <c r="M54" s="412"/>
      <c r="N54" s="240" t="s">
        <v>613</v>
      </c>
      <c r="O54" s="74" t="s">
        <v>614</v>
      </c>
      <c r="P54" s="413" t="s">
        <v>589</v>
      </c>
      <c r="Q54" s="414"/>
      <c r="R54" s="410" t="s">
        <v>612</v>
      </c>
      <c r="S54" s="410"/>
      <c r="T54" s="410"/>
      <c r="U54" s="410"/>
      <c r="V54" s="411" t="s">
        <v>597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598</v>
      </c>
      <c r="B55" s="410"/>
      <c r="C55" s="241" t="s">
        <v>599</v>
      </c>
      <c r="D55" s="241" t="s">
        <v>600</v>
      </c>
      <c r="E55" s="244" t="s">
        <v>590</v>
      </c>
      <c r="F55" s="411" t="s">
        <v>601</v>
      </c>
      <c r="G55" s="411"/>
      <c r="H55" s="411"/>
      <c r="I55" s="411"/>
      <c r="J55" s="411"/>
      <c r="K55" s="411"/>
      <c r="L55" s="411"/>
      <c r="M55" s="412"/>
      <c r="N55" s="240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585</v>
      </c>
      <c r="B56" s="410"/>
      <c r="C56" s="241" t="s">
        <v>602</v>
      </c>
      <c r="D56" s="241" t="s">
        <v>603</v>
      </c>
      <c r="E56" s="244" t="s">
        <v>587</v>
      </c>
      <c r="F56" s="411" t="s">
        <v>601</v>
      </c>
      <c r="G56" s="411"/>
      <c r="H56" s="411"/>
      <c r="I56" s="411"/>
      <c r="J56" s="411"/>
      <c r="K56" s="411"/>
      <c r="L56" s="411"/>
      <c r="M56" s="412"/>
      <c r="N56" s="240"/>
      <c r="O56" s="74"/>
      <c r="P56" s="413"/>
      <c r="Q56" s="414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 t="s">
        <v>120</v>
      </c>
      <c r="B57" s="410"/>
      <c r="C57" s="241" t="s">
        <v>604</v>
      </c>
      <c r="D57" s="241" t="s">
        <v>605</v>
      </c>
      <c r="E57" s="244" t="s">
        <v>606</v>
      </c>
      <c r="F57" s="411" t="s">
        <v>607</v>
      </c>
      <c r="G57" s="411"/>
      <c r="H57" s="411"/>
      <c r="I57" s="411"/>
      <c r="J57" s="411"/>
      <c r="K57" s="411"/>
      <c r="L57" s="411"/>
      <c r="M57" s="412"/>
      <c r="N57" s="240"/>
      <c r="O57" s="74"/>
      <c r="P57" s="410"/>
      <c r="Q57" s="410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09"/>
      <c r="B58" s="410"/>
      <c r="C58" s="241"/>
      <c r="D58" s="241"/>
      <c r="E58" s="244"/>
      <c r="F58" s="411"/>
      <c r="G58" s="411"/>
      <c r="H58" s="411"/>
      <c r="I58" s="411"/>
      <c r="J58" s="411"/>
      <c r="K58" s="411"/>
      <c r="L58" s="411"/>
      <c r="M58" s="412"/>
      <c r="N58" s="240"/>
      <c r="O58" s="74"/>
      <c r="P58" s="413"/>
      <c r="Q58" s="414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19"/>
      <c r="B59" s="420"/>
      <c r="C59" s="244"/>
      <c r="D59" s="241"/>
      <c r="E59" s="244"/>
      <c r="F59" s="411"/>
      <c r="G59" s="411"/>
      <c r="H59" s="411"/>
      <c r="I59" s="411"/>
      <c r="J59" s="411"/>
      <c r="K59" s="411"/>
      <c r="L59" s="411"/>
      <c r="M59" s="412"/>
      <c r="N59" s="240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</row>
    <row r="60" spans="1:32" ht="27" customHeight="1">
      <c r="A60" s="409"/>
      <c r="B60" s="410"/>
      <c r="C60" s="241"/>
      <c r="D60" s="241"/>
      <c r="E60" s="241"/>
      <c r="F60" s="411"/>
      <c r="G60" s="411"/>
      <c r="H60" s="411"/>
      <c r="I60" s="411"/>
      <c r="J60" s="411"/>
      <c r="K60" s="411"/>
      <c r="L60" s="411"/>
      <c r="M60" s="412"/>
      <c r="N60" s="240"/>
      <c r="O60" s="74"/>
      <c r="P60" s="410"/>
      <c r="Q60" s="410"/>
      <c r="R60" s="410"/>
      <c r="S60" s="410"/>
      <c r="T60" s="410"/>
      <c r="U60" s="410"/>
      <c r="V60" s="411"/>
      <c r="W60" s="411"/>
      <c r="X60" s="411"/>
      <c r="Y60" s="411"/>
      <c r="Z60" s="411"/>
      <c r="AA60" s="411"/>
      <c r="AB60" s="411"/>
      <c r="AC60" s="411"/>
      <c r="AD60" s="412"/>
      <c r="AF60" s="94">
        <f>8*3000</f>
        <v>24000</v>
      </c>
    </row>
    <row r="61" spans="1:32" ht="27" customHeight="1" thickBot="1">
      <c r="A61" s="415"/>
      <c r="B61" s="416"/>
      <c r="C61" s="243"/>
      <c r="D61" s="243"/>
      <c r="E61" s="243"/>
      <c r="F61" s="417"/>
      <c r="G61" s="417"/>
      <c r="H61" s="417"/>
      <c r="I61" s="417"/>
      <c r="J61" s="417"/>
      <c r="K61" s="417"/>
      <c r="L61" s="417"/>
      <c r="M61" s="418"/>
      <c r="N61" s="242"/>
      <c r="O61" s="121"/>
      <c r="P61" s="416"/>
      <c r="Q61" s="416"/>
      <c r="R61" s="416"/>
      <c r="S61" s="416"/>
      <c r="T61" s="416"/>
      <c r="U61" s="416"/>
      <c r="V61" s="417"/>
      <c r="W61" s="417"/>
      <c r="X61" s="417"/>
      <c r="Y61" s="417"/>
      <c r="Z61" s="417"/>
      <c r="AA61" s="417"/>
      <c r="AB61" s="417"/>
      <c r="AC61" s="417"/>
      <c r="AD61" s="418"/>
      <c r="AF61" s="94">
        <f>16*3000</f>
        <v>48000</v>
      </c>
    </row>
    <row r="62" spans="1:32" ht="27.75" thickBot="1">
      <c r="A62" s="421" t="s">
        <v>615</v>
      </c>
      <c r="B62" s="421"/>
      <c r="C62" s="421"/>
      <c r="D62" s="421"/>
      <c r="E62" s="42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2" t="s">
        <v>116</v>
      </c>
      <c r="B63" s="423"/>
      <c r="C63" s="239" t="s">
        <v>2</v>
      </c>
      <c r="D63" s="239" t="s">
        <v>38</v>
      </c>
      <c r="E63" s="239" t="s">
        <v>3</v>
      </c>
      <c r="F63" s="423" t="s">
        <v>113</v>
      </c>
      <c r="G63" s="423"/>
      <c r="H63" s="423"/>
      <c r="I63" s="423"/>
      <c r="J63" s="423"/>
      <c r="K63" s="423" t="s">
        <v>40</v>
      </c>
      <c r="L63" s="423"/>
      <c r="M63" s="239" t="s">
        <v>41</v>
      </c>
      <c r="N63" s="423" t="s">
        <v>42</v>
      </c>
      <c r="O63" s="423"/>
      <c r="P63" s="424" t="s">
        <v>43</v>
      </c>
      <c r="Q63" s="425"/>
      <c r="R63" s="424" t="s">
        <v>44</v>
      </c>
      <c r="S63" s="426"/>
      <c r="T63" s="426"/>
      <c r="U63" s="426"/>
      <c r="V63" s="426"/>
      <c r="W63" s="426"/>
      <c r="X63" s="426"/>
      <c r="Y63" s="426"/>
      <c r="Z63" s="426"/>
      <c r="AA63" s="425"/>
      <c r="AB63" s="423" t="s">
        <v>45</v>
      </c>
      <c r="AC63" s="423"/>
      <c r="AD63" s="427"/>
      <c r="AF63" s="94">
        <f>SUM(AF60:AF62)</f>
        <v>96000</v>
      </c>
    </row>
    <row r="64" spans="1:32" ht="25.5" customHeight="1">
      <c r="A64" s="428">
        <v>1</v>
      </c>
      <c r="B64" s="429"/>
      <c r="C64" s="124" t="s">
        <v>576</v>
      </c>
      <c r="D64" s="235"/>
      <c r="E64" s="237" t="s">
        <v>577</v>
      </c>
      <c r="F64" s="430" t="s">
        <v>578</v>
      </c>
      <c r="G64" s="431"/>
      <c r="H64" s="431"/>
      <c r="I64" s="431"/>
      <c r="J64" s="431"/>
      <c r="K64" s="431" t="s">
        <v>579</v>
      </c>
      <c r="L64" s="431"/>
      <c r="M64" s="54" t="s">
        <v>538</v>
      </c>
      <c r="N64" s="431">
        <v>11</v>
      </c>
      <c r="O64" s="431"/>
      <c r="P64" s="432">
        <v>200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2</v>
      </c>
      <c r="B65" s="429"/>
      <c r="C65" s="124"/>
      <c r="D65" s="235"/>
      <c r="E65" s="237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3</v>
      </c>
      <c r="B66" s="429"/>
      <c r="C66" s="124"/>
      <c r="D66" s="235"/>
      <c r="E66" s="237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4</v>
      </c>
      <c r="B67" s="429"/>
      <c r="C67" s="124"/>
      <c r="D67" s="235"/>
      <c r="E67" s="237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5</v>
      </c>
      <c r="B68" s="429"/>
      <c r="C68" s="124"/>
      <c r="D68" s="235"/>
      <c r="E68" s="237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6</v>
      </c>
      <c r="B69" s="429"/>
      <c r="C69" s="124"/>
      <c r="D69" s="235"/>
      <c r="E69" s="237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7</v>
      </c>
      <c r="B70" s="429"/>
      <c r="C70" s="124"/>
      <c r="D70" s="235"/>
      <c r="E70" s="237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5.5" customHeight="1">
      <c r="A71" s="428">
        <v>8</v>
      </c>
      <c r="B71" s="429"/>
      <c r="C71" s="124"/>
      <c r="D71" s="235"/>
      <c r="E71" s="237"/>
      <c r="F71" s="430"/>
      <c r="G71" s="431"/>
      <c r="H71" s="431"/>
      <c r="I71" s="431"/>
      <c r="J71" s="431"/>
      <c r="K71" s="431"/>
      <c r="L71" s="431"/>
      <c r="M71" s="54"/>
      <c r="N71" s="431"/>
      <c r="O71" s="431"/>
      <c r="P71" s="432"/>
      <c r="Q71" s="432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31"/>
      <c r="AC71" s="431"/>
      <c r="AD71" s="433"/>
      <c r="AF71" s="53"/>
    </row>
    <row r="72" spans="1:32" ht="26.25" customHeight="1" thickBot="1">
      <c r="A72" s="434" t="s">
        <v>616</v>
      </c>
      <c r="B72" s="434"/>
      <c r="C72" s="434"/>
      <c r="D72" s="434"/>
      <c r="E72" s="43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35" t="s">
        <v>116</v>
      </c>
      <c r="B73" s="436"/>
      <c r="C73" s="238" t="s">
        <v>2</v>
      </c>
      <c r="D73" s="238" t="s">
        <v>38</v>
      </c>
      <c r="E73" s="238" t="s">
        <v>3</v>
      </c>
      <c r="F73" s="436" t="s">
        <v>39</v>
      </c>
      <c r="G73" s="436"/>
      <c r="H73" s="436"/>
      <c r="I73" s="436"/>
      <c r="J73" s="436"/>
      <c r="K73" s="437" t="s">
        <v>60</v>
      </c>
      <c r="L73" s="438"/>
      <c r="M73" s="438"/>
      <c r="N73" s="438"/>
      <c r="O73" s="438"/>
      <c r="P73" s="438"/>
      <c r="Q73" s="438"/>
      <c r="R73" s="438"/>
      <c r="S73" s="439"/>
      <c r="T73" s="436" t="s">
        <v>50</v>
      </c>
      <c r="U73" s="436"/>
      <c r="V73" s="437" t="s">
        <v>51</v>
      </c>
      <c r="W73" s="439"/>
      <c r="X73" s="438" t="s">
        <v>52</v>
      </c>
      <c r="Y73" s="438"/>
      <c r="Z73" s="438"/>
      <c r="AA73" s="438"/>
      <c r="AB73" s="438"/>
      <c r="AC73" s="438"/>
      <c r="AD73" s="440"/>
      <c r="AF73" s="53"/>
    </row>
    <row r="74" spans="1:32" ht="33.75" customHeight="1">
      <c r="A74" s="449">
        <v>1</v>
      </c>
      <c r="B74" s="450"/>
      <c r="C74" s="236" t="s">
        <v>119</v>
      </c>
      <c r="D74" s="236"/>
      <c r="E74" s="71" t="s">
        <v>127</v>
      </c>
      <c r="F74" s="451" t="s">
        <v>128</v>
      </c>
      <c r="G74" s="452"/>
      <c r="H74" s="452"/>
      <c r="I74" s="452"/>
      <c r="J74" s="453"/>
      <c r="K74" s="454" t="s">
        <v>121</v>
      </c>
      <c r="L74" s="455"/>
      <c r="M74" s="455"/>
      <c r="N74" s="455"/>
      <c r="O74" s="455"/>
      <c r="P74" s="455"/>
      <c r="Q74" s="455"/>
      <c r="R74" s="455"/>
      <c r="S74" s="456"/>
      <c r="T74" s="457">
        <v>42901</v>
      </c>
      <c r="U74" s="458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1">
        <f>A74+1</f>
        <v>2</v>
      </c>
      <c r="B75" s="442"/>
      <c r="C75" s="235" t="s">
        <v>119</v>
      </c>
      <c r="D75" s="235"/>
      <c r="E75" s="35" t="s">
        <v>124</v>
      </c>
      <c r="F75" s="442" t="s">
        <v>125</v>
      </c>
      <c r="G75" s="442"/>
      <c r="H75" s="442"/>
      <c r="I75" s="442"/>
      <c r="J75" s="442"/>
      <c r="K75" s="443" t="s">
        <v>126</v>
      </c>
      <c r="L75" s="444"/>
      <c r="M75" s="444"/>
      <c r="N75" s="444"/>
      <c r="O75" s="444"/>
      <c r="P75" s="444"/>
      <c r="Q75" s="444"/>
      <c r="R75" s="444"/>
      <c r="S75" s="445"/>
      <c r="T75" s="446">
        <v>42867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ref="A76:A82" si="28">A75+1</f>
        <v>3</v>
      </c>
      <c r="B76" s="442"/>
      <c r="C76" s="235" t="s">
        <v>120</v>
      </c>
      <c r="D76" s="235"/>
      <c r="E76" s="35" t="s">
        <v>354</v>
      </c>
      <c r="F76" s="442" t="s">
        <v>474</v>
      </c>
      <c r="G76" s="442"/>
      <c r="H76" s="442"/>
      <c r="I76" s="442"/>
      <c r="J76" s="442"/>
      <c r="K76" s="443" t="s">
        <v>330</v>
      </c>
      <c r="L76" s="444"/>
      <c r="M76" s="444"/>
      <c r="N76" s="444"/>
      <c r="O76" s="444"/>
      <c r="P76" s="444"/>
      <c r="Q76" s="444"/>
      <c r="R76" s="444"/>
      <c r="S76" s="445"/>
      <c r="T76" s="446">
        <v>42921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28"/>
        <v>4</v>
      </c>
      <c r="B77" s="442"/>
      <c r="C77" s="235" t="s">
        <v>292</v>
      </c>
      <c r="D77" s="235"/>
      <c r="E77" s="35" t="s">
        <v>293</v>
      </c>
      <c r="F77" s="442" t="s">
        <v>294</v>
      </c>
      <c r="G77" s="442"/>
      <c r="H77" s="442"/>
      <c r="I77" s="442"/>
      <c r="J77" s="442"/>
      <c r="K77" s="443" t="s">
        <v>331</v>
      </c>
      <c r="L77" s="444"/>
      <c r="M77" s="444"/>
      <c r="N77" s="444"/>
      <c r="O77" s="444"/>
      <c r="P77" s="444"/>
      <c r="Q77" s="444"/>
      <c r="R77" s="444"/>
      <c r="S77" s="445"/>
      <c r="T77" s="446">
        <v>42920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28"/>
        <v>5</v>
      </c>
      <c r="B78" s="442"/>
      <c r="C78" s="235" t="s">
        <v>186</v>
      </c>
      <c r="D78" s="235"/>
      <c r="E78" s="35" t="s">
        <v>542</v>
      </c>
      <c r="F78" s="442" t="s">
        <v>510</v>
      </c>
      <c r="G78" s="442"/>
      <c r="H78" s="442"/>
      <c r="I78" s="442"/>
      <c r="J78" s="442"/>
      <c r="K78" s="443" t="s">
        <v>617</v>
      </c>
      <c r="L78" s="444"/>
      <c r="M78" s="444"/>
      <c r="N78" s="444"/>
      <c r="O78" s="444"/>
      <c r="P78" s="444"/>
      <c r="Q78" s="444"/>
      <c r="R78" s="444"/>
      <c r="S78" s="445"/>
      <c r="T78" s="446">
        <v>42928</v>
      </c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28"/>
        <v>6</v>
      </c>
      <c r="B79" s="442"/>
      <c r="C79" s="235"/>
      <c r="D79" s="235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28"/>
        <v>7</v>
      </c>
      <c r="B80" s="442"/>
      <c r="C80" s="235"/>
      <c r="D80" s="235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28"/>
        <v>8</v>
      </c>
      <c r="B81" s="442"/>
      <c r="C81" s="235"/>
      <c r="D81" s="235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0" customHeight="1">
      <c r="A82" s="441">
        <f t="shared" si="28"/>
        <v>9</v>
      </c>
      <c r="B82" s="442"/>
      <c r="C82" s="235"/>
      <c r="D82" s="235"/>
      <c r="E82" s="35"/>
      <c r="F82" s="442"/>
      <c r="G82" s="442"/>
      <c r="H82" s="442"/>
      <c r="I82" s="442"/>
      <c r="J82" s="442"/>
      <c r="K82" s="443"/>
      <c r="L82" s="444"/>
      <c r="M82" s="444"/>
      <c r="N82" s="444"/>
      <c r="O82" s="444"/>
      <c r="P82" s="444"/>
      <c r="Q82" s="444"/>
      <c r="R82" s="444"/>
      <c r="S82" s="445"/>
      <c r="T82" s="446"/>
      <c r="U82" s="446"/>
      <c r="V82" s="446"/>
      <c r="W82" s="446"/>
      <c r="X82" s="447"/>
      <c r="Y82" s="447"/>
      <c r="Z82" s="447"/>
      <c r="AA82" s="447"/>
      <c r="AB82" s="447"/>
      <c r="AC82" s="447"/>
      <c r="AD82" s="448"/>
      <c r="AF82" s="53"/>
    </row>
    <row r="83" spans="1:32" ht="36" thickBot="1">
      <c r="A83" s="434" t="s">
        <v>618</v>
      </c>
      <c r="B83" s="434"/>
      <c r="C83" s="434"/>
      <c r="D83" s="434"/>
      <c r="E83" s="43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2" t="s">
        <v>37</v>
      </c>
      <c r="B84" s="463"/>
      <c r="C84" s="463" t="s">
        <v>53</v>
      </c>
      <c r="D84" s="463"/>
      <c r="E84" s="463" t="s">
        <v>54</v>
      </c>
      <c r="F84" s="463"/>
      <c r="G84" s="463"/>
      <c r="H84" s="463"/>
      <c r="I84" s="463"/>
      <c r="J84" s="463"/>
      <c r="K84" s="463" t="s">
        <v>55</v>
      </c>
      <c r="L84" s="463"/>
      <c r="M84" s="463"/>
      <c r="N84" s="463"/>
      <c r="O84" s="463"/>
      <c r="P84" s="463"/>
      <c r="Q84" s="463"/>
      <c r="R84" s="463"/>
      <c r="S84" s="463"/>
      <c r="T84" s="463" t="s">
        <v>56</v>
      </c>
      <c r="U84" s="463"/>
      <c r="V84" s="463" t="s">
        <v>57</v>
      </c>
      <c r="W84" s="463"/>
      <c r="X84" s="463"/>
      <c r="Y84" s="463" t="s">
        <v>52</v>
      </c>
      <c r="Z84" s="463"/>
      <c r="AA84" s="463"/>
      <c r="AB84" s="463"/>
      <c r="AC84" s="463"/>
      <c r="AD84" s="464"/>
      <c r="AF84" s="53"/>
    </row>
    <row r="85" spans="1:32" ht="30.75" customHeight="1">
      <c r="A85" s="449">
        <v>1</v>
      </c>
      <c r="B85" s="450"/>
      <c r="C85" s="465">
        <v>1</v>
      </c>
      <c r="D85" s="465"/>
      <c r="E85" s="465" t="s">
        <v>149</v>
      </c>
      <c r="F85" s="465"/>
      <c r="G85" s="465"/>
      <c r="H85" s="465"/>
      <c r="I85" s="465"/>
      <c r="J85" s="465"/>
      <c r="K85" s="465" t="s">
        <v>150</v>
      </c>
      <c r="L85" s="465"/>
      <c r="M85" s="465"/>
      <c r="N85" s="465"/>
      <c r="O85" s="465"/>
      <c r="P85" s="465"/>
      <c r="Q85" s="465"/>
      <c r="R85" s="465"/>
      <c r="S85" s="465"/>
      <c r="T85" s="465" t="s">
        <v>151</v>
      </c>
      <c r="U85" s="465"/>
      <c r="V85" s="466">
        <v>1500000</v>
      </c>
      <c r="W85" s="466"/>
      <c r="X85" s="466"/>
      <c r="Y85" s="467" t="s">
        <v>152</v>
      </c>
      <c r="Z85" s="467"/>
      <c r="AA85" s="467"/>
      <c r="AB85" s="467"/>
      <c r="AC85" s="467"/>
      <c r="AD85" s="468"/>
      <c r="AF85" s="53"/>
    </row>
    <row r="86" spans="1:32" ht="30.75" customHeight="1">
      <c r="A86" s="441">
        <v>2</v>
      </c>
      <c r="B86" s="442"/>
      <c r="C86" s="476">
        <v>10</v>
      </c>
      <c r="D86" s="476"/>
      <c r="E86" s="476" t="s">
        <v>162</v>
      </c>
      <c r="F86" s="476"/>
      <c r="G86" s="476"/>
      <c r="H86" s="476"/>
      <c r="I86" s="476"/>
      <c r="J86" s="476"/>
      <c r="K86" s="476" t="s">
        <v>163</v>
      </c>
      <c r="L86" s="476"/>
      <c r="M86" s="476"/>
      <c r="N86" s="476"/>
      <c r="O86" s="476"/>
      <c r="P86" s="476"/>
      <c r="Q86" s="476"/>
      <c r="R86" s="476"/>
      <c r="S86" s="476"/>
      <c r="T86" s="477" t="s">
        <v>164</v>
      </c>
      <c r="U86" s="477"/>
      <c r="V86" s="478">
        <v>350000</v>
      </c>
      <c r="W86" s="478"/>
      <c r="X86" s="478"/>
      <c r="Y86" s="469" t="s">
        <v>176</v>
      </c>
      <c r="Z86" s="469"/>
      <c r="AA86" s="469"/>
      <c r="AB86" s="469"/>
      <c r="AC86" s="469"/>
      <c r="AD86" s="470"/>
      <c r="AF86" s="53"/>
    </row>
    <row r="87" spans="1:32" ht="30.75" customHeight="1" thickBot="1">
      <c r="A87" s="471">
        <v>3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3"/>
      <c r="W87" s="473"/>
      <c r="X87" s="473"/>
      <c r="Y87" s="474"/>
      <c r="Z87" s="474"/>
      <c r="AA87" s="474"/>
      <c r="AB87" s="474"/>
      <c r="AC87" s="474"/>
      <c r="AD87" s="475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topLeftCell="A64" zoomScale="72" zoomScaleNormal="72" zoomScaleSheetLayoutView="70" workbookViewId="0">
      <selection activeCell="K79" sqref="K79:S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3" width="7.625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619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247" t="s">
        <v>17</v>
      </c>
      <c r="L5" s="247" t="s">
        <v>18</v>
      </c>
      <c r="M5" s="247" t="s">
        <v>19</v>
      </c>
      <c r="N5" s="24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>
        <v>0</v>
      </c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0.31050403733011006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585</v>
      </c>
      <c r="D7" s="55" t="s">
        <v>586</v>
      </c>
      <c r="E7" s="56" t="s">
        <v>587</v>
      </c>
      <c r="F7" s="12" t="s">
        <v>588</v>
      </c>
      <c r="G7" s="36">
        <v>3</v>
      </c>
      <c r="H7" s="38">
        <v>25</v>
      </c>
      <c r="I7" s="7">
        <v>20000</v>
      </c>
      <c r="J7" s="14">
        <v>10110</v>
      </c>
      <c r="K7" s="15">
        <f>L7+5220</f>
        <v>15326</v>
      </c>
      <c r="L7" s="15">
        <f>2586*2+2467*2</f>
        <v>10106</v>
      </c>
      <c r="M7" s="16">
        <f t="shared" si="0"/>
        <v>10106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0.99960435212660737</v>
      </c>
      <c r="AC7" s="9">
        <f t="shared" si="5"/>
        <v>1</v>
      </c>
      <c r="AD7" s="10">
        <f t="shared" si="6"/>
        <v>0.99960435212660737</v>
      </c>
      <c r="AE7" s="39">
        <f t="shared" si="7"/>
        <v>0.31050403733011006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373</v>
      </c>
      <c r="F8" s="12" t="s">
        <v>130</v>
      </c>
      <c r="G8" s="36">
        <v>1</v>
      </c>
      <c r="H8" s="38">
        <v>25</v>
      </c>
      <c r="I8" s="7">
        <v>20000</v>
      </c>
      <c r="J8" s="14">
        <v>1770</v>
      </c>
      <c r="K8" s="15">
        <f>L8+4701+4441+4830+4131+1615+4601</f>
        <v>26087</v>
      </c>
      <c r="L8" s="15">
        <v>1768</v>
      </c>
      <c r="M8" s="16">
        <f t="shared" si="0"/>
        <v>1768</v>
      </c>
      <c r="N8" s="16">
        <v>0</v>
      </c>
      <c r="O8" s="62">
        <f t="shared" si="1"/>
        <v>0</v>
      </c>
      <c r="P8" s="42">
        <f t="shared" si="2"/>
        <v>8</v>
      </c>
      <c r="Q8" s="43">
        <f t="shared" si="3"/>
        <v>16</v>
      </c>
      <c r="R8" s="7"/>
      <c r="S8" s="6">
        <v>16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0.9988700564971752</v>
      </c>
      <c r="AC8" s="9">
        <f t="shared" si="5"/>
        <v>0.33333333333333331</v>
      </c>
      <c r="AD8" s="10">
        <f t="shared" si="6"/>
        <v>0.33295668549905838</v>
      </c>
      <c r="AE8" s="39">
        <f t="shared" si="7"/>
        <v>0.31050403733011006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186</v>
      </c>
      <c r="D9" s="55" t="s">
        <v>334</v>
      </c>
      <c r="E9" s="57" t="s">
        <v>335</v>
      </c>
      <c r="F9" s="12" t="s">
        <v>336</v>
      </c>
      <c r="G9" s="12">
        <v>1</v>
      </c>
      <c r="H9" s="13">
        <v>25</v>
      </c>
      <c r="I9" s="34">
        <v>6000</v>
      </c>
      <c r="J9" s="5">
        <v>2120</v>
      </c>
      <c r="K9" s="15">
        <f>L9+4873+2928+2688+509</f>
        <v>13112</v>
      </c>
      <c r="L9" s="15">
        <v>2114</v>
      </c>
      <c r="M9" s="16">
        <f t="shared" si="0"/>
        <v>2114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>
        <v>12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0.99716981132075466</v>
      </c>
      <c r="AC9" s="9">
        <f t="shared" si="5"/>
        <v>0.5</v>
      </c>
      <c r="AD9" s="10">
        <f t="shared" si="6"/>
        <v>0.49858490566037733</v>
      </c>
      <c r="AE9" s="39">
        <f t="shared" si="7"/>
        <v>0.31050403733011006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620</v>
      </c>
      <c r="D10" s="55" t="s">
        <v>621</v>
      </c>
      <c r="E10" s="57" t="s">
        <v>622</v>
      </c>
      <c r="F10" s="12" t="s">
        <v>623</v>
      </c>
      <c r="G10" s="12">
        <v>1</v>
      </c>
      <c r="H10" s="13">
        <v>25</v>
      </c>
      <c r="I10" s="34">
        <v>1800</v>
      </c>
      <c r="J10" s="14">
        <v>1040</v>
      </c>
      <c r="K10" s="15">
        <f>L10</f>
        <v>1032</v>
      </c>
      <c r="L10" s="15">
        <v>1032</v>
      </c>
      <c r="M10" s="16">
        <f t="shared" si="0"/>
        <v>1032</v>
      </c>
      <c r="N10" s="16">
        <v>0</v>
      </c>
      <c r="O10" s="62">
        <f t="shared" si="1"/>
        <v>0</v>
      </c>
      <c r="P10" s="42">
        <f t="shared" si="2"/>
        <v>8</v>
      </c>
      <c r="Q10" s="43">
        <f t="shared" si="3"/>
        <v>16</v>
      </c>
      <c r="R10" s="7"/>
      <c r="S10" s="6"/>
      <c r="T10" s="17"/>
      <c r="U10" s="17"/>
      <c r="V10" s="18">
        <v>16</v>
      </c>
      <c r="W10" s="19"/>
      <c r="X10" s="17"/>
      <c r="Y10" s="20"/>
      <c r="Z10" s="20"/>
      <c r="AA10" s="21"/>
      <c r="AB10" s="8">
        <f t="shared" si="4"/>
        <v>0.99230769230769234</v>
      </c>
      <c r="AC10" s="9">
        <f t="shared" si="5"/>
        <v>0.33333333333333331</v>
      </c>
      <c r="AD10" s="10">
        <f t="shared" si="6"/>
        <v>0.33076923076923076</v>
      </c>
      <c r="AE10" s="39">
        <f t="shared" si="7"/>
        <v>0.31050403733011006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122</v>
      </c>
      <c r="E11" s="57" t="s">
        <v>199</v>
      </c>
      <c r="F11" s="12" t="s">
        <v>451</v>
      </c>
      <c r="G11" s="12">
        <v>1</v>
      </c>
      <c r="H11" s="13">
        <v>25</v>
      </c>
      <c r="I11" s="34">
        <v>4000</v>
      </c>
      <c r="J11" s="14">
        <v>950</v>
      </c>
      <c r="K11" s="15">
        <f>L11+947</f>
        <v>947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>
        <v>24</v>
      </c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0.31050403733011006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840</v>
      </c>
      <c r="K12" s="15">
        <f>L12+3669+4855+2235+2780+2059+3271+4852+4899+2834+4120+5019+3677+4074+3799</f>
        <v>52974</v>
      </c>
      <c r="L12" s="15">
        <v>831</v>
      </c>
      <c r="M12" s="16">
        <f t="shared" si="0"/>
        <v>831</v>
      </c>
      <c r="N12" s="16">
        <v>0</v>
      </c>
      <c r="O12" s="62">
        <f t="shared" si="1"/>
        <v>0</v>
      </c>
      <c r="P12" s="42">
        <f t="shared" si="2"/>
        <v>5</v>
      </c>
      <c r="Q12" s="43">
        <f t="shared" si="3"/>
        <v>19</v>
      </c>
      <c r="R12" s="7"/>
      <c r="S12" s="6">
        <v>19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0.98928571428571432</v>
      </c>
      <c r="AC12" s="9">
        <f t="shared" si="5"/>
        <v>0.20833333333333334</v>
      </c>
      <c r="AD12" s="10">
        <f t="shared" si="6"/>
        <v>0.20610119047619049</v>
      </c>
      <c r="AE12" s="39">
        <f t="shared" si="7"/>
        <v>0.31050403733011006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120</v>
      </c>
      <c r="D13" s="55" t="s">
        <v>482</v>
      </c>
      <c r="E13" s="57" t="s">
        <v>476</v>
      </c>
      <c r="F13" s="12" t="s">
        <v>252</v>
      </c>
      <c r="G13" s="12">
        <v>1</v>
      </c>
      <c r="H13" s="13">
        <v>35</v>
      </c>
      <c r="I13" s="7">
        <v>7000</v>
      </c>
      <c r="J13" s="14">
        <v>5130</v>
      </c>
      <c r="K13" s="15">
        <f>L13+2502+5636+5127</f>
        <v>13265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0.31050403733011006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119</v>
      </c>
      <c r="D14" s="55" t="s">
        <v>624</v>
      </c>
      <c r="E14" s="57" t="s">
        <v>625</v>
      </c>
      <c r="F14" s="33" t="s">
        <v>626</v>
      </c>
      <c r="G14" s="36">
        <v>1</v>
      </c>
      <c r="H14" s="38">
        <v>40</v>
      </c>
      <c r="I14" s="7">
        <v>1200</v>
      </c>
      <c r="J14" s="5">
        <v>410</v>
      </c>
      <c r="K14" s="15">
        <f>AJ17</f>
        <v>0</v>
      </c>
      <c r="M14" s="16">
        <f>AJ17-N14</f>
        <v>0</v>
      </c>
      <c r="N14" s="16">
        <v>0</v>
      </c>
      <c r="O14" s="62" t="str">
        <f>IF(AJ17=0,"0",N14/AJ17)</f>
        <v>0</v>
      </c>
      <c r="P14" s="42" t="str">
        <f>IF(AJ17=0,"0",(24-Q14))</f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>IF(J14=0,"0",(AJ17/J14))</f>
        <v>0</v>
      </c>
      <c r="AC14" s="9">
        <f t="shared" si="5"/>
        <v>0</v>
      </c>
      <c r="AD14" s="10">
        <f t="shared" si="6"/>
        <v>0</v>
      </c>
      <c r="AE14" s="39">
        <f t="shared" si="7"/>
        <v>0.31050403733011006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515</v>
      </c>
      <c r="D15" s="55"/>
      <c r="E15" s="57" t="s">
        <v>551</v>
      </c>
      <c r="F15" s="12" t="s">
        <v>552</v>
      </c>
      <c r="G15" s="12">
        <v>2</v>
      </c>
      <c r="H15" s="13">
        <v>25</v>
      </c>
      <c r="I15" s="34">
        <v>70000</v>
      </c>
      <c r="J15" s="5">
        <v>1640</v>
      </c>
      <c r="K15" s="15">
        <f>L15+6898+8624</f>
        <v>17162</v>
      </c>
      <c r="L15" s="15">
        <f>820*2</f>
        <v>1640</v>
      </c>
      <c r="M15" s="16">
        <f t="shared" si="0"/>
        <v>1640</v>
      </c>
      <c r="N15" s="16">
        <v>0</v>
      </c>
      <c r="O15" s="62">
        <f t="shared" si="1"/>
        <v>0</v>
      </c>
      <c r="P15" s="42">
        <f t="shared" si="2"/>
        <v>5</v>
      </c>
      <c r="Q15" s="43">
        <f t="shared" si="3"/>
        <v>19</v>
      </c>
      <c r="R15" s="7"/>
      <c r="S15" s="6">
        <v>19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0.20833333333333334</v>
      </c>
      <c r="AD15" s="10">
        <f t="shared" si="6"/>
        <v>0.20833333333333334</v>
      </c>
      <c r="AE15" s="39">
        <f t="shared" si="7"/>
        <v>0.31050403733011006</v>
      </c>
      <c r="AF15" s="94">
        <f t="shared" si="8"/>
        <v>10</v>
      </c>
    </row>
    <row r="16" spans="1:32" ht="27" customHeight="1">
      <c r="A16" s="109">
        <v>10</v>
      </c>
      <c r="B16" s="11" t="s">
        <v>59</v>
      </c>
      <c r="C16" s="11" t="s">
        <v>620</v>
      </c>
      <c r="D16" s="55" t="s">
        <v>621</v>
      </c>
      <c r="E16" s="57" t="s">
        <v>622</v>
      </c>
      <c r="F16" s="12" t="s">
        <v>623</v>
      </c>
      <c r="G16" s="12">
        <v>1</v>
      </c>
      <c r="H16" s="13">
        <v>25</v>
      </c>
      <c r="I16" s="34">
        <v>1800</v>
      </c>
      <c r="J16" s="14">
        <v>2850</v>
      </c>
      <c r="K16" s="15">
        <f>L16+1032</f>
        <v>3877</v>
      </c>
      <c r="L16" s="15">
        <f>407+2438</f>
        <v>2845</v>
      </c>
      <c r="M16" s="16">
        <f t="shared" ref="M16" si="10">L16-N16</f>
        <v>2845</v>
      </c>
      <c r="N16" s="16">
        <v>0</v>
      </c>
      <c r="O16" s="62">
        <f t="shared" ref="O16" si="11">IF(L16=0,"0",N16/L16)</f>
        <v>0</v>
      </c>
      <c r="P16" s="42">
        <f t="shared" ref="P16" si="12">IF(L16=0,"0",(24-Q16))</f>
        <v>16</v>
      </c>
      <c r="Q16" s="43">
        <f t="shared" ref="Q16" si="13">SUM(R16:AA16)</f>
        <v>8</v>
      </c>
      <c r="R16" s="7"/>
      <c r="S16" s="6"/>
      <c r="T16" s="17"/>
      <c r="U16" s="17"/>
      <c r="V16" s="18"/>
      <c r="W16" s="19">
        <v>8</v>
      </c>
      <c r="X16" s="17"/>
      <c r="Y16" s="20"/>
      <c r="Z16" s="20"/>
      <c r="AA16" s="21"/>
      <c r="AB16" s="8">
        <f t="shared" ref="AB16" si="14">IF(J16=0,"0",(L16/J16))</f>
        <v>0.99824561403508771</v>
      </c>
      <c r="AC16" s="9">
        <f t="shared" ref="AC16" si="15">IF(P16=0,"0",(P16/24))</f>
        <v>0.66666666666666663</v>
      </c>
      <c r="AD16" s="10">
        <f t="shared" ref="AD16" si="16">AC16*AB16*(1-O16)</f>
        <v>0.66549707602339181</v>
      </c>
      <c r="AE16" s="39">
        <f t="shared" si="7"/>
        <v>0.31050403733011006</v>
      </c>
      <c r="AF16" s="94">
        <f t="shared" ref="AF16" si="17">A16</f>
        <v>10</v>
      </c>
    </row>
    <row r="17" spans="1:36" ht="27.75" customHeight="1">
      <c r="A17" s="109">
        <v>11</v>
      </c>
      <c r="B17" s="11" t="s">
        <v>59</v>
      </c>
      <c r="C17" s="11" t="s">
        <v>239</v>
      </c>
      <c r="D17" s="55" t="s">
        <v>627</v>
      </c>
      <c r="E17" s="56" t="s">
        <v>628</v>
      </c>
      <c r="F17" s="12">
        <v>7301</v>
      </c>
      <c r="G17" s="36">
        <v>2</v>
      </c>
      <c r="H17" s="38">
        <v>25</v>
      </c>
      <c r="I17" s="7">
        <v>10000</v>
      </c>
      <c r="J17" s="14">
        <v>11490</v>
      </c>
      <c r="K17" s="15">
        <f>L17</f>
        <v>11488</v>
      </c>
      <c r="L17" s="15">
        <f>2928*2+2816*2</f>
        <v>11488</v>
      </c>
      <c r="M17" s="16">
        <f t="shared" si="0"/>
        <v>11488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0.99982593559617061</v>
      </c>
      <c r="AC17" s="9">
        <f t="shared" si="5"/>
        <v>1</v>
      </c>
      <c r="AD17" s="10">
        <f t="shared" si="6"/>
        <v>0.99982593559617061</v>
      </c>
      <c r="AE17" s="39">
        <f t="shared" si="7"/>
        <v>0.31050403733011006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59</v>
      </c>
      <c r="C18" s="37" t="s">
        <v>119</v>
      </c>
      <c r="D18" s="55" t="s">
        <v>153</v>
      </c>
      <c r="E18" s="56" t="s">
        <v>157</v>
      </c>
      <c r="F18" s="12">
        <v>8301</v>
      </c>
      <c r="G18" s="12">
        <v>1</v>
      </c>
      <c r="H18" s="13">
        <v>25</v>
      </c>
      <c r="I18" s="34">
        <v>800</v>
      </c>
      <c r="J18" s="5">
        <v>1441</v>
      </c>
      <c r="K18" s="15">
        <f>L18+1441</f>
        <v>1441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>
        <v>24</v>
      </c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0.31050403733011006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629</v>
      </c>
      <c r="D19" s="55" t="s">
        <v>630</v>
      </c>
      <c r="E19" s="57" t="s">
        <v>631</v>
      </c>
      <c r="F19" s="12">
        <v>7301</v>
      </c>
      <c r="G19" s="12">
        <v>1</v>
      </c>
      <c r="H19" s="13">
        <v>25</v>
      </c>
      <c r="I19" s="34">
        <v>1000</v>
      </c>
      <c r="J19" s="5">
        <v>1070</v>
      </c>
      <c r="K19" s="15">
        <f>L19</f>
        <v>1068</v>
      </c>
      <c r="L19" s="15">
        <v>1068</v>
      </c>
      <c r="M19" s="16">
        <f t="shared" si="0"/>
        <v>1068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/>
      <c r="T19" s="17"/>
      <c r="U19" s="17"/>
      <c r="V19" s="18"/>
      <c r="W19" s="19">
        <v>14</v>
      </c>
      <c r="X19" s="17"/>
      <c r="Y19" s="20"/>
      <c r="Z19" s="20"/>
      <c r="AA19" s="21"/>
      <c r="AB19" s="8">
        <f t="shared" si="4"/>
        <v>0.9981308411214953</v>
      </c>
      <c r="AC19" s="9">
        <f t="shared" si="5"/>
        <v>0.41666666666666669</v>
      </c>
      <c r="AD19" s="10">
        <f t="shared" si="6"/>
        <v>0.41588785046728971</v>
      </c>
      <c r="AE19" s="39">
        <f t="shared" si="7"/>
        <v>0.31050403733011006</v>
      </c>
      <c r="AF19" s="94">
        <f t="shared" si="8"/>
        <v>13</v>
      </c>
    </row>
    <row r="20" spans="1:36" ht="27" customHeight="1">
      <c r="A20" s="110">
        <v>14</v>
      </c>
      <c r="B20" s="11" t="s">
        <v>59</v>
      </c>
      <c r="C20" s="37" t="s">
        <v>120</v>
      </c>
      <c r="D20" s="55" t="s">
        <v>167</v>
      </c>
      <c r="E20" s="57" t="s">
        <v>340</v>
      </c>
      <c r="F20" s="33" t="s">
        <v>338</v>
      </c>
      <c r="G20" s="36">
        <v>1</v>
      </c>
      <c r="H20" s="38">
        <v>25</v>
      </c>
      <c r="I20" s="7">
        <v>10000</v>
      </c>
      <c r="J20" s="5">
        <v>4080</v>
      </c>
      <c r="K20" s="15">
        <f>L20+2215+4087+4507+5234+403+4077</f>
        <v>20523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0.31050403733011006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117</v>
      </c>
      <c r="D21" s="55"/>
      <c r="E21" s="56" t="s">
        <v>172</v>
      </c>
      <c r="F21" s="12" t="s">
        <v>118</v>
      </c>
      <c r="G21" s="12">
        <v>4</v>
      </c>
      <c r="H21" s="38">
        <v>20</v>
      </c>
      <c r="I21" s="7">
        <v>200000</v>
      </c>
      <c r="J21" s="14">
        <v>16170</v>
      </c>
      <c r="K21" s="15">
        <f>L21+51172+67944+16164</f>
        <v>135280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0.31050403733011006</v>
      </c>
      <c r="AF21" s="94">
        <f t="shared" si="8"/>
        <v>15</v>
      </c>
    </row>
    <row r="22" spans="1:36" ht="31.5" customHeight="1" thickBot="1">
      <c r="A22" s="382" t="s">
        <v>34</v>
      </c>
      <c r="B22" s="383"/>
      <c r="C22" s="383"/>
      <c r="D22" s="383"/>
      <c r="E22" s="383"/>
      <c r="F22" s="383"/>
      <c r="G22" s="383"/>
      <c r="H22" s="384"/>
      <c r="I22" s="25">
        <f t="shared" ref="I22:N22" si="18">SUM(I6:I21)</f>
        <v>400600</v>
      </c>
      <c r="J22" s="22">
        <f t="shared" si="18"/>
        <v>63081</v>
      </c>
      <c r="K22" s="23">
        <f t="shared" si="18"/>
        <v>315544</v>
      </c>
      <c r="L22" s="24">
        <f t="shared" si="18"/>
        <v>32892</v>
      </c>
      <c r="M22" s="23">
        <f t="shared" si="18"/>
        <v>32892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112</v>
      </c>
      <c r="Q22" s="46">
        <f t="shared" si="19"/>
        <v>272</v>
      </c>
      <c r="R22" s="26">
        <f t="shared" si="19"/>
        <v>48</v>
      </c>
      <c r="S22" s="27">
        <f t="shared" si="19"/>
        <v>90</v>
      </c>
      <c r="T22" s="27">
        <f t="shared" si="19"/>
        <v>0</v>
      </c>
      <c r="U22" s="27">
        <f t="shared" si="19"/>
        <v>0</v>
      </c>
      <c r="V22" s="28">
        <f t="shared" si="19"/>
        <v>40</v>
      </c>
      <c r="W22" s="29">
        <f t="shared" si="19"/>
        <v>94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0.59822933448604643</v>
      </c>
      <c r="AC22" s="4">
        <f>SUM(AC6:AC21)/15</f>
        <v>0.31111111111111112</v>
      </c>
      <c r="AD22" s="4">
        <f>SUM(AD6:AD21)/15</f>
        <v>0.31050403733011006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5" t="s">
        <v>46</v>
      </c>
      <c r="B49" s="385"/>
      <c r="C49" s="385"/>
      <c r="D49" s="385"/>
      <c r="E49" s="38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86" t="s">
        <v>632</v>
      </c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8"/>
      <c r="N50" s="389" t="s">
        <v>640</v>
      </c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  <c r="AA50" s="390"/>
      <c r="AB50" s="390"/>
      <c r="AC50" s="390"/>
      <c r="AD50" s="391"/>
    </row>
    <row r="51" spans="1:32" ht="27" customHeight="1">
      <c r="A51" s="392" t="s">
        <v>2</v>
      </c>
      <c r="B51" s="393"/>
      <c r="C51" s="248" t="s">
        <v>47</v>
      </c>
      <c r="D51" s="248" t="s">
        <v>48</v>
      </c>
      <c r="E51" s="248" t="s">
        <v>111</v>
      </c>
      <c r="F51" s="393" t="s">
        <v>110</v>
      </c>
      <c r="G51" s="393"/>
      <c r="H51" s="393"/>
      <c r="I51" s="393"/>
      <c r="J51" s="393"/>
      <c r="K51" s="393"/>
      <c r="L51" s="393"/>
      <c r="M51" s="394"/>
      <c r="N51" s="73" t="s">
        <v>115</v>
      </c>
      <c r="O51" s="248" t="s">
        <v>47</v>
      </c>
      <c r="P51" s="395" t="s">
        <v>48</v>
      </c>
      <c r="Q51" s="396"/>
      <c r="R51" s="395" t="s">
        <v>39</v>
      </c>
      <c r="S51" s="397"/>
      <c r="T51" s="397"/>
      <c r="U51" s="396"/>
      <c r="V51" s="395" t="s">
        <v>49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09" t="s">
        <v>119</v>
      </c>
      <c r="B52" s="410"/>
      <c r="C52" s="250" t="s">
        <v>390</v>
      </c>
      <c r="D52" s="250" t="s">
        <v>123</v>
      </c>
      <c r="E52" s="253" t="s">
        <v>204</v>
      </c>
      <c r="F52" s="411" t="s">
        <v>639</v>
      </c>
      <c r="G52" s="411"/>
      <c r="H52" s="411"/>
      <c r="I52" s="411"/>
      <c r="J52" s="411"/>
      <c r="K52" s="411"/>
      <c r="L52" s="411"/>
      <c r="M52" s="412"/>
      <c r="N52" s="249" t="s">
        <v>239</v>
      </c>
      <c r="O52" s="74" t="s">
        <v>508</v>
      </c>
      <c r="P52" s="413" t="s">
        <v>509</v>
      </c>
      <c r="Q52" s="414"/>
      <c r="R52" s="410" t="s">
        <v>510</v>
      </c>
      <c r="S52" s="410"/>
      <c r="T52" s="410"/>
      <c r="U52" s="410"/>
      <c r="V52" s="411" t="s">
        <v>424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239</v>
      </c>
      <c r="B53" s="410"/>
      <c r="C53" s="250" t="s">
        <v>260</v>
      </c>
      <c r="D53" s="250" t="s">
        <v>455</v>
      </c>
      <c r="E53" s="253" t="s">
        <v>314</v>
      </c>
      <c r="F53" s="411" t="s">
        <v>633</v>
      </c>
      <c r="G53" s="411"/>
      <c r="H53" s="411"/>
      <c r="I53" s="411"/>
      <c r="J53" s="411"/>
      <c r="K53" s="411"/>
      <c r="L53" s="411"/>
      <c r="M53" s="412"/>
      <c r="N53" s="249" t="s">
        <v>119</v>
      </c>
      <c r="O53" s="74" t="s">
        <v>614</v>
      </c>
      <c r="P53" s="413" t="s">
        <v>589</v>
      </c>
      <c r="Q53" s="414"/>
      <c r="R53" s="410" t="s">
        <v>641</v>
      </c>
      <c r="S53" s="410"/>
      <c r="T53" s="410"/>
      <c r="U53" s="410"/>
      <c r="V53" s="411" t="s">
        <v>645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239</v>
      </c>
      <c r="B54" s="410"/>
      <c r="C54" s="250" t="s">
        <v>634</v>
      </c>
      <c r="D54" s="250" t="s">
        <v>635</v>
      </c>
      <c r="E54" s="253" t="s">
        <v>636</v>
      </c>
      <c r="F54" s="411" t="s">
        <v>262</v>
      </c>
      <c r="G54" s="411"/>
      <c r="H54" s="411"/>
      <c r="I54" s="411"/>
      <c r="J54" s="411"/>
      <c r="K54" s="411"/>
      <c r="L54" s="411"/>
      <c r="M54" s="412"/>
      <c r="N54" s="249" t="s">
        <v>119</v>
      </c>
      <c r="O54" s="74" t="s">
        <v>147</v>
      </c>
      <c r="P54" s="413" t="s">
        <v>589</v>
      </c>
      <c r="Q54" s="414"/>
      <c r="R54" s="410" t="s">
        <v>646</v>
      </c>
      <c r="S54" s="410"/>
      <c r="T54" s="410"/>
      <c r="U54" s="410"/>
      <c r="V54" s="411" t="s">
        <v>645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620</v>
      </c>
      <c r="B55" s="410"/>
      <c r="C55" s="250" t="s">
        <v>638</v>
      </c>
      <c r="D55" s="250"/>
      <c r="E55" s="253" t="s">
        <v>637</v>
      </c>
      <c r="F55" s="411" t="s">
        <v>262</v>
      </c>
      <c r="G55" s="411"/>
      <c r="H55" s="411"/>
      <c r="I55" s="411"/>
      <c r="J55" s="411"/>
      <c r="K55" s="411"/>
      <c r="L55" s="411"/>
      <c r="M55" s="412"/>
      <c r="N55" s="249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119</v>
      </c>
      <c r="B56" s="410"/>
      <c r="C56" s="250" t="s">
        <v>643</v>
      </c>
      <c r="D56" s="250" t="s">
        <v>58</v>
      </c>
      <c r="E56" s="253" t="s">
        <v>642</v>
      </c>
      <c r="F56" s="411" t="s">
        <v>644</v>
      </c>
      <c r="G56" s="411"/>
      <c r="H56" s="411"/>
      <c r="I56" s="411"/>
      <c r="J56" s="411"/>
      <c r="K56" s="411"/>
      <c r="L56" s="411"/>
      <c r="M56" s="412"/>
      <c r="N56" s="249"/>
      <c r="O56" s="74"/>
      <c r="P56" s="413"/>
      <c r="Q56" s="414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 t="s">
        <v>659</v>
      </c>
      <c r="B57" s="410"/>
      <c r="C57" s="250" t="s">
        <v>660</v>
      </c>
      <c r="D57" s="250" t="s">
        <v>621</v>
      </c>
      <c r="E57" s="253" t="s">
        <v>658</v>
      </c>
      <c r="F57" s="411" t="s">
        <v>262</v>
      </c>
      <c r="G57" s="411"/>
      <c r="H57" s="411"/>
      <c r="I57" s="411"/>
      <c r="J57" s="411"/>
      <c r="K57" s="411"/>
      <c r="L57" s="411"/>
      <c r="M57" s="412"/>
      <c r="N57" s="249"/>
      <c r="O57" s="74"/>
      <c r="P57" s="410"/>
      <c r="Q57" s="410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09"/>
      <c r="B58" s="410"/>
      <c r="C58" s="250"/>
      <c r="D58" s="250"/>
      <c r="E58" s="253"/>
      <c r="F58" s="411"/>
      <c r="G58" s="411"/>
      <c r="H58" s="411"/>
      <c r="I58" s="411"/>
      <c r="J58" s="411"/>
      <c r="K58" s="411"/>
      <c r="L58" s="411"/>
      <c r="M58" s="412"/>
      <c r="N58" s="249"/>
      <c r="O58" s="74"/>
      <c r="P58" s="413"/>
      <c r="Q58" s="414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19"/>
      <c r="B59" s="420"/>
      <c r="C59" s="253"/>
      <c r="D59" s="250"/>
      <c r="E59" s="253"/>
      <c r="F59" s="411"/>
      <c r="G59" s="411"/>
      <c r="H59" s="411"/>
      <c r="I59" s="411"/>
      <c r="J59" s="411"/>
      <c r="K59" s="411"/>
      <c r="L59" s="411"/>
      <c r="M59" s="412"/>
      <c r="N59" s="249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</row>
    <row r="60" spans="1:32" ht="27" customHeight="1">
      <c r="A60" s="409"/>
      <c r="B60" s="410"/>
      <c r="C60" s="250"/>
      <c r="D60" s="250"/>
      <c r="E60" s="250"/>
      <c r="F60" s="411"/>
      <c r="G60" s="411"/>
      <c r="H60" s="411"/>
      <c r="I60" s="411"/>
      <c r="J60" s="411"/>
      <c r="K60" s="411"/>
      <c r="L60" s="411"/>
      <c r="M60" s="412"/>
      <c r="N60" s="249"/>
      <c r="O60" s="74"/>
      <c r="P60" s="410"/>
      <c r="Q60" s="410"/>
      <c r="R60" s="410"/>
      <c r="S60" s="410"/>
      <c r="T60" s="410"/>
      <c r="U60" s="410"/>
      <c r="V60" s="411"/>
      <c r="W60" s="411"/>
      <c r="X60" s="411"/>
      <c r="Y60" s="411"/>
      <c r="Z60" s="411"/>
      <c r="AA60" s="411"/>
      <c r="AB60" s="411"/>
      <c r="AC60" s="411"/>
      <c r="AD60" s="412"/>
      <c r="AF60" s="94">
        <f>8*3000</f>
        <v>24000</v>
      </c>
    </row>
    <row r="61" spans="1:32" ht="27" customHeight="1" thickBot="1">
      <c r="A61" s="415"/>
      <c r="B61" s="416"/>
      <c r="C61" s="252"/>
      <c r="D61" s="252"/>
      <c r="E61" s="252"/>
      <c r="F61" s="417"/>
      <c r="G61" s="417"/>
      <c r="H61" s="417"/>
      <c r="I61" s="417"/>
      <c r="J61" s="417"/>
      <c r="K61" s="417"/>
      <c r="L61" s="417"/>
      <c r="M61" s="418"/>
      <c r="N61" s="251"/>
      <c r="O61" s="121"/>
      <c r="P61" s="416"/>
      <c r="Q61" s="416"/>
      <c r="R61" s="416"/>
      <c r="S61" s="416"/>
      <c r="T61" s="416"/>
      <c r="U61" s="416"/>
      <c r="V61" s="417"/>
      <c r="W61" s="417"/>
      <c r="X61" s="417"/>
      <c r="Y61" s="417"/>
      <c r="Z61" s="417"/>
      <c r="AA61" s="417"/>
      <c r="AB61" s="417"/>
      <c r="AC61" s="417"/>
      <c r="AD61" s="418"/>
      <c r="AF61" s="94">
        <f>16*3000</f>
        <v>48000</v>
      </c>
    </row>
    <row r="62" spans="1:32" ht="27.75" thickBot="1">
      <c r="A62" s="421" t="s">
        <v>647</v>
      </c>
      <c r="B62" s="421"/>
      <c r="C62" s="421"/>
      <c r="D62" s="421"/>
      <c r="E62" s="42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2" t="s">
        <v>116</v>
      </c>
      <c r="B63" s="423"/>
      <c r="C63" s="254" t="s">
        <v>2</v>
      </c>
      <c r="D63" s="254" t="s">
        <v>38</v>
      </c>
      <c r="E63" s="254" t="s">
        <v>3</v>
      </c>
      <c r="F63" s="423" t="s">
        <v>113</v>
      </c>
      <c r="G63" s="423"/>
      <c r="H63" s="423"/>
      <c r="I63" s="423"/>
      <c r="J63" s="423"/>
      <c r="K63" s="423" t="s">
        <v>40</v>
      </c>
      <c r="L63" s="423"/>
      <c r="M63" s="254" t="s">
        <v>41</v>
      </c>
      <c r="N63" s="423" t="s">
        <v>42</v>
      </c>
      <c r="O63" s="423"/>
      <c r="P63" s="424" t="s">
        <v>43</v>
      </c>
      <c r="Q63" s="425"/>
      <c r="R63" s="424" t="s">
        <v>44</v>
      </c>
      <c r="S63" s="426"/>
      <c r="T63" s="426"/>
      <c r="U63" s="426"/>
      <c r="V63" s="426"/>
      <c r="W63" s="426"/>
      <c r="X63" s="426"/>
      <c r="Y63" s="426"/>
      <c r="Z63" s="426"/>
      <c r="AA63" s="425"/>
      <c r="AB63" s="423" t="s">
        <v>45</v>
      </c>
      <c r="AC63" s="423"/>
      <c r="AD63" s="427"/>
      <c r="AF63" s="94">
        <f>SUM(AF60:AF62)</f>
        <v>96000</v>
      </c>
    </row>
    <row r="64" spans="1:32" ht="25.5" customHeight="1">
      <c r="A64" s="428">
        <v>1</v>
      </c>
      <c r="B64" s="429"/>
      <c r="C64" s="124" t="s">
        <v>119</v>
      </c>
      <c r="D64" s="257"/>
      <c r="E64" s="255" t="s">
        <v>630</v>
      </c>
      <c r="F64" s="430" t="s">
        <v>648</v>
      </c>
      <c r="G64" s="431"/>
      <c r="H64" s="431"/>
      <c r="I64" s="431"/>
      <c r="J64" s="431"/>
      <c r="K64" s="431" t="s">
        <v>649</v>
      </c>
      <c r="L64" s="431"/>
      <c r="M64" s="54" t="s">
        <v>650</v>
      </c>
      <c r="N64" s="431">
        <v>5</v>
      </c>
      <c r="O64" s="431"/>
      <c r="P64" s="432"/>
      <c r="Q64" s="432"/>
      <c r="R64" s="411" t="s">
        <v>651</v>
      </c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2</v>
      </c>
      <c r="B65" s="429"/>
      <c r="C65" s="124" t="s">
        <v>119</v>
      </c>
      <c r="D65" s="257"/>
      <c r="E65" s="255" t="s">
        <v>653</v>
      </c>
      <c r="F65" s="430" t="s">
        <v>652</v>
      </c>
      <c r="G65" s="431"/>
      <c r="H65" s="431"/>
      <c r="I65" s="431"/>
      <c r="J65" s="431"/>
      <c r="K65" s="431" t="s">
        <v>654</v>
      </c>
      <c r="L65" s="431"/>
      <c r="M65" s="54" t="s">
        <v>650</v>
      </c>
      <c r="N65" s="431">
        <v>6</v>
      </c>
      <c r="O65" s="431"/>
      <c r="P65" s="432">
        <v>50</v>
      </c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3</v>
      </c>
      <c r="B66" s="429"/>
      <c r="C66" s="124" t="s">
        <v>119</v>
      </c>
      <c r="D66" s="257"/>
      <c r="E66" s="255" t="s">
        <v>656</v>
      </c>
      <c r="F66" s="430" t="s">
        <v>655</v>
      </c>
      <c r="G66" s="431"/>
      <c r="H66" s="431"/>
      <c r="I66" s="431"/>
      <c r="J66" s="431"/>
      <c r="K66" s="431" t="s">
        <v>657</v>
      </c>
      <c r="L66" s="431"/>
      <c r="M66" s="54" t="s">
        <v>650</v>
      </c>
      <c r="N66" s="431">
        <v>8</v>
      </c>
      <c r="O66" s="431"/>
      <c r="P66" s="432">
        <v>50</v>
      </c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4</v>
      </c>
      <c r="B67" s="429"/>
      <c r="C67" s="124"/>
      <c r="D67" s="257"/>
      <c r="E67" s="255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5</v>
      </c>
      <c r="B68" s="429"/>
      <c r="C68" s="124"/>
      <c r="D68" s="257"/>
      <c r="E68" s="255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6</v>
      </c>
      <c r="B69" s="429"/>
      <c r="C69" s="124"/>
      <c r="D69" s="257"/>
      <c r="E69" s="255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7</v>
      </c>
      <c r="B70" s="429"/>
      <c r="C70" s="124"/>
      <c r="D70" s="257"/>
      <c r="E70" s="255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5.5" customHeight="1">
      <c r="A71" s="428">
        <v>8</v>
      </c>
      <c r="B71" s="429"/>
      <c r="C71" s="124"/>
      <c r="D71" s="257"/>
      <c r="E71" s="255"/>
      <c r="F71" s="430"/>
      <c r="G71" s="431"/>
      <c r="H71" s="431"/>
      <c r="I71" s="431"/>
      <c r="J71" s="431"/>
      <c r="K71" s="431"/>
      <c r="L71" s="431"/>
      <c r="M71" s="54"/>
      <c r="N71" s="431"/>
      <c r="O71" s="431"/>
      <c r="P71" s="432"/>
      <c r="Q71" s="432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31"/>
      <c r="AC71" s="431"/>
      <c r="AD71" s="433"/>
      <c r="AF71" s="53"/>
    </row>
    <row r="72" spans="1:32" ht="26.25" customHeight="1" thickBot="1">
      <c r="A72" s="434" t="s">
        <v>661</v>
      </c>
      <c r="B72" s="434"/>
      <c r="C72" s="434"/>
      <c r="D72" s="434"/>
      <c r="E72" s="43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35" t="s">
        <v>116</v>
      </c>
      <c r="B73" s="436"/>
      <c r="C73" s="256" t="s">
        <v>2</v>
      </c>
      <c r="D73" s="256" t="s">
        <v>38</v>
      </c>
      <c r="E73" s="256" t="s">
        <v>3</v>
      </c>
      <c r="F73" s="436" t="s">
        <v>39</v>
      </c>
      <c r="G73" s="436"/>
      <c r="H73" s="436"/>
      <c r="I73" s="436"/>
      <c r="J73" s="436"/>
      <c r="K73" s="437" t="s">
        <v>60</v>
      </c>
      <c r="L73" s="438"/>
      <c r="M73" s="438"/>
      <c r="N73" s="438"/>
      <c r="O73" s="438"/>
      <c r="P73" s="438"/>
      <c r="Q73" s="438"/>
      <c r="R73" s="438"/>
      <c r="S73" s="439"/>
      <c r="T73" s="436" t="s">
        <v>50</v>
      </c>
      <c r="U73" s="436"/>
      <c r="V73" s="437" t="s">
        <v>51</v>
      </c>
      <c r="W73" s="439"/>
      <c r="X73" s="438" t="s">
        <v>52</v>
      </c>
      <c r="Y73" s="438"/>
      <c r="Z73" s="438"/>
      <c r="AA73" s="438"/>
      <c r="AB73" s="438"/>
      <c r="AC73" s="438"/>
      <c r="AD73" s="440"/>
      <c r="AF73" s="53"/>
    </row>
    <row r="74" spans="1:32" ht="33.75" customHeight="1">
      <c r="A74" s="449">
        <v>1</v>
      </c>
      <c r="B74" s="450"/>
      <c r="C74" s="258" t="s">
        <v>119</v>
      </c>
      <c r="D74" s="258"/>
      <c r="E74" s="71" t="s">
        <v>127</v>
      </c>
      <c r="F74" s="451" t="s">
        <v>128</v>
      </c>
      <c r="G74" s="452"/>
      <c r="H74" s="452"/>
      <c r="I74" s="452"/>
      <c r="J74" s="453"/>
      <c r="K74" s="454" t="s">
        <v>121</v>
      </c>
      <c r="L74" s="455"/>
      <c r="M74" s="455"/>
      <c r="N74" s="455"/>
      <c r="O74" s="455"/>
      <c r="P74" s="455"/>
      <c r="Q74" s="455"/>
      <c r="R74" s="455"/>
      <c r="S74" s="456"/>
      <c r="T74" s="457">
        <v>42901</v>
      </c>
      <c r="U74" s="458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1">
        <f>A74+1</f>
        <v>2</v>
      </c>
      <c r="B75" s="442"/>
      <c r="C75" s="257" t="s">
        <v>119</v>
      </c>
      <c r="D75" s="257"/>
      <c r="E75" s="35" t="s">
        <v>124</v>
      </c>
      <c r="F75" s="442" t="s">
        <v>125</v>
      </c>
      <c r="G75" s="442"/>
      <c r="H75" s="442"/>
      <c r="I75" s="442"/>
      <c r="J75" s="442"/>
      <c r="K75" s="443" t="s">
        <v>126</v>
      </c>
      <c r="L75" s="444"/>
      <c r="M75" s="444"/>
      <c r="N75" s="444"/>
      <c r="O75" s="444"/>
      <c r="P75" s="444"/>
      <c r="Q75" s="444"/>
      <c r="R75" s="444"/>
      <c r="S75" s="445"/>
      <c r="T75" s="446">
        <v>42867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ref="A76:A82" si="20">A75+1</f>
        <v>3</v>
      </c>
      <c r="B76" s="442"/>
      <c r="C76" s="257" t="s">
        <v>120</v>
      </c>
      <c r="D76" s="257"/>
      <c r="E76" s="35" t="s">
        <v>354</v>
      </c>
      <c r="F76" s="442" t="s">
        <v>474</v>
      </c>
      <c r="G76" s="442"/>
      <c r="H76" s="442"/>
      <c r="I76" s="442"/>
      <c r="J76" s="442"/>
      <c r="K76" s="443" t="s">
        <v>330</v>
      </c>
      <c r="L76" s="444"/>
      <c r="M76" s="444"/>
      <c r="N76" s="444"/>
      <c r="O76" s="444"/>
      <c r="P76" s="444"/>
      <c r="Q76" s="444"/>
      <c r="R76" s="444"/>
      <c r="S76" s="445"/>
      <c r="T76" s="446">
        <v>42921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20"/>
        <v>4</v>
      </c>
      <c r="B77" s="442"/>
      <c r="C77" s="257" t="s">
        <v>292</v>
      </c>
      <c r="D77" s="257"/>
      <c r="E77" s="35" t="s">
        <v>293</v>
      </c>
      <c r="F77" s="442" t="s">
        <v>294</v>
      </c>
      <c r="G77" s="442"/>
      <c r="H77" s="442"/>
      <c r="I77" s="442"/>
      <c r="J77" s="442"/>
      <c r="K77" s="443" t="s">
        <v>331</v>
      </c>
      <c r="L77" s="444"/>
      <c r="M77" s="444"/>
      <c r="N77" s="444"/>
      <c r="O77" s="444"/>
      <c r="P77" s="444"/>
      <c r="Q77" s="444"/>
      <c r="R77" s="444"/>
      <c r="S77" s="445"/>
      <c r="T77" s="446">
        <v>42920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20"/>
        <v>5</v>
      </c>
      <c r="B78" s="442"/>
      <c r="C78" s="257" t="s">
        <v>186</v>
      </c>
      <c r="D78" s="257"/>
      <c r="E78" s="35" t="s">
        <v>455</v>
      </c>
      <c r="F78" s="442" t="s">
        <v>510</v>
      </c>
      <c r="G78" s="442"/>
      <c r="H78" s="442"/>
      <c r="I78" s="442"/>
      <c r="J78" s="442"/>
      <c r="K78" s="443" t="s">
        <v>617</v>
      </c>
      <c r="L78" s="444"/>
      <c r="M78" s="444"/>
      <c r="N78" s="444"/>
      <c r="O78" s="444"/>
      <c r="P78" s="444"/>
      <c r="Q78" s="444"/>
      <c r="R78" s="444"/>
      <c r="S78" s="445"/>
      <c r="T78" s="446">
        <v>42928</v>
      </c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20"/>
        <v>6</v>
      </c>
      <c r="B79" s="442"/>
      <c r="C79" s="257"/>
      <c r="D79" s="257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20"/>
        <v>7</v>
      </c>
      <c r="B80" s="442"/>
      <c r="C80" s="257"/>
      <c r="D80" s="257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20"/>
        <v>8</v>
      </c>
      <c r="B81" s="442"/>
      <c r="C81" s="257"/>
      <c r="D81" s="257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0" customHeight="1">
      <c r="A82" s="441">
        <f t="shared" si="20"/>
        <v>9</v>
      </c>
      <c r="B82" s="442"/>
      <c r="C82" s="257"/>
      <c r="D82" s="257"/>
      <c r="E82" s="35"/>
      <c r="F82" s="442"/>
      <c r="G82" s="442"/>
      <c r="H82" s="442"/>
      <c r="I82" s="442"/>
      <c r="J82" s="442"/>
      <c r="K82" s="443"/>
      <c r="L82" s="444"/>
      <c r="M82" s="444"/>
      <c r="N82" s="444"/>
      <c r="O82" s="444"/>
      <c r="P82" s="444"/>
      <c r="Q82" s="444"/>
      <c r="R82" s="444"/>
      <c r="S82" s="445"/>
      <c r="T82" s="446"/>
      <c r="U82" s="446"/>
      <c r="V82" s="446"/>
      <c r="W82" s="446"/>
      <c r="X82" s="447"/>
      <c r="Y82" s="447"/>
      <c r="Z82" s="447"/>
      <c r="AA82" s="447"/>
      <c r="AB82" s="447"/>
      <c r="AC82" s="447"/>
      <c r="AD82" s="448"/>
      <c r="AF82" s="53"/>
    </row>
    <row r="83" spans="1:32" ht="36" thickBot="1">
      <c r="A83" s="434" t="s">
        <v>662</v>
      </c>
      <c r="B83" s="434"/>
      <c r="C83" s="434"/>
      <c r="D83" s="434"/>
      <c r="E83" s="43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2" t="s">
        <v>37</v>
      </c>
      <c r="B84" s="463"/>
      <c r="C84" s="463" t="s">
        <v>53</v>
      </c>
      <c r="D84" s="463"/>
      <c r="E84" s="463" t="s">
        <v>54</v>
      </c>
      <c r="F84" s="463"/>
      <c r="G84" s="463"/>
      <c r="H84" s="463"/>
      <c r="I84" s="463"/>
      <c r="J84" s="463"/>
      <c r="K84" s="463" t="s">
        <v>55</v>
      </c>
      <c r="L84" s="463"/>
      <c r="M84" s="463"/>
      <c r="N84" s="463"/>
      <c r="O84" s="463"/>
      <c r="P84" s="463"/>
      <c r="Q84" s="463"/>
      <c r="R84" s="463"/>
      <c r="S84" s="463"/>
      <c r="T84" s="463" t="s">
        <v>56</v>
      </c>
      <c r="U84" s="463"/>
      <c r="V84" s="463" t="s">
        <v>57</v>
      </c>
      <c r="W84" s="463"/>
      <c r="X84" s="463"/>
      <c r="Y84" s="463" t="s">
        <v>52</v>
      </c>
      <c r="Z84" s="463"/>
      <c r="AA84" s="463"/>
      <c r="AB84" s="463"/>
      <c r="AC84" s="463"/>
      <c r="AD84" s="464"/>
      <c r="AF84" s="53"/>
    </row>
    <row r="85" spans="1:32" ht="30.75" customHeight="1">
      <c r="A85" s="449">
        <v>1</v>
      </c>
      <c r="B85" s="450"/>
      <c r="C85" s="465">
        <v>1</v>
      </c>
      <c r="D85" s="465"/>
      <c r="E85" s="465" t="s">
        <v>149</v>
      </c>
      <c r="F85" s="465"/>
      <c r="G85" s="465"/>
      <c r="H85" s="465"/>
      <c r="I85" s="465"/>
      <c r="J85" s="465"/>
      <c r="K85" s="465" t="s">
        <v>150</v>
      </c>
      <c r="L85" s="465"/>
      <c r="M85" s="465"/>
      <c r="N85" s="465"/>
      <c r="O85" s="465"/>
      <c r="P85" s="465"/>
      <c r="Q85" s="465"/>
      <c r="R85" s="465"/>
      <c r="S85" s="465"/>
      <c r="T85" s="465" t="s">
        <v>151</v>
      </c>
      <c r="U85" s="465"/>
      <c r="V85" s="466">
        <v>1500000</v>
      </c>
      <c r="W85" s="466"/>
      <c r="X85" s="466"/>
      <c r="Y85" s="467" t="s">
        <v>152</v>
      </c>
      <c r="Z85" s="467"/>
      <c r="AA85" s="467"/>
      <c r="AB85" s="467"/>
      <c r="AC85" s="467"/>
      <c r="AD85" s="468"/>
      <c r="AF85" s="53"/>
    </row>
    <row r="86" spans="1:32" ht="30.75" customHeight="1">
      <c r="A86" s="441">
        <v>2</v>
      </c>
      <c r="B86" s="442"/>
      <c r="C86" s="476">
        <v>10</v>
      </c>
      <c r="D86" s="476"/>
      <c r="E86" s="476" t="s">
        <v>162</v>
      </c>
      <c r="F86" s="476"/>
      <c r="G86" s="476"/>
      <c r="H86" s="476"/>
      <c r="I86" s="476"/>
      <c r="J86" s="476"/>
      <c r="K86" s="476" t="s">
        <v>163</v>
      </c>
      <c r="L86" s="476"/>
      <c r="M86" s="476"/>
      <c r="N86" s="476"/>
      <c r="O86" s="476"/>
      <c r="P86" s="476"/>
      <c r="Q86" s="476"/>
      <c r="R86" s="476"/>
      <c r="S86" s="476"/>
      <c r="T86" s="477" t="s">
        <v>164</v>
      </c>
      <c r="U86" s="477"/>
      <c r="V86" s="478">
        <v>350000</v>
      </c>
      <c r="W86" s="478"/>
      <c r="X86" s="478"/>
      <c r="Y86" s="469" t="s">
        <v>176</v>
      </c>
      <c r="Z86" s="469"/>
      <c r="AA86" s="469"/>
      <c r="AB86" s="469"/>
      <c r="AC86" s="469"/>
      <c r="AD86" s="470"/>
      <c r="AF86" s="53"/>
    </row>
    <row r="87" spans="1:32" ht="30.75" customHeight="1" thickBot="1">
      <c r="A87" s="471">
        <v>3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3"/>
      <c r="W87" s="473"/>
      <c r="X87" s="473"/>
      <c r="Y87" s="474"/>
      <c r="Z87" s="474"/>
      <c r="AA87" s="474"/>
      <c r="AB87" s="474"/>
      <c r="AC87" s="474"/>
      <c r="AD87" s="47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R69" sqref="R69:AA6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3" width="7.625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68" t="s">
        <v>663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6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247" t="s">
        <v>17</v>
      </c>
      <c r="L5" s="247" t="s">
        <v>18</v>
      </c>
      <c r="M5" s="247" t="s">
        <v>19</v>
      </c>
      <c r="N5" s="24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6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0.16331471631589778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585</v>
      </c>
      <c r="D7" s="55" t="s">
        <v>586</v>
      </c>
      <c r="E7" s="56" t="s">
        <v>587</v>
      </c>
      <c r="F7" s="12" t="s">
        <v>588</v>
      </c>
      <c r="G7" s="36">
        <v>3</v>
      </c>
      <c r="H7" s="38">
        <v>25</v>
      </c>
      <c r="I7" s="7">
        <v>20000</v>
      </c>
      <c r="J7" s="14">
        <v>5000</v>
      </c>
      <c r="K7" s="15">
        <f>L7+5220+10106</f>
        <v>20316</v>
      </c>
      <c r="L7" s="15">
        <f>2495*2</f>
        <v>4990</v>
      </c>
      <c r="M7" s="16">
        <f t="shared" si="0"/>
        <v>4990</v>
      </c>
      <c r="N7" s="16">
        <v>0</v>
      </c>
      <c r="O7" s="62">
        <f t="shared" si="1"/>
        <v>0</v>
      </c>
      <c r="P7" s="42">
        <f t="shared" si="2"/>
        <v>11</v>
      </c>
      <c r="Q7" s="43">
        <f t="shared" si="3"/>
        <v>13</v>
      </c>
      <c r="R7" s="7"/>
      <c r="S7" s="6"/>
      <c r="T7" s="17"/>
      <c r="U7" s="17"/>
      <c r="V7" s="18">
        <v>13</v>
      </c>
      <c r="W7" s="19"/>
      <c r="X7" s="17"/>
      <c r="Y7" s="20"/>
      <c r="Z7" s="20"/>
      <c r="AA7" s="21"/>
      <c r="AB7" s="8">
        <f t="shared" si="4"/>
        <v>0.998</v>
      </c>
      <c r="AC7" s="9">
        <f t="shared" si="5"/>
        <v>0.45833333333333331</v>
      </c>
      <c r="AD7" s="10">
        <f t="shared" si="6"/>
        <v>0.45741666666666664</v>
      </c>
      <c r="AE7" s="39">
        <f t="shared" si="7"/>
        <v>0.16331471631589778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664</v>
      </c>
      <c r="F8" s="12" t="s">
        <v>130</v>
      </c>
      <c r="G8" s="36">
        <v>1</v>
      </c>
      <c r="H8" s="38">
        <v>25</v>
      </c>
      <c r="I8" s="7">
        <v>20000</v>
      </c>
      <c r="J8" s="14">
        <v>1140</v>
      </c>
      <c r="K8" s="15">
        <f>L8</f>
        <v>1132</v>
      </c>
      <c r="L8" s="15">
        <f>797+335</f>
        <v>1132</v>
      </c>
      <c r="M8" s="16">
        <f t="shared" si="0"/>
        <v>1132</v>
      </c>
      <c r="N8" s="16">
        <v>0</v>
      </c>
      <c r="O8" s="62">
        <f t="shared" si="1"/>
        <v>0</v>
      </c>
      <c r="P8" s="42">
        <f t="shared" si="2"/>
        <v>8</v>
      </c>
      <c r="Q8" s="43">
        <f t="shared" si="3"/>
        <v>16</v>
      </c>
      <c r="R8" s="7"/>
      <c r="S8" s="6">
        <v>3</v>
      </c>
      <c r="T8" s="17"/>
      <c r="U8" s="17"/>
      <c r="V8" s="18">
        <v>13</v>
      </c>
      <c r="W8" s="19"/>
      <c r="X8" s="17"/>
      <c r="Y8" s="20"/>
      <c r="Z8" s="20"/>
      <c r="AA8" s="21"/>
      <c r="AB8" s="8">
        <f t="shared" si="4"/>
        <v>0.99298245614035086</v>
      </c>
      <c r="AC8" s="9">
        <f t="shared" si="5"/>
        <v>0.33333333333333331</v>
      </c>
      <c r="AD8" s="10">
        <f t="shared" si="6"/>
        <v>0.33099415204678362</v>
      </c>
      <c r="AE8" s="39">
        <f t="shared" si="7"/>
        <v>0.16331471631589778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186</v>
      </c>
      <c r="D9" s="55" t="s">
        <v>334</v>
      </c>
      <c r="E9" s="57" t="s">
        <v>335</v>
      </c>
      <c r="F9" s="12" t="s">
        <v>336</v>
      </c>
      <c r="G9" s="12">
        <v>1</v>
      </c>
      <c r="H9" s="13">
        <v>25</v>
      </c>
      <c r="I9" s="34">
        <v>6000</v>
      </c>
      <c r="J9" s="5">
        <v>1130</v>
      </c>
      <c r="K9" s="15">
        <f>L9+4873+2928+2688+509+2114</f>
        <v>14234</v>
      </c>
      <c r="L9" s="15">
        <f>1122</f>
        <v>1122</v>
      </c>
      <c r="M9" s="16">
        <f t="shared" si="0"/>
        <v>1122</v>
      </c>
      <c r="N9" s="16">
        <v>0</v>
      </c>
      <c r="O9" s="62">
        <f t="shared" si="1"/>
        <v>0</v>
      </c>
      <c r="P9" s="42">
        <f t="shared" si="2"/>
        <v>9</v>
      </c>
      <c r="Q9" s="43">
        <f t="shared" si="3"/>
        <v>15</v>
      </c>
      <c r="R9" s="7"/>
      <c r="S9" s="6">
        <v>15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0.99292035398230083</v>
      </c>
      <c r="AC9" s="9">
        <f t="shared" si="5"/>
        <v>0.375</v>
      </c>
      <c r="AD9" s="10">
        <f t="shared" si="6"/>
        <v>0.37234513274336278</v>
      </c>
      <c r="AE9" s="39">
        <f t="shared" si="7"/>
        <v>0.16331471631589778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620</v>
      </c>
      <c r="D10" s="55" t="s">
        <v>621</v>
      </c>
      <c r="E10" s="57" t="s">
        <v>622</v>
      </c>
      <c r="F10" s="12" t="s">
        <v>623</v>
      </c>
      <c r="G10" s="12">
        <v>1</v>
      </c>
      <c r="H10" s="13">
        <v>25</v>
      </c>
      <c r="I10" s="34">
        <v>1800</v>
      </c>
      <c r="J10" s="14">
        <v>1040</v>
      </c>
      <c r="K10" s="15">
        <f>L10+1032</f>
        <v>1032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0.16331471631589778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119</v>
      </c>
      <c r="D11" s="55" t="s">
        <v>122</v>
      </c>
      <c r="E11" s="57" t="s">
        <v>199</v>
      </c>
      <c r="F11" s="12" t="s">
        <v>451</v>
      </c>
      <c r="G11" s="12">
        <v>1</v>
      </c>
      <c r="H11" s="13">
        <v>25</v>
      </c>
      <c r="I11" s="34">
        <v>4000</v>
      </c>
      <c r="J11" s="14">
        <v>950</v>
      </c>
      <c r="K11" s="15">
        <f>L11+947</f>
        <v>947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0.16331471631589778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1800</v>
      </c>
      <c r="K12" s="15">
        <f>L12+3669+4855+2235+2780+2059+3271+4852+4899+2834+4120+5019+3677+4074+3799+831</f>
        <v>54771</v>
      </c>
      <c r="L12" s="15">
        <f>1408+389</f>
        <v>1797</v>
      </c>
      <c r="M12" s="16">
        <f t="shared" si="0"/>
        <v>1797</v>
      </c>
      <c r="N12" s="16">
        <v>0</v>
      </c>
      <c r="O12" s="62">
        <f t="shared" si="1"/>
        <v>0</v>
      </c>
      <c r="P12" s="42">
        <f t="shared" si="2"/>
        <v>11</v>
      </c>
      <c r="Q12" s="43">
        <f t="shared" si="3"/>
        <v>13</v>
      </c>
      <c r="R12" s="7"/>
      <c r="S12" s="6"/>
      <c r="T12" s="17"/>
      <c r="U12" s="17"/>
      <c r="V12" s="18">
        <v>13</v>
      </c>
      <c r="W12" s="19"/>
      <c r="X12" s="17"/>
      <c r="Y12" s="20"/>
      <c r="Z12" s="20"/>
      <c r="AA12" s="21"/>
      <c r="AB12" s="8">
        <f t="shared" si="4"/>
        <v>0.99833333333333329</v>
      </c>
      <c r="AC12" s="9">
        <f t="shared" si="5"/>
        <v>0.45833333333333331</v>
      </c>
      <c r="AD12" s="10">
        <f t="shared" si="6"/>
        <v>0.45756944444444442</v>
      </c>
      <c r="AE12" s="39">
        <f t="shared" si="7"/>
        <v>0.16331471631589778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120</v>
      </c>
      <c r="D13" s="55" t="s">
        <v>482</v>
      </c>
      <c r="E13" s="57" t="s">
        <v>476</v>
      </c>
      <c r="F13" s="12" t="s">
        <v>252</v>
      </c>
      <c r="G13" s="12">
        <v>1</v>
      </c>
      <c r="H13" s="13">
        <v>35</v>
      </c>
      <c r="I13" s="7">
        <v>7000</v>
      </c>
      <c r="J13" s="14">
        <v>5130</v>
      </c>
      <c r="K13" s="15">
        <f>L13+2502+5636+5127</f>
        <v>13265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0.16331471631589778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119</v>
      </c>
      <c r="D14" s="55" t="s">
        <v>624</v>
      </c>
      <c r="E14" s="57" t="s">
        <v>625</v>
      </c>
      <c r="F14" s="33" t="s">
        <v>626</v>
      </c>
      <c r="G14" s="36">
        <v>1</v>
      </c>
      <c r="H14" s="38">
        <v>40</v>
      </c>
      <c r="I14" s="7">
        <v>1200</v>
      </c>
      <c r="J14" s="5">
        <v>860</v>
      </c>
      <c r="K14" s="15">
        <f>L14</f>
        <v>856</v>
      </c>
      <c r="L14" s="15">
        <f>856</f>
        <v>856</v>
      </c>
      <c r="M14" s="16">
        <f t="shared" si="0"/>
        <v>856</v>
      </c>
      <c r="N14" s="16">
        <v>0</v>
      </c>
      <c r="O14" s="62">
        <f t="shared" ref="O14" si="10">IF(L14=0,"0",N14/L14)</f>
        <v>0</v>
      </c>
      <c r="P14" s="42">
        <f t="shared" ref="P14" si="11">IF(L14=0,"0",(24-Q14))</f>
        <v>10</v>
      </c>
      <c r="Q14" s="43">
        <f t="shared" ref="Q14" si="12">SUM(R14:AA14)</f>
        <v>14</v>
      </c>
      <c r="R14" s="7"/>
      <c r="S14" s="6"/>
      <c r="T14" s="17"/>
      <c r="U14" s="17"/>
      <c r="V14" s="18"/>
      <c r="W14" s="19">
        <v>14</v>
      </c>
      <c r="X14" s="17"/>
      <c r="Y14" s="20"/>
      <c r="Z14" s="20"/>
      <c r="AA14" s="21"/>
      <c r="AB14" s="8">
        <f t="shared" ref="AB14" si="13">IF(J14=0,"0",(L14/J14))</f>
        <v>0.99534883720930234</v>
      </c>
      <c r="AC14" s="9">
        <f t="shared" ref="AC14" si="14">IF(P14=0,"0",(P14/24))</f>
        <v>0.41666666666666669</v>
      </c>
      <c r="AD14" s="10">
        <f t="shared" ref="AD14" si="15">AC14*AB14*(1-O14)</f>
        <v>0.41472868217054265</v>
      </c>
      <c r="AE14" s="39">
        <f t="shared" si="7"/>
        <v>0.16331471631589778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620</v>
      </c>
      <c r="D15" s="55" t="s">
        <v>621</v>
      </c>
      <c r="E15" s="57" t="s">
        <v>622</v>
      </c>
      <c r="F15" s="12" t="s">
        <v>623</v>
      </c>
      <c r="G15" s="12">
        <v>1</v>
      </c>
      <c r="H15" s="13">
        <v>25</v>
      </c>
      <c r="I15" s="34">
        <v>1800</v>
      </c>
      <c r="J15" s="14">
        <v>2850</v>
      </c>
      <c r="K15" s="15">
        <f>L15+1032+2845</f>
        <v>3877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8</v>
      </c>
      <c r="R15" s="7"/>
      <c r="S15" s="6"/>
      <c r="T15" s="17"/>
      <c r="U15" s="17"/>
      <c r="V15" s="18"/>
      <c r="W15" s="19">
        <v>8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0.16331471631589778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239</v>
      </c>
      <c r="D16" s="55" t="s">
        <v>665</v>
      </c>
      <c r="E16" s="56" t="s">
        <v>636</v>
      </c>
      <c r="F16" s="12" t="s">
        <v>666</v>
      </c>
      <c r="G16" s="36">
        <v>2</v>
      </c>
      <c r="H16" s="38">
        <v>25</v>
      </c>
      <c r="I16" s="7">
        <v>500</v>
      </c>
      <c r="J16" s="14">
        <v>2000</v>
      </c>
      <c r="K16" s="15">
        <f>L16</f>
        <v>2000</v>
      </c>
      <c r="L16" s="15">
        <v>2000</v>
      </c>
      <c r="M16" s="16">
        <f t="shared" si="0"/>
        <v>2000</v>
      </c>
      <c r="N16" s="16">
        <v>0</v>
      </c>
      <c r="O16" s="62">
        <f t="shared" si="1"/>
        <v>0</v>
      </c>
      <c r="P16" s="42">
        <f t="shared" si="2"/>
        <v>10</v>
      </c>
      <c r="Q16" s="43">
        <f t="shared" si="3"/>
        <v>14</v>
      </c>
      <c r="R16" s="7"/>
      <c r="S16" s="6"/>
      <c r="T16" s="17"/>
      <c r="U16" s="17"/>
      <c r="V16" s="18"/>
      <c r="W16" s="19">
        <v>14</v>
      </c>
      <c r="X16" s="17"/>
      <c r="Y16" s="20"/>
      <c r="Z16" s="20"/>
      <c r="AA16" s="21"/>
      <c r="AB16" s="8">
        <f t="shared" si="4"/>
        <v>1</v>
      </c>
      <c r="AC16" s="9">
        <f t="shared" si="5"/>
        <v>0.41666666666666669</v>
      </c>
      <c r="AD16" s="10">
        <f t="shared" si="6"/>
        <v>0.41666666666666669</v>
      </c>
      <c r="AE16" s="39">
        <f t="shared" si="7"/>
        <v>0.16331471631589778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0.16331471631589778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629</v>
      </c>
      <c r="D18" s="55" t="s">
        <v>630</v>
      </c>
      <c r="E18" s="57" t="s">
        <v>631</v>
      </c>
      <c r="F18" s="12">
        <v>7301</v>
      </c>
      <c r="G18" s="12">
        <v>1</v>
      </c>
      <c r="H18" s="13">
        <v>25</v>
      </c>
      <c r="I18" s="34">
        <v>1000</v>
      </c>
      <c r="J18" s="5">
        <v>1070</v>
      </c>
      <c r="K18" s="15">
        <f>L18+1068</f>
        <v>1068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0.16331471631589778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167</v>
      </c>
      <c r="E19" s="57" t="s">
        <v>340</v>
      </c>
      <c r="F19" s="33" t="s">
        <v>338</v>
      </c>
      <c r="G19" s="36">
        <v>1</v>
      </c>
      <c r="H19" s="38">
        <v>25</v>
      </c>
      <c r="I19" s="7">
        <v>10000</v>
      </c>
      <c r="J19" s="5">
        <v>4080</v>
      </c>
      <c r="K19" s="15">
        <f>L19+2215+4087+4507+5234+403+4077</f>
        <v>20523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0.16331471631589778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172</v>
      </c>
      <c r="F20" s="12" t="s">
        <v>118</v>
      </c>
      <c r="G20" s="12">
        <v>4</v>
      </c>
      <c r="H20" s="38">
        <v>20</v>
      </c>
      <c r="I20" s="7">
        <v>200000</v>
      </c>
      <c r="J20" s="14">
        <v>16170</v>
      </c>
      <c r="K20" s="15">
        <f>L20+51172+67944+16164</f>
        <v>135280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0.16331471631589778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6">SUM(I6:I20)</f>
        <v>321100</v>
      </c>
      <c r="J21" s="22">
        <f t="shared" si="16"/>
        <v>46631</v>
      </c>
      <c r="K21" s="23">
        <f t="shared" si="16"/>
        <v>272704</v>
      </c>
      <c r="L21" s="24">
        <f t="shared" si="16"/>
        <v>11897</v>
      </c>
      <c r="M21" s="23">
        <f t="shared" si="16"/>
        <v>11897</v>
      </c>
      <c r="N21" s="24">
        <f t="shared" si="16"/>
        <v>0</v>
      </c>
      <c r="O21" s="44">
        <f t="shared" si="1"/>
        <v>0</v>
      </c>
      <c r="P21" s="45">
        <f t="shared" ref="P21:AA21" si="17">SUM(P6:P20)</f>
        <v>59</v>
      </c>
      <c r="Q21" s="46">
        <f t="shared" si="17"/>
        <v>285</v>
      </c>
      <c r="R21" s="26">
        <f t="shared" si="17"/>
        <v>48</v>
      </c>
      <c r="S21" s="27">
        <f t="shared" si="17"/>
        <v>18</v>
      </c>
      <c r="T21" s="27">
        <f t="shared" si="17"/>
        <v>0</v>
      </c>
      <c r="U21" s="27">
        <f t="shared" si="17"/>
        <v>0</v>
      </c>
      <c r="V21" s="28">
        <f t="shared" si="17"/>
        <v>39</v>
      </c>
      <c r="W21" s="29">
        <f t="shared" si="17"/>
        <v>180</v>
      </c>
      <c r="X21" s="30">
        <f t="shared" si="17"/>
        <v>0</v>
      </c>
      <c r="Y21" s="30">
        <f t="shared" si="17"/>
        <v>0</v>
      </c>
      <c r="Z21" s="30">
        <f t="shared" si="17"/>
        <v>0</v>
      </c>
      <c r="AA21" s="30">
        <f t="shared" si="17"/>
        <v>0</v>
      </c>
      <c r="AB21" s="31">
        <f>SUM(AB6:AB20)/15</f>
        <v>0.39850566537768584</v>
      </c>
      <c r="AC21" s="4">
        <f>SUM(AC6:AC20)/15</f>
        <v>0.16388888888888886</v>
      </c>
      <c r="AD21" s="4">
        <f>SUM(AD6:AD20)/15</f>
        <v>0.16331471631589778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667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668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248" t="s">
        <v>47</v>
      </c>
      <c r="D50" s="248" t="s">
        <v>48</v>
      </c>
      <c r="E50" s="248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248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119</v>
      </c>
      <c r="B51" s="410"/>
      <c r="C51" s="250" t="s">
        <v>390</v>
      </c>
      <c r="D51" s="250" t="s">
        <v>123</v>
      </c>
      <c r="E51" s="253" t="s">
        <v>204</v>
      </c>
      <c r="F51" s="411" t="s">
        <v>645</v>
      </c>
      <c r="G51" s="411"/>
      <c r="H51" s="411"/>
      <c r="I51" s="411"/>
      <c r="J51" s="411"/>
      <c r="K51" s="411"/>
      <c r="L51" s="411"/>
      <c r="M51" s="412"/>
      <c r="N51" s="249" t="s">
        <v>239</v>
      </c>
      <c r="O51" s="74" t="s">
        <v>508</v>
      </c>
      <c r="P51" s="413" t="s">
        <v>509</v>
      </c>
      <c r="Q51" s="414"/>
      <c r="R51" s="410" t="s">
        <v>510</v>
      </c>
      <c r="S51" s="410"/>
      <c r="T51" s="410"/>
      <c r="U51" s="410"/>
      <c r="V51" s="411" t="s">
        <v>424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239</v>
      </c>
      <c r="B52" s="410"/>
      <c r="C52" s="250" t="s">
        <v>260</v>
      </c>
      <c r="D52" s="250" t="s">
        <v>455</v>
      </c>
      <c r="E52" s="253" t="s">
        <v>314</v>
      </c>
      <c r="F52" s="411" t="s">
        <v>669</v>
      </c>
      <c r="G52" s="411"/>
      <c r="H52" s="411"/>
      <c r="I52" s="411"/>
      <c r="J52" s="411"/>
      <c r="K52" s="411"/>
      <c r="L52" s="411"/>
      <c r="M52" s="412"/>
      <c r="N52" s="249" t="s">
        <v>119</v>
      </c>
      <c r="O52" s="74" t="s">
        <v>147</v>
      </c>
      <c r="P52" s="413" t="s">
        <v>589</v>
      </c>
      <c r="Q52" s="414"/>
      <c r="R52" s="410" t="s">
        <v>646</v>
      </c>
      <c r="S52" s="410"/>
      <c r="T52" s="410"/>
      <c r="U52" s="410"/>
      <c r="V52" s="411" t="s">
        <v>670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239</v>
      </c>
      <c r="B53" s="410"/>
      <c r="C53" s="250" t="s">
        <v>634</v>
      </c>
      <c r="D53" s="250" t="s">
        <v>635</v>
      </c>
      <c r="E53" s="253" t="s">
        <v>636</v>
      </c>
      <c r="F53" s="411" t="s">
        <v>262</v>
      </c>
      <c r="G53" s="411"/>
      <c r="H53" s="411"/>
      <c r="I53" s="411"/>
      <c r="J53" s="411"/>
      <c r="K53" s="411"/>
      <c r="L53" s="411"/>
      <c r="M53" s="412"/>
      <c r="N53" s="249" t="s">
        <v>119</v>
      </c>
      <c r="O53" s="74" t="s">
        <v>263</v>
      </c>
      <c r="P53" s="413" t="s">
        <v>621</v>
      </c>
      <c r="Q53" s="414"/>
      <c r="R53" s="410" t="s">
        <v>672</v>
      </c>
      <c r="S53" s="410"/>
      <c r="T53" s="410"/>
      <c r="U53" s="410"/>
      <c r="V53" s="411" t="s">
        <v>678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119</v>
      </c>
      <c r="B54" s="410"/>
      <c r="C54" s="250" t="s">
        <v>643</v>
      </c>
      <c r="D54" s="250" t="s">
        <v>58</v>
      </c>
      <c r="E54" s="253" t="s">
        <v>642</v>
      </c>
      <c r="F54" s="411" t="s">
        <v>645</v>
      </c>
      <c r="G54" s="411"/>
      <c r="H54" s="411"/>
      <c r="I54" s="411"/>
      <c r="J54" s="411"/>
      <c r="K54" s="411"/>
      <c r="L54" s="411"/>
      <c r="M54" s="412"/>
      <c r="N54" s="249" t="s">
        <v>119</v>
      </c>
      <c r="O54" s="74" t="s">
        <v>200</v>
      </c>
      <c r="P54" s="413" t="s">
        <v>653</v>
      </c>
      <c r="Q54" s="414"/>
      <c r="R54" s="410" t="s">
        <v>673</v>
      </c>
      <c r="S54" s="410"/>
      <c r="T54" s="410"/>
      <c r="U54" s="410"/>
      <c r="V54" s="411" t="s">
        <v>678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/>
      <c r="B55" s="410"/>
      <c r="C55" s="250"/>
      <c r="D55" s="250"/>
      <c r="E55" s="253"/>
      <c r="F55" s="411"/>
      <c r="G55" s="411"/>
      <c r="H55" s="411"/>
      <c r="I55" s="411"/>
      <c r="J55" s="411"/>
      <c r="K55" s="411"/>
      <c r="L55" s="411"/>
      <c r="M55" s="412"/>
      <c r="N55" s="249" t="s">
        <v>119</v>
      </c>
      <c r="O55" s="74" t="s">
        <v>205</v>
      </c>
      <c r="P55" s="413" t="s">
        <v>656</v>
      </c>
      <c r="Q55" s="414"/>
      <c r="R55" s="410" t="s">
        <v>674</v>
      </c>
      <c r="S55" s="410"/>
      <c r="T55" s="410"/>
      <c r="U55" s="410"/>
      <c r="V55" s="411" t="s">
        <v>678</v>
      </c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/>
      <c r="B56" s="410"/>
      <c r="C56" s="250"/>
      <c r="D56" s="250"/>
      <c r="E56" s="253"/>
      <c r="F56" s="411"/>
      <c r="G56" s="411"/>
      <c r="H56" s="411"/>
      <c r="I56" s="411"/>
      <c r="J56" s="411"/>
      <c r="K56" s="411"/>
      <c r="L56" s="411"/>
      <c r="M56" s="412"/>
      <c r="N56" s="249" t="s">
        <v>119</v>
      </c>
      <c r="O56" s="74" t="s">
        <v>660</v>
      </c>
      <c r="P56" s="410" t="s">
        <v>58</v>
      </c>
      <c r="Q56" s="410"/>
      <c r="R56" s="410" t="s">
        <v>675</v>
      </c>
      <c r="S56" s="410"/>
      <c r="T56" s="410"/>
      <c r="U56" s="410"/>
      <c r="V56" s="411" t="s">
        <v>678</v>
      </c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/>
      <c r="B57" s="410"/>
      <c r="C57" s="250"/>
      <c r="D57" s="250"/>
      <c r="E57" s="253"/>
      <c r="F57" s="411"/>
      <c r="G57" s="411"/>
      <c r="H57" s="411"/>
      <c r="I57" s="411"/>
      <c r="J57" s="411"/>
      <c r="K57" s="411"/>
      <c r="L57" s="411"/>
      <c r="M57" s="412"/>
      <c r="N57" s="249" t="s">
        <v>119</v>
      </c>
      <c r="O57" s="74" t="s">
        <v>671</v>
      </c>
      <c r="P57" s="413" t="s">
        <v>676</v>
      </c>
      <c r="Q57" s="414"/>
      <c r="R57" s="410" t="s">
        <v>677</v>
      </c>
      <c r="S57" s="410"/>
      <c r="T57" s="410"/>
      <c r="U57" s="410"/>
      <c r="V57" s="411" t="s">
        <v>678</v>
      </c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253"/>
      <c r="D58" s="250"/>
      <c r="E58" s="253"/>
      <c r="F58" s="411"/>
      <c r="G58" s="411"/>
      <c r="H58" s="411"/>
      <c r="I58" s="411"/>
      <c r="J58" s="411"/>
      <c r="K58" s="411"/>
      <c r="L58" s="411"/>
      <c r="M58" s="412"/>
      <c r="N58" s="249" t="s">
        <v>620</v>
      </c>
      <c r="O58" s="74" t="s">
        <v>680</v>
      </c>
      <c r="P58" s="410" t="s">
        <v>630</v>
      </c>
      <c r="Q58" s="410"/>
      <c r="R58" s="410"/>
      <c r="S58" s="410"/>
      <c r="T58" s="410"/>
      <c r="U58" s="410"/>
      <c r="V58" s="411" t="s">
        <v>679</v>
      </c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250"/>
      <c r="D59" s="250"/>
      <c r="E59" s="250"/>
      <c r="F59" s="411"/>
      <c r="G59" s="411"/>
      <c r="H59" s="411"/>
      <c r="I59" s="411"/>
      <c r="J59" s="411"/>
      <c r="K59" s="411"/>
      <c r="L59" s="411"/>
      <c r="M59" s="412"/>
      <c r="N59" s="249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252"/>
      <c r="D60" s="252"/>
      <c r="E60" s="252"/>
      <c r="F60" s="417"/>
      <c r="G60" s="417"/>
      <c r="H60" s="417"/>
      <c r="I60" s="417"/>
      <c r="J60" s="417"/>
      <c r="K60" s="417"/>
      <c r="L60" s="417"/>
      <c r="M60" s="418"/>
      <c r="N60" s="251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681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254" t="s">
        <v>2</v>
      </c>
      <c r="D62" s="254" t="s">
        <v>38</v>
      </c>
      <c r="E62" s="254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254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119</v>
      </c>
      <c r="D63" s="257"/>
      <c r="E63" s="255" t="s">
        <v>630</v>
      </c>
      <c r="F63" s="430" t="s">
        <v>648</v>
      </c>
      <c r="G63" s="431"/>
      <c r="H63" s="431"/>
      <c r="I63" s="431"/>
      <c r="J63" s="431"/>
      <c r="K63" s="431" t="s">
        <v>683</v>
      </c>
      <c r="L63" s="431"/>
      <c r="M63" s="54" t="s">
        <v>650</v>
      </c>
      <c r="N63" s="431">
        <v>5</v>
      </c>
      <c r="O63" s="431"/>
      <c r="P63" s="432">
        <v>50</v>
      </c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 t="s">
        <v>119</v>
      </c>
      <c r="D64" s="257"/>
      <c r="E64" s="255" t="s">
        <v>653</v>
      </c>
      <c r="F64" s="430" t="s">
        <v>652</v>
      </c>
      <c r="G64" s="431"/>
      <c r="H64" s="431"/>
      <c r="I64" s="431"/>
      <c r="J64" s="431"/>
      <c r="K64" s="431" t="s">
        <v>654</v>
      </c>
      <c r="L64" s="431"/>
      <c r="M64" s="54" t="s">
        <v>650</v>
      </c>
      <c r="N64" s="431">
        <v>6</v>
      </c>
      <c r="O64" s="431"/>
      <c r="P64" s="432">
        <v>50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 t="s">
        <v>119</v>
      </c>
      <c r="D65" s="257"/>
      <c r="E65" s="255" t="s">
        <v>656</v>
      </c>
      <c r="F65" s="430" t="s">
        <v>655</v>
      </c>
      <c r="G65" s="431"/>
      <c r="H65" s="431"/>
      <c r="I65" s="431"/>
      <c r="J65" s="431"/>
      <c r="K65" s="431" t="s">
        <v>657</v>
      </c>
      <c r="L65" s="431"/>
      <c r="M65" s="54" t="s">
        <v>650</v>
      </c>
      <c r="N65" s="431">
        <v>8</v>
      </c>
      <c r="O65" s="431"/>
      <c r="P65" s="432">
        <v>50</v>
      </c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 t="s">
        <v>119</v>
      </c>
      <c r="D66" s="257"/>
      <c r="E66" s="255" t="s">
        <v>676</v>
      </c>
      <c r="F66" s="430" t="s">
        <v>677</v>
      </c>
      <c r="G66" s="431"/>
      <c r="H66" s="431"/>
      <c r="I66" s="431"/>
      <c r="J66" s="431"/>
      <c r="K66" s="431" t="s">
        <v>682</v>
      </c>
      <c r="L66" s="431"/>
      <c r="M66" s="54" t="s">
        <v>650</v>
      </c>
      <c r="N66" s="431">
        <v>14</v>
      </c>
      <c r="O66" s="431"/>
      <c r="P66" s="432">
        <v>50</v>
      </c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 t="s">
        <v>119</v>
      </c>
      <c r="D67" s="257"/>
      <c r="E67" s="255" t="s">
        <v>58</v>
      </c>
      <c r="F67" s="430" t="s">
        <v>675</v>
      </c>
      <c r="G67" s="431"/>
      <c r="H67" s="431"/>
      <c r="I67" s="431"/>
      <c r="J67" s="431"/>
      <c r="K67" s="431" t="s">
        <v>657</v>
      </c>
      <c r="L67" s="431"/>
      <c r="M67" s="54" t="s">
        <v>650</v>
      </c>
      <c r="N67" s="431">
        <v>13</v>
      </c>
      <c r="O67" s="431"/>
      <c r="P67" s="432">
        <v>50</v>
      </c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257"/>
      <c r="E68" s="255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257"/>
      <c r="E69" s="255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257"/>
      <c r="E70" s="255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684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256" t="s">
        <v>2</v>
      </c>
      <c r="D72" s="256" t="s">
        <v>38</v>
      </c>
      <c r="E72" s="256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258" t="s">
        <v>119</v>
      </c>
      <c r="D73" s="258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257" t="s">
        <v>119</v>
      </c>
      <c r="D74" s="257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8">A74+1</f>
        <v>3</v>
      </c>
      <c r="B75" s="442"/>
      <c r="C75" s="257" t="s">
        <v>120</v>
      </c>
      <c r="D75" s="257"/>
      <c r="E75" s="35" t="s">
        <v>354</v>
      </c>
      <c r="F75" s="442" t="s">
        <v>474</v>
      </c>
      <c r="G75" s="442"/>
      <c r="H75" s="442"/>
      <c r="I75" s="442"/>
      <c r="J75" s="442"/>
      <c r="K75" s="443" t="s">
        <v>330</v>
      </c>
      <c r="L75" s="444"/>
      <c r="M75" s="444"/>
      <c r="N75" s="444"/>
      <c r="O75" s="444"/>
      <c r="P75" s="444"/>
      <c r="Q75" s="444"/>
      <c r="R75" s="444"/>
      <c r="S75" s="445"/>
      <c r="T75" s="446">
        <v>42921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8"/>
        <v>4</v>
      </c>
      <c r="B76" s="442"/>
      <c r="C76" s="257" t="s">
        <v>292</v>
      </c>
      <c r="D76" s="257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8"/>
        <v>5</v>
      </c>
      <c r="B77" s="442"/>
      <c r="C77" s="257" t="s">
        <v>186</v>
      </c>
      <c r="D77" s="257"/>
      <c r="E77" s="35" t="s">
        <v>455</v>
      </c>
      <c r="F77" s="442" t="s">
        <v>510</v>
      </c>
      <c r="G77" s="442"/>
      <c r="H77" s="442"/>
      <c r="I77" s="442"/>
      <c r="J77" s="442"/>
      <c r="K77" s="443" t="s">
        <v>617</v>
      </c>
      <c r="L77" s="444"/>
      <c r="M77" s="444"/>
      <c r="N77" s="444"/>
      <c r="O77" s="444"/>
      <c r="P77" s="444"/>
      <c r="Q77" s="444"/>
      <c r="R77" s="444"/>
      <c r="S77" s="445"/>
      <c r="T77" s="446">
        <v>42930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8"/>
        <v>6</v>
      </c>
      <c r="B78" s="442"/>
      <c r="C78" s="257"/>
      <c r="D78" s="257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8"/>
        <v>7</v>
      </c>
      <c r="B79" s="442"/>
      <c r="C79" s="257"/>
      <c r="D79" s="257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8"/>
        <v>8</v>
      </c>
      <c r="B80" s="442"/>
      <c r="C80" s="257"/>
      <c r="D80" s="257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8"/>
        <v>9</v>
      </c>
      <c r="B81" s="442"/>
      <c r="C81" s="257"/>
      <c r="D81" s="257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685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176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56" sqref="F56:M5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3" width="7.625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68" t="s">
        <v>686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6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6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0.52405141446347003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585</v>
      </c>
      <c r="D7" s="55" t="s">
        <v>586</v>
      </c>
      <c r="E7" s="56" t="s">
        <v>587</v>
      </c>
      <c r="F7" s="12" t="s">
        <v>588</v>
      </c>
      <c r="G7" s="36">
        <v>3</v>
      </c>
      <c r="H7" s="38">
        <v>25</v>
      </c>
      <c r="I7" s="7">
        <v>20000</v>
      </c>
      <c r="J7" s="14">
        <v>13430</v>
      </c>
      <c r="K7" s="15">
        <f>L7+5220+10106+4990</f>
        <v>33741</v>
      </c>
      <c r="L7" s="15">
        <f>2676*3+1799*3</f>
        <v>13425</v>
      </c>
      <c r="M7" s="16">
        <f t="shared" si="0"/>
        <v>13425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0.99962769918093819</v>
      </c>
      <c r="AC7" s="9">
        <f t="shared" si="5"/>
        <v>1</v>
      </c>
      <c r="AD7" s="10">
        <f t="shared" si="6"/>
        <v>0.99962769918093819</v>
      </c>
      <c r="AE7" s="39">
        <f t="shared" si="7"/>
        <v>0.52405141446347003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664</v>
      </c>
      <c r="F8" s="12" t="s">
        <v>130</v>
      </c>
      <c r="G8" s="36">
        <v>1</v>
      </c>
      <c r="H8" s="38">
        <v>25</v>
      </c>
      <c r="I8" s="7">
        <v>20000</v>
      </c>
      <c r="J8" s="14">
        <v>4460</v>
      </c>
      <c r="K8" s="15">
        <f>L8+1132</f>
        <v>5592</v>
      </c>
      <c r="L8" s="15">
        <f>2580+1880</f>
        <v>4460</v>
      </c>
      <c r="M8" s="16">
        <f t="shared" si="0"/>
        <v>4460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0.52405141446347003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186</v>
      </c>
      <c r="D9" s="55" t="s">
        <v>687</v>
      </c>
      <c r="E9" s="57" t="s">
        <v>688</v>
      </c>
      <c r="F9" s="12" t="s">
        <v>689</v>
      </c>
      <c r="G9" s="12">
        <v>1</v>
      </c>
      <c r="H9" s="13">
        <v>25</v>
      </c>
      <c r="I9" s="34">
        <v>2500</v>
      </c>
      <c r="J9" s="5">
        <v>2700</v>
      </c>
      <c r="K9" s="15">
        <f>L9</f>
        <v>2700</v>
      </c>
      <c r="L9" s="15">
        <f>1515+1185</f>
        <v>2700</v>
      </c>
      <c r="M9" s="16">
        <f t="shared" si="0"/>
        <v>2700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>
        <v>6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9">
        <f t="shared" si="7"/>
        <v>0.52405141446347003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119</v>
      </c>
      <c r="D10" s="55" t="s">
        <v>621</v>
      </c>
      <c r="E10" s="57" t="s">
        <v>690</v>
      </c>
      <c r="F10" s="12" t="s">
        <v>691</v>
      </c>
      <c r="G10" s="12">
        <v>1</v>
      </c>
      <c r="H10" s="13">
        <v>25</v>
      </c>
      <c r="I10" s="34">
        <v>3500</v>
      </c>
      <c r="J10" s="14">
        <v>3220</v>
      </c>
      <c r="K10" s="15">
        <f>L10</f>
        <v>3214</v>
      </c>
      <c r="L10" s="15">
        <f>2963+251</f>
        <v>3214</v>
      </c>
      <c r="M10" s="16">
        <f t="shared" si="0"/>
        <v>3214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0.99813664596273288</v>
      </c>
      <c r="AC10" s="9">
        <f t="shared" si="5"/>
        <v>0.79166666666666663</v>
      </c>
      <c r="AD10" s="10">
        <f t="shared" si="6"/>
        <v>0.79019151138716348</v>
      </c>
      <c r="AE10" s="39">
        <f t="shared" si="7"/>
        <v>0.52405141446347003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119</v>
      </c>
      <c r="D11" s="55" t="s">
        <v>122</v>
      </c>
      <c r="E11" s="57" t="s">
        <v>692</v>
      </c>
      <c r="F11" s="12" t="s">
        <v>693</v>
      </c>
      <c r="G11" s="12">
        <v>1</v>
      </c>
      <c r="H11" s="13">
        <v>25</v>
      </c>
      <c r="I11" s="34">
        <v>3500</v>
      </c>
      <c r="J11" s="14">
        <v>3870</v>
      </c>
      <c r="K11" s="15">
        <f>L11</f>
        <v>3869</v>
      </c>
      <c r="L11" s="15">
        <f>1673+2196</f>
        <v>3869</v>
      </c>
      <c r="M11" s="16">
        <f t="shared" si="0"/>
        <v>3869</v>
      </c>
      <c r="N11" s="16">
        <v>0</v>
      </c>
      <c r="O11" s="62">
        <f t="shared" si="1"/>
        <v>0</v>
      </c>
      <c r="P11" s="42">
        <f t="shared" si="2"/>
        <v>21</v>
      </c>
      <c r="Q11" s="43">
        <f t="shared" si="3"/>
        <v>3</v>
      </c>
      <c r="R11" s="7"/>
      <c r="S11" s="6"/>
      <c r="T11" s="17">
        <v>3</v>
      </c>
      <c r="U11" s="17"/>
      <c r="V11" s="18"/>
      <c r="W11" s="19"/>
      <c r="X11" s="17"/>
      <c r="Y11" s="20"/>
      <c r="Z11" s="20"/>
      <c r="AA11" s="21"/>
      <c r="AB11" s="8">
        <f t="shared" si="4"/>
        <v>0.99974160206718343</v>
      </c>
      <c r="AC11" s="9">
        <f t="shared" si="5"/>
        <v>0.875</v>
      </c>
      <c r="AD11" s="10">
        <f t="shared" si="6"/>
        <v>0.87477390180878545</v>
      </c>
      <c r="AE11" s="39">
        <f t="shared" si="7"/>
        <v>0.52405141446347003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3000</v>
      </c>
      <c r="K12" s="15">
        <f>L12+3669+4855+2235+2780+2059+3271+4852+4899+2834+4120+5019+3677+4074+3799+831+1797</f>
        <v>57758</v>
      </c>
      <c r="L12" s="15">
        <f>2740+247</f>
        <v>2987</v>
      </c>
      <c r="M12" s="16">
        <f t="shared" si="0"/>
        <v>2987</v>
      </c>
      <c r="N12" s="16">
        <v>0</v>
      </c>
      <c r="O12" s="62">
        <f t="shared" si="1"/>
        <v>0</v>
      </c>
      <c r="P12" s="42">
        <f t="shared" si="2"/>
        <v>18</v>
      </c>
      <c r="Q12" s="43">
        <f t="shared" si="3"/>
        <v>6</v>
      </c>
      <c r="R12" s="7"/>
      <c r="S12" s="6">
        <v>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0.9956666666666667</v>
      </c>
      <c r="AC12" s="9">
        <f t="shared" si="5"/>
        <v>0.75</v>
      </c>
      <c r="AD12" s="10">
        <f t="shared" si="6"/>
        <v>0.74675000000000002</v>
      </c>
      <c r="AE12" s="39">
        <f t="shared" si="7"/>
        <v>0.52405141446347003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694</v>
      </c>
      <c r="E13" s="57" t="s">
        <v>695</v>
      </c>
      <c r="F13" s="12" t="s">
        <v>696</v>
      </c>
      <c r="G13" s="12">
        <v>1</v>
      </c>
      <c r="H13" s="13">
        <v>35</v>
      </c>
      <c r="I13" s="7">
        <v>3500</v>
      </c>
      <c r="J13" s="14">
        <v>4010</v>
      </c>
      <c r="K13" s="15">
        <f>L13</f>
        <v>4010</v>
      </c>
      <c r="L13" s="15">
        <f>1196+2814</f>
        <v>4010</v>
      </c>
      <c r="M13" s="16">
        <f t="shared" si="0"/>
        <v>4010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>
        <v>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9">
        <f t="shared" si="7"/>
        <v>0.52405141446347003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119</v>
      </c>
      <c r="D14" s="55" t="s">
        <v>624</v>
      </c>
      <c r="E14" s="57" t="s">
        <v>625</v>
      </c>
      <c r="F14" s="33" t="s">
        <v>626</v>
      </c>
      <c r="G14" s="36">
        <v>1</v>
      </c>
      <c r="H14" s="38">
        <v>40</v>
      </c>
      <c r="I14" s="7">
        <v>1200</v>
      </c>
      <c r="J14" s="5">
        <v>860</v>
      </c>
      <c r="K14" s="15">
        <f>L14+856</f>
        <v>856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0.52405141446347003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620</v>
      </c>
      <c r="D15" s="55" t="s">
        <v>621</v>
      </c>
      <c r="E15" s="57" t="s">
        <v>697</v>
      </c>
      <c r="F15" s="12" t="s">
        <v>623</v>
      </c>
      <c r="G15" s="12">
        <v>1</v>
      </c>
      <c r="H15" s="13">
        <v>25</v>
      </c>
      <c r="I15" s="34">
        <v>2000</v>
      </c>
      <c r="J15" s="14">
        <v>3400</v>
      </c>
      <c r="K15" s="15">
        <f>L15</f>
        <v>3392</v>
      </c>
      <c r="L15" s="15">
        <f>1846+1546</f>
        <v>3392</v>
      </c>
      <c r="M15" s="16">
        <f t="shared" si="0"/>
        <v>3392</v>
      </c>
      <c r="N15" s="16">
        <v>0</v>
      </c>
      <c r="O15" s="62">
        <f t="shared" si="1"/>
        <v>0</v>
      </c>
      <c r="P15" s="42">
        <f t="shared" si="2"/>
        <v>20</v>
      </c>
      <c r="Q15" s="43">
        <f t="shared" si="3"/>
        <v>4</v>
      </c>
      <c r="R15" s="7"/>
      <c r="S15" s="6"/>
      <c r="T15" s="17">
        <v>4</v>
      </c>
      <c r="U15" s="17"/>
      <c r="V15" s="18"/>
      <c r="W15" s="19"/>
      <c r="X15" s="17"/>
      <c r="Y15" s="20"/>
      <c r="Z15" s="20"/>
      <c r="AA15" s="21"/>
      <c r="AB15" s="8">
        <f t="shared" si="4"/>
        <v>0.99764705882352944</v>
      </c>
      <c r="AC15" s="9">
        <f t="shared" si="5"/>
        <v>0.83333333333333337</v>
      </c>
      <c r="AD15" s="10">
        <f t="shared" si="6"/>
        <v>0.83137254901960789</v>
      </c>
      <c r="AE15" s="39">
        <f t="shared" si="7"/>
        <v>0.52405141446347003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239</v>
      </c>
      <c r="D16" s="55" t="s">
        <v>665</v>
      </c>
      <c r="E16" s="56" t="s">
        <v>636</v>
      </c>
      <c r="F16" s="12" t="s">
        <v>666</v>
      </c>
      <c r="G16" s="36">
        <v>2</v>
      </c>
      <c r="H16" s="38">
        <v>25</v>
      </c>
      <c r="I16" s="7">
        <v>500</v>
      </c>
      <c r="J16" s="14">
        <v>2000</v>
      </c>
      <c r="K16" s="15">
        <f>L16+2000</f>
        <v>2000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0.52405141446347003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0.52405141446347003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687</v>
      </c>
      <c r="E18" s="57" t="s">
        <v>698</v>
      </c>
      <c r="F18" s="12" t="s">
        <v>699</v>
      </c>
      <c r="G18" s="12">
        <v>1</v>
      </c>
      <c r="H18" s="13">
        <v>25</v>
      </c>
      <c r="I18" s="34">
        <v>3500</v>
      </c>
      <c r="J18" s="5">
        <v>3000</v>
      </c>
      <c r="K18" s="15">
        <f>L18</f>
        <v>2977</v>
      </c>
      <c r="L18" s="15">
        <f>912+2065</f>
        <v>2977</v>
      </c>
      <c r="M18" s="16">
        <f t="shared" si="0"/>
        <v>2977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/>
      <c r="T18" s="17">
        <v>4</v>
      </c>
      <c r="U18" s="17"/>
      <c r="V18" s="18"/>
      <c r="W18" s="19"/>
      <c r="X18" s="17"/>
      <c r="Y18" s="20"/>
      <c r="Z18" s="20"/>
      <c r="AA18" s="21"/>
      <c r="AB18" s="8">
        <f t="shared" si="4"/>
        <v>0.99233333333333329</v>
      </c>
      <c r="AC18" s="9">
        <f t="shared" si="5"/>
        <v>0.83333333333333337</v>
      </c>
      <c r="AD18" s="10">
        <f t="shared" si="6"/>
        <v>0.82694444444444448</v>
      </c>
      <c r="AE18" s="39">
        <f t="shared" si="7"/>
        <v>0.52405141446347003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167</v>
      </c>
      <c r="E19" s="57" t="s">
        <v>700</v>
      </c>
      <c r="F19" s="33" t="s">
        <v>338</v>
      </c>
      <c r="G19" s="36">
        <v>1</v>
      </c>
      <c r="H19" s="38">
        <v>25</v>
      </c>
      <c r="I19" s="7">
        <v>3500</v>
      </c>
      <c r="J19" s="5">
        <v>600</v>
      </c>
      <c r="K19" s="15">
        <f>L19</f>
        <v>598</v>
      </c>
      <c r="L19" s="15">
        <f>598</f>
        <v>598</v>
      </c>
      <c r="M19" s="16">
        <f t="shared" si="0"/>
        <v>598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>
        <v>20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0.9966666666666667</v>
      </c>
      <c r="AC19" s="9">
        <f t="shared" si="5"/>
        <v>0.16666666666666666</v>
      </c>
      <c r="AD19" s="10">
        <f t="shared" si="6"/>
        <v>0.1661111111111111</v>
      </c>
      <c r="AE19" s="39">
        <f t="shared" si="7"/>
        <v>0.52405141446347003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172</v>
      </c>
      <c r="F20" s="12" t="s">
        <v>118</v>
      </c>
      <c r="G20" s="12">
        <v>4</v>
      </c>
      <c r="H20" s="38">
        <v>20</v>
      </c>
      <c r="I20" s="7">
        <v>200000</v>
      </c>
      <c r="J20" s="14">
        <v>16170</v>
      </c>
      <c r="K20" s="15">
        <f>L20+51172+67944+16164</f>
        <v>135280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0.52405141446347003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311500</v>
      </c>
      <c r="J21" s="22">
        <f t="shared" si="10"/>
        <v>64131</v>
      </c>
      <c r="K21" s="23">
        <f t="shared" si="10"/>
        <v>259390</v>
      </c>
      <c r="L21" s="24">
        <f t="shared" si="10"/>
        <v>41632</v>
      </c>
      <c r="M21" s="23">
        <f t="shared" si="10"/>
        <v>41632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189</v>
      </c>
      <c r="Q21" s="46">
        <f t="shared" si="11"/>
        <v>171</v>
      </c>
      <c r="R21" s="26">
        <f t="shared" si="11"/>
        <v>48</v>
      </c>
      <c r="S21" s="27">
        <f t="shared" si="11"/>
        <v>40</v>
      </c>
      <c r="T21" s="27">
        <f t="shared" si="11"/>
        <v>11</v>
      </c>
      <c r="U21" s="27">
        <f t="shared" si="11"/>
        <v>0</v>
      </c>
      <c r="V21" s="28">
        <f t="shared" si="11"/>
        <v>0</v>
      </c>
      <c r="W21" s="29">
        <f t="shared" si="11"/>
        <v>72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0.66532131151340335</v>
      </c>
      <c r="AC21" s="4">
        <f>SUM(AC6:AC20)/15</f>
        <v>0.52499999999999991</v>
      </c>
      <c r="AD21" s="4">
        <f>SUM(AD6:AD20)/15</f>
        <v>0.52405141446347003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701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723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269" t="s">
        <v>47</v>
      </c>
      <c r="D50" s="269" t="s">
        <v>48</v>
      </c>
      <c r="E50" s="269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269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119</v>
      </c>
      <c r="B51" s="410"/>
      <c r="C51" s="265" t="s">
        <v>390</v>
      </c>
      <c r="D51" s="265" t="s">
        <v>123</v>
      </c>
      <c r="E51" s="268" t="s">
        <v>204</v>
      </c>
      <c r="F51" s="411" t="s">
        <v>702</v>
      </c>
      <c r="G51" s="411"/>
      <c r="H51" s="411"/>
      <c r="I51" s="411"/>
      <c r="J51" s="411"/>
      <c r="K51" s="411"/>
      <c r="L51" s="411"/>
      <c r="M51" s="412"/>
      <c r="N51" s="264" t="s">
        <v>119</v>
      </c>
      <c r="O51" s="74" t="s">
        <v>263</v>
      </c>
      <c r="P51" s="413" t="s">
        <v>621</v>
      </c>
      <c r="Q51" s="414"/>
      <c r="R51" s="410" t="s">
        <v>672</v>
      </c>
      <c r="S51" s="410"/>
      <c r="T51" s="410"/>
      <c r="U51" s="410"/>
      <c r="V51" s="411" t="s">
        <v>724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239</v>
      </c>
      <c r="B52" s="410"/>
      <c r="C52" s="265" t="s">
        <v>260</v>
      </c>
      <c r="D52" s="265" t="s">
        <v>687</v>
      </c>
      <c r="E52" s="268" t="s">
        <v>688</v>
      </c>
      <c r="F52" s="411" t="s">
        <v>703</v>
      </c>
      <c r="G52" s="411"/>
      <c r="H52" s="411"/>
      <c r="I52" s="411"/>
      <c r="J52" s="411"/>
      <c r="K52" s="411"/>
      <c r="L52" s="411"/>
      <c r="M52" s="412"/>
      <c r="N52" s="264" t="s">
        <v>119</v>
      </c>
      <c r="O52" s="74" t="s">
        <v>660</v>
      </c>
      <c r="P52" s="410" t="s">
        <v>58</v>
      </c>
      <c r="Q52" s="410"/>
      <c r="R52" s="410" t="s">
        <v>675</v>
      </c>
      <c r="S52" s="410"/>
      <c r="T52" s="410"/>
      <c r="U52" s="410"/>
      <c r="V52" s="411" t="s">
        <v>724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119</v>
      </c>
      <c r="B53" s="410"/>
      <c r="C53" s="265" t="s">
        <v>704</v>
      </c>
      <c r="D53" s="265" t="s">
        <v>705</v>
      </c>
      <c r="E53" s="268" t="s">
        <v>706</v>
      </c>
      <c r="F53" s="411" t="s">
        <v>707</v>
      </c>
      <c r="G53" s="411"/>
      <c r="H53" s="411"/>
      <c r="I53" s="411"/>
      <c r="J53" s="411"/>
      <c r="K53" s="411"/>
      <c r="L53" s="411"/>
      <c r="M53" s="412"/>
      <c r="N53" s="264" t="s">
        <v>119</v>
      </c>
      <c r="O53" s="74" t="s">
        <v>671</v>
      </c>
      <c r="P53" s="413" t="s">
        <v>676</v>
      </c>
      <c r="Q53" s="414"/>
      <c r="R53" s="410" t="s">
        <v>677</v>
      </c>
      <c r="S53" s="410"/>
      <c r="T53" s="410"/>
      <c r="U53" s="410"/>
      <c r="V53" s="411" t="s">
        <v>724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119</v>
      </c>
      <c r="B54" s="410"/>
      <c r="C54" s="265" t="s">
        <v>708</v>
      </c>
      <c r="D54" s="265" t="s">
        <v>709</v>
      </c>
      <c r="E54" s="268" t="s">
        <v>695</v>
      </c>
      <c r="F54" s="411" t="s">
        <v>710</v>
      </c>
      <c r="G54" s="411"/>
      <c r="H54" s="411"/>
      <c r="I54" s="411"/>
      <c r="J54" s="411"/>
      <c r="K54" s="411"/>
      <c r="L54" s="411"/>
      <c r="M54" s="412"/>
      <c r="N54" s="264" t="s">
        <v>727</v>
      </c>
      <c r="O54" s="74" t="s">
        <v>704</v>
      </c>
      <c r="P54" s="413"/>
      <c r="Q54" s="414"/>
      <c r="R54" s="410" t="s">
        <v>726</v>
      </c>
      <c r="S54" s="410"/>
      <c r="T54" s="410"/>
      <c r="U54" s="410"/>
      <c r="V54" s="411" t="s">
        <v>728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119</v>
      </c>
      <c r="B55" s="410"/>
      <c r="C55" s="265" t="s">
        <v>711</v>
      </c>
      <c r="D55" s="265" t="s">
        <v>687</v>
      </c>
      <c r="E55" s="268" t="s">
        <v>698</v>
      </c>
      <c r="F55" s="411" t="s">
        <v>712</v>
      </c>
      <c r="G55" s="411"/>
      <c r="H55" s="411"/>
      <c r="I55" s="411"/>
      <c r="J55" s="411"/>
      <c r="K55" s="411"/>
      <c r="L55" s="411"/>
      <c r="M55" s="412"/>
      <c r="N55" s="264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119</v>
      </c>
      <c r="B56" s="410"/>
      <c r="C56" s="265" t="s">
        <v>713</v>
      </c>
      <c r="D56" s="265" t="s">
        <v>714</v>
      </c>
      <c r="E56" s="268" t="s">
        <v>715</v>
      </c>
      <c r="F56" s="411" t="s">
        <v>716</v>
      </c>
      <c r="G56" s="411"/>
      <c r="H56" s="411"/>
      <c r="I56" s="411"/>
      <c r="J56" s="411"/>
      <c r="K56" s="411"/>
      <c r="L56" s="411"/>
      <c r="M56" s="412"/>
      <c r="N56" s="264"/>
      <c r="O56" s="74"/>
      <c r="P56" s="410"/>
      <c r="Q56" s="410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 t="s">
        <v>119</v>
      </c>
      <c r="B57" s="410"/>
      <c r="C57" s="265" t="s">
        <v>717</v>
      </c>
      <c r="D57" s="265" t="s">
        <v>718</v>
      </c>
      <c r="E57" s="268" t="s">
        <v>719</v>
      </c>
      <c r="F57" s="411" t="s">
        <v>720</v>
      </c>
      <c r="G57" s="411"/>
      <c r="H57" s="411"/>
      <c r="I57" s="411"/>
      <c r="J57" s="411"/>
      <c r="K57" s="411"/>
      <c r="L57" s="411"/>
      <c r="M57" s="412"/>
      <c r="N57" s="264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 t="s">
        <v>721</v>
      </c>
      <c r="B58" s="420"/>
      <c r="C58" s="268" t="s">
        <v>722</v>
      </c>
      <c r="D58" s="265"/>
      <c r="E58" s="268" t="s">
        <v>725</v>
      </c>
      <c r="F58" s="411" t="s">
        <v>720</v>
      </c>
      <c r="G58" s="411"/>
      <c r="H58" s="411"/>
      <c r="I58" s="411"/>
      <c r="J58" s="411"/>
      <c r="K58" s="411"/>
      <c r="L58" s="411"/>
      <c r="M58" s="412"/>
      <c r="N58" s="264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265"/>
      <c r="D59" s="265"/>
      <c r="E59" s="265"/>
      <c r="F59" s="411"/>
      <c r="G59" s="411"/>
      <c r="H59" s="411"/>
      <c r="I59" s="411"/>
      <c r="J59" s="411"/>
      <c r="K59" s="411"/>
      <c r="L59" s="411"/>
      <c r="M59" s="412"/>
      <c r="N59" s="264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267"/>
      <c r="D60" s="267"/>
      <c r="E60" s="267"/>
      <c r="F60" s="417"/>
      <c r="G60" s="417"/>
      <c r="H60" s="417"/>
      <c r="I60" s="417"/>
      <c r="J60" s="417"/>
      <c r="K60" s="417"/>
      <c r="L60" s="417"/>
      <c r="M60" s="418"/>
      <c r="N60" s="266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729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263" t="s">
        <v>2</v>
      </c>
      <c r="D62" s="263" t="s">
        <v>38</v>
      </c>
      <c r="E62" s="263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263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/>
      <c r="D63" s="259"/>
      <c r="E63" s="261"/>
      <c r="F63" s="430"/>
      <c r="G63" s="431"/>
      <c r="H63" s="431"/>
      <c r="I63" s="431"/>
      <c r="J63" s="431"/>
      <c r="K63" s="431"/>
      <c r="L63" s="431"/>
      <c r="M63" s="54"/>
      <c r="N63" s="431"/>
      <c r="O63" s="431"/>
      <c r="P63" s="432"/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/>
      <c r="D64" s="259"/>
      <c r="E64" s="261"/>
      <c r="F64" s="430"/>
      <c r="G64" s="431"/>
      <c r="H64" s="431"/>
      <c r="I64" s="431"/>
      <c r="J64" s="431"/>
      <c r="K64" s="431"/>
      <c r="L64" s="431"/>
      <c r="M64" s="54"/>
      <c r="N64" s="431"/>
      <c r="O64" s="431"/>
      <c r="P64" s="432"/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/>
      <c r="D65" s="259"/>
      <c r="E65" s="261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/>
      <c r="D66" s="259"/>
      <c r="E66" s="261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259"/>
      <c r="E67" s="261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259"/>
      <c r="E68" s="261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259"/>
      <c r="E69" s="261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259"/>
      <c r="E70" s="261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730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262" t="s">
        <v>2</v>
      </c>
      <c r="D72" s="262" t="s">
        <v>38</v>
      </c>
      <c r="E72" s="262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260" t="s">
        <v>119</v>
      </c>
      <c r="D73" s="260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259" t="s">
        <v>119</v>
      </c>
      <c r="D74" s="259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259" t="s">
        <v>120</v>
      </c>
      <c r="D75" s="259"/>
      <c r="E75" s="35" t="s">
        <v>354</v>
      </c>
      <c r="F75" s="442" t="s">
        <v>474</v>
      </c>
      <c r="G75" s="442"/>
      <c r="H75" s="442"/>
      <c r="I75" s="442"/>
      <c r="J75" s="442"/>
      <c r="K75" s="443" t="s">
        <v>330</v>
      </c>
      <c r="L75" s="444"/>
      <c r="M75" s="444"/>
      <c r="N75" s="444"/>
      <c r="O75" s="444"/>
      <c r="P75" s="444"/>
      <c r="Q75" s="444"/>
      <c r="R75" s="444"/>
      <c r="S75" s="445"/>
      <c r="T75" s="446">
        <v>42921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259" t="s">
        <v>292</v>
      </c>
      <c r="D76" s="259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259" t="s">
        <v>186</v>
      </c>
      <c r="D77" s="259"/>
      <c r="E77" s="35" t="s">
        <v>455</v>
      </c>
      <c r="F77" s="442" t="s">
        <v>510</v>
      </c>
      <c r="G77" s="442"/>
      <c r="H77" s="442"/>
      <c r="I77" s="442"/>
      <c r="J77" s="442"/>
      <c r="K77" s="443" t="s">
        <v>617</v>
      </c>
      <c r="L77" s="444"/>
      <c r="M77" s="444"/>
      <c r="N77" s="444"/>
      <c r="O77" s="444"/>
      <c r="P77" s="444"/>
      <c r="Q77" s="444"/>
      <c r="R77" s="444"/>
      <c r="S77" s="445"/>
      <c r="T77" s="446">
        <v>42930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259"/>
      <c r="D78" s="259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259"/>
      <c r="D79" s="259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259"/>
      <c r="D80" s="259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259"/>
      <c r="D81" s="259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731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176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topLeftCell="A46" zoomScale="72" zoomScaleNormal="72" zoomScaleSheetLayoutView="70" workbookViewId="0">
      <selection activeCell="C66" sqref="C66:Q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787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271" t="s">
        <v>17</v>
      </c>
      <c r="L5" s="271" t="s">
        <v>18</v>
      </c>
      <c r="M5" s="271" t="s">
        <v>19</v>
      </c>
      <c r="N5" s="27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0.55205567497000496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585</v>
      </c>
      <c r="D7" s="55" t="s">
        <v>586</v>
      </c>
      <c r="E7" s="56" t="s">
        <v>587</v>
      </c>
      <c r="F7" s="12" t="s">
        <v>588</v>
      </c>
      <c r="G7" s="36">
        <v>3</v>
      </c>
      <c r="H7" s="38">
        <v>25</v>
      </c>
      <c r="I7" s="7">
        <v>20000</v>
      </c>
      <c r="J7" s="14">
        <v>11830</v>
      </c>
      <c r="K7" s="15">
        <f>L7+5220+10106+4990+13425</f>
        <v>45570</v>
      </c>
      <c r="L7" s="15">
        <f>1680*3+2263*3</f>
        <v>11829</v>
      </c>
      <c r="M7" s="16">
        <f t="shared" si="0"/>
        <v>11829</v>
      </c>
      <c r="N7" s="16">
        <v>0</v>
      </c>
      <c r="O7" s="62">
        <f t="shared" si="1"/>
        <v>0</v>
      </c>
      <c r="P7" s="42">
        <f t="shared" si="2"/>
        <v>22</v>
      </c>
      <c r="Q7" s="43">
        <f t="shared" si="3"/>
        <v>2</v>
      </c>
      <c r="R7" s="7"/>
      <c r="S7" s="6"/>
      <c r="T7" s="17"/>
      <c r="U7" s="17"/>
      <c r="V7" s="18"/>
      <c r="W7" s="19">
        <v>2</v>
      </c>
      <c r="X7" s="17"/>
      <c r="Y7" s="20"/>
      <c r="Z7" s="20"/>
      <c r="AA7" s="21"/>
      <c r="AB7" s="8">
        <f t="shared" si="4"/>
        <v>0.99991546914623841</v>
      </c>
      <c r="AC7" s="9">
        <f t="shared" si="5"/>
        <v>0.91666666666666663</v>
      </c>
      <c r="AD7" s="10">
        <f t="shared" si="6"/>
        <v>0.91658918005071854</v>
      </c>
      <c r="AE7" s="39">
        <f t="shared" si="7"/>
        <v>0.55205567497000496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664</v>
      </c>
      <c r="F8" s="12" t="s">
        <v>130</v>
      </c>
      <c r="G8" s="36">
        <v>1</v>
      </c>
      <c r="H8" s="38">
        <v>25</v>
      </c>
      <c r="I8" s="7">
        <v>20000</v>
      </c>
      <c r="J8" s="14">
        <v>4390</v>
      </c>
      <c r="K8" s="15">
        <f>L8+1132+4460</f>
        <v>9976</v>
      </c>
      <c r="L8" s="15">
        <f>2580+1804</f>
        <v>4384</v>
      </c>
      <c r="M8" s="16">
        <f t="shared" si="0"/>
        <v>4384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>
        <v>1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0.99863325740318909</v>
      </c>
      <c r="AC8" s="9">
        <f t="shared" si="5"/>
        <v>0.95833333333333337</v>
      </c>
      <c r="AD8" s="10">
        <f t="shared" si="6"/>
        <v>0.95702353834472287</v>
      </c>
      <c r="AE8" s="39">
        <f t="shared" si="7"/>
        <v>0.55205567497000496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186</v>
      </c>
      <c r="D9" s="55" t="s">
        <v>687</v>
      </c>
      <c r="E9" s="57" t="s">
        <v>688</v>
      </c>
      <c r="F9" s="12" t="s">
        <v>689</v>
      </c>
      <c r="G9" s="12">
        <v>1</v>
      </c>
      <c r="H9" s="13">
        <v>25</v>
      </c>
      <c r="I9" s="34">
        <v>2500</v>
      </c>
      <c r="J9" s="5">
        <v>590</v>
      </c>
      <c r="K9" s="15">
        <f>L9+2700</f>
        <v>3288</v>
      </c>
      <c r="L9" s="15">
        <v>588</v>
      </c>
      <c r="M9" s="16">
        <f t="shared" si="0"/>
        <v>588</v>
      </c>
      <c r="N9" s="16">
        <v>0</v>
      </c>
      <c r="O9" s="62">
        <f t="shared" si="1"/>
        <v>0</v>
      </c>
      <c r="P9" s="42">
        <f t="shared" si="2"/>
        <v>5</v>
      </c>
      <c r="Q9" s="43">
        <f t="shared" si="3"/>
        <v>19</v>
      </c>
      <c r="R9" s="7"/>
      <c r="S9" s="6"/>
      <c r="T9" s="17"/>
      <c r="U9" s="17"/>
      <c r="V9" s="18"/>
      <c r="W9" s="19">
        <v>19</v>
      </c>
      <c r="X9" s="17"/>
      <c r="Y9" s="20"/>
      <c r="Z9" s="20"/>
      <c r="AA9" s="21"/>
      <c r="AB9" s="8">
        <f t="shared" si="4"/>
        <v>0.99661016949152548</v>
      </c>
      <c r="AC9" s="9">
        <f t="shared" si="5"/>
        <v>0.20833333333333334</v>
      </c>
      <c r="AD9" s="10">
        <f t="shared" si="6"/>
        <v>0.20762711864406783</v>
      </c>
      <c r="AE9" s="39">
        <f t="shared" si="7"/>
        <v>0.55205567497000496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119</v>
      </c>
      <c r="D10" s="55" t="s">
        <v>621</v>
      </c>
      <c r="E10" s="57" t="s">
        <v>690</v>
      </c>
      <c r="F10" s="12" t="s">
        <v>691</v>
      </c>
      <c r="G10" s="12">
        <v>1</v>
      </c>
      <c r="H10" s="13">
        <v>25</v>
      </c>
      <c r="I10" s="34">
        <v>3500</v>
      </c>
      <c r="J10" s="14">
        <v>3440</v>
      </c>
      <c r="K10" s="15">
        <f>L10+3214</f>
        <v>6653</v>
      </c>
      <c r="L10" s="15">
        <f>2411+1028</f>
        <v>3439</v>
      </c>
      <c r="M10" s="16">
        <f t="shared" si="0"/>
        <v>3439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>
        <v>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0.99970930232558142</v>
      </c>
      <c r="AC10" s="9">
        <f t="shared" si="5"/>
        <v>0.83333333333333337</v>
      </c>
      <c r="AD10" s="10">
        <f t="shared" si="6"/>
        <v>0.83309108527131792</v>
      </c>
      <c r="AE10" s="39">
        <f t="shared" si="7"/>
        <v>0.55205567497000496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620</v>
      </c>
      <c r="D11" s="55" t="s">
        <v>621</v>
      </c>
      <c r="E11" s="57" t="s">
        <v>697</v>
      </c>
      <c r="F11" s="12" t="s">
        <v>623</v>
      </c>
      <c r="G11" s="12">
        <v>1</v>
      </c>
      <c r="H11" s="13">
        <v>25</v>
      </c>
      <c r="I11" s="34">
        <v>2000</v>
      </c>
      <c r="J11" s="14">
        <v>1070</v>
      </c>
      <c r="K11" s="15">
        <f>L11+3392</f>
        <v>4459</v>
      </c>
      <c r="L11" s="15">
        <f>1067</f>
        <v>1067</v>
      </c>
      <c r="M11" s="16">
        <f t="shared" ref="M11" si="10">L11-N11</f>
        <v>1067</v>
      </c>
      <c r="N11" s="16">
        <v>0</v>
      </c>
      <c r="O11" s="62">
        <f t="shared" ref="O11" si="11">IF(L11=0,"0",N11/L11)</f>
        <v>0</v>
      </c>
      <c r="P11" s="42">
        <f t="shared" ref="P11" si="12">IF(L11=0,"0",(24-Q11))</f>
        <v>9</v>
      </c>
      <c r="Q11" s="43">
        <f t="shared" ref="Q11" si="13">SUM(R11:AA11)</f>
        <v>15</v>
      </c>
      <c r="R11" s="7"/>
      <c r="S11" s="6"/>
      <c r="T11" s="17"/>
      <c r="U11" s="17"/>
      <c r="V11" s="18"/>
      <c r="W11" s="19">
        <v>15</v>
      </c>
      <c r="X11" s="17"/>
      <c r="Y11" s="20"/>
      <c r="Z11" s="20"/>
      <c r="AA11" s="21"/>
      <c r="AB11" s="8">
        <f t="shared" ref="AB11" si="14">IF(J11=0,"0",(L11/J11))</f>
        <v>0.99719626168224296</v>
      </c>
      <c r="AC11" s="9">
        <f t="shared" ref="AC11" si="15">IF(P11=0,"0",(P11/24))</f>
        <v>0.375</v>
      </c>
      <c r="AD11" s="10">
        <f t="shared" ref="AD11" si="16">AC11*AB11*(1-O11)</f>
        <v>0.37394859813084114</v>
      </c>
      <c r="AE11" s="39">
        <f t="shared" si="7"/>
        <v>0.55205567497000496</v>
      </c>
      <c r="AF11" s="94">
        <f t="shared" ref="AF11" si="17">A11</f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4640</v>
      </c>
      <c r="K12" s="15">
        <f>L12+3669+4855+2235+2780+2059+3271+4852+4899+2834+4120+5019+3677+4074+3799+831+1797+2987</f>
        <v>62390</v>
      </c>
      <c r="L12" s="15">
        <f>2522+2110</f>
        <v>4632</v>
      </c>
      <c r="M12" s="16">
        <f t="shared" si="0"/>
        <v>4632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0.99827586206896557</v>
      </c>
      <c r="AC12" s="9">
        <f t="shared" si="5"/>
        <v>1</v>
      </c>
      <c r="AD12" s="10">
        <f t="shared" si="6"/>
        <v>0.99827586206896557</v>
      </c>
      <c r="AE12" s="39">
        <f t="shared" si="7"/>
        <v>0.55205567497000496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119</v>
      </c>
      <c r="D13" s="55" t="s">
        <v>694</v>
      </c>
      <c r="E13" s="57" t="s">
        <v>695</v>
      </c>
      <c r="F13" s="12" t="s">
        <v>696</v>
      </c>
      <c r="G13" s="12">
        <v>1</v>
      </c>
      <c r="H13" s="13">
        <v>35</v>
      </c>
      <c r="I13" s="7">
        <v>3500</v>
      </c>
      <c r="J13" s="14">
        <v>1720</v>
      </c>
      <c r="K13" s="15">
        <f>L13+4010</f>
        <v>5729</v>
      </c>
      <c r="L13" s="15">
        <v>1719</v>
      </c>
      <c r="M13" s="16">
        <f t="shared" si="0"/>
        <v>1719</v>
      </c>
      <c r="N13" s="16">
        <v>0</v>
      </c>
      <c r="O13" s="62">
        <f t="shared" si="1"/>
        <v>0</v>
      </c>
      <c r="P13" s="42">
        <f t="shared" si="2"/>
        <v>9</v>
      </c>
      <c r="Q13" s="43">
        <f t="shared" si="3"/>
        <v>15</v>
      </c>
      <c r="R13" s="7"/>
      <c r="S13" s="6"/>
      <c r="T13" s="17"/>
      <c r="U13" s="17"/>
      <c r="V13" s="18"/>
      <c r="W13" s="19">
        <v>15</v>
      </c>
      <c r="X13" s="17"/>
      <c r="Y13" s="20"/>
      <c r="Z13" s="20"/>
      <c r="AA13" s="21"/>
      <c r="AB13" s="8">
        <f t="shared" si="4"/>
        <v>0.99941860465116283</v>
      </c>
      <c r="AC13" s="9">
        <f t="shared" si="5"/>
        <v>0.375</v>
      </c>
      <c r="AD13" s="10">
        <f t="shared" si="6"/>
        <v>0.37478197674418606</v>
      </c>
      <c r="AE13" s="39">
        <f t="shared" si="7"/>
        <v>0.55205567497000496</v>
      </c>
      <c r="AF13" s="94">
        <f t="shared" si="8"/>
        <v>8</v>
      </c>
    </row>
    <row r="14" spans="1:32" ht="27" customHeight="1">
      <c r="A14" s="110">
        <v>8</v>
      </c>
      <c r="B14" s="11" t="s">
        <v>59</v>
      </c>
      <c r="C14" s="37" t="s">
        <v>119</v>
      </c>
      <c r="D14" s="55" t="s">
        <v>687</v>
      </c>
      <c r="E14" s="57" t="s">
        <v>698</v>
      </c>
      <c r="F14" s="12" t="s">
        <v>699</v>
      </c>
      <c r="G14" s="12">
        <v>1</v>
      </c>
      <c r="H14" s="13">
        <v>25</v>
      </c>
      <c r="I14" s="34">
        <v>3500</v>
      </c>
      <c r="J14" s="5">
        <v>530</v>
      </c>
      <c r="K14" s="15">
        <f>L14+2977</f>
        <v>3505</v>
      </c>
      <c r="L14" s="15">
        <f>528</f>
        <v>528</v>
      </c>
      <c r="M14" s="16">
        <f t="shared" ref="M14" si="18">L14-N14</f>
        <v>528</v>
      </c>
      <c r="N14" s="16">
        <v>0</v>
      </c>
      <c r="O14" s="62">
        <f t="shared" ref="O14" si="19">IF(L14=0,"0",N14/L14)</f>
        <v>0</v>
      </c>
      <c r="P14" s="42">
        <f t="shared" ref="P14" si="20">IF(L14=0,"0",(24-Q14))</f>
        <v>4</v>
      </c>
      <c r="Q14" s="43">
        <f t="shared" ref="Q14" si="21">SUM(R14:AA14)</f>
        <v>20</v>
      </c>
      <c r="R14" s="7"/>
      <c r="S14" s="6"/>
      <c r="T14" s="17"/>
      <c r="U14" s="17"/>
      <c r="V14" s="18"/>
      <c r="W14" s="19">
        <v>20</v>
      </c>
      <c r="X14" s="17"/>
      <c r="Y14" s="20"/>
      <c r="Z14" s="20"/>
      <c r="AA14" s="21"/>
      <c r="AB14" s="8">
        <f t="shared" ref="AB14" si="22">IF(J14=0,"0",(L14/J14))</f>
        <v>0.99622641509433962</v>
      </c>
      <c r="AC14" s="9">
        <f t="shared" ref="AC14" si="23">IF(P14=0,"0",(P14/24))</f>
        <v>0.16666666666666666</v>
      </c>
      <c r="AD14" s="10">
        <f t="shared" ref="AD14" si="24">AC14*AB14*(1-O14)</f>
        <v>0.16603773584905659</v>
      </c>
      <c r="AE14" s="39">
        <f t="shared" si="7"/>
        <v>0.55205567497000496</v>
      </c>
      <c r="AF14" s="94">
        <f t="shared" ref="AF14" si="25">A14</f>
        <v>8</v>
      </c>
    </row>
    <row r="15" spans="1:32" ht="27" customHeight="1">
      <c r="A15" s="109">
        <v>9</v>
      </c>
      <c r="B15" s="11" t="s">
        <v>59</v>
      </c>
      <c r="C15" s="37" t="s">
        <v>119</v>
      </c>
      <c r="D15" s="55" t="s">
        <v>624</v>
      </c>
      <c r="E15" s="57" t="s">
        <v>625</v>
      </c>
      <c r="F15" s="33" t="s">
        <v>626</v>
      </c>
      <c r="G15" s="36">
        <v>1</v>
      </c>
      <c r="H15" s="38">
        <v>40</v>
      </c>
      <c r="I15" s="7">
        <v>1200</v>
      </c>
      <c r="J15" s="5">
        <v>860</v>
      </c>
      <c r="K15" s="15">
        <f>L15+856</f>
        <v>856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0.55205567497000496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11" t="s">
        <v>732</v>
      </c>
      <c r="D16" s="55" t="s">
        <v>733</v>
      </c>
      <c r="E16" s="57" t="s">
        <v>734</v>
      </c>
      <c r="F16" s="12">
        <v>8301</v>
      </c>
      <c r="G16" s="12">
        <v>1</v>
      </c>
      <c r="H16" s="13">
        <v>25</v>
      </c>
      <c r="I16" s="34">
        <v>3000</v>
      </c>
      <c r="J16" s="14">
        <v>5830</v>
      </c>
      <c r="K16" s="15">
        <f>L16</f>
        <v>5822</v>
      </c>
      <c r="L16" s="15">
        <f>2286+3536</f>
        <v>5822</v>
      </c>
      <c r="M16" s="16">
        <f t="shared" si="0"/>
        <v>5822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0.99862778730703261</v>
      </c>
      <c r="AC16" s="9">
        <f t="shared" si="5"/>
        <v>1</v>
      </c>
      <c r="AD16" s="10">
        <f t="shared" si="6"/>
        <v>0.99862778730703261</v>
      </c>
      <c r="AE16" s="39">
        <f t="shared" si="7"/>
        <v>0.55205567497000496</v>
      </c>
      <c r="AF16" s="94">
        <f t="shared" si="8"/>
        <v>10</v>
      </c>
    </row>
    <row r="17" spans="1:36" ht="27.75" customHeight="1">
      <c r="A17" s="109">
        <v>11</v>
      </c>
      <c r="B17" s="11" t="s">
        <v>59</v>
      </c>
      <c r="C17" s="11" t="s">
        <v>732</v>
      </c>
      <c r="D17" s="55" t="s">
        <v>735</v>
      </c>
      <c r="E17" s="56" t="s">
        <v>736</v>
      </c>
      <c r="F17" s="12" t="s">
        <v>666</v>
      </c>
      <c r="G17" s="36">
        <v>2</v>
      </c>
      <c r="H17" s="38">
        <v>25</v>
      </c>
      <c r="I17" s="7">
        <v>3000</v>
      </c>
      <c r="J17" s="14">
        <v>6720</v>
      </c>
      <c r="K17" s="15">
        <f>L17</f>
        <v>6712</v>
      </c>
      <c r="L17" s="15">
        <f>1623*2+1733*2</f>
        <v>6712</v>
      </c>
      <c r="M17" s="16">
        <f t="shared" si="0"/>
        <v>6712</v>
      </c>
      <c r="N17" s="16">
        <v>0</v>
      </c>
      <c r="O17" s="62">
        <f t="shared" si="1"/>
        <v>0</v>
      </c>
      <c r="P17" s="42">
        <f t="shared" si="2"/>
        <v>21</v>
      </c>
      <c r="Q17" s="43">
        <f t="shared" si="3"/>
        <v>3</v>
      </c>
      <c r="R17" s="7"/>
      <c r="S17" s="6">
        <v>3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0.99880952380952381</v>
      </c>
      <c r="AC17" s="9">
        <f t="shared" si="5"/>
        <v>0.875</v>
      </c>
      <c r="AD17" s="10">
        <f t="shared" si="6"/>
        <v>0.87395833333333339</v>
      </c>
      <c r="AE17" s="39">
        <f t="shared" si="7"/>
        <v>0.55205567497000496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59</v>
      </c>
      <c r="C18" s="37" t="s">
        <v>119</v>
      </c>
      <c r="D18" s="55" t="s">
        <v>153</v>
      </c>
      <c r="E18" s="56" t="s">
        <v>157</v>
      </c>
      <c r="F18" s="12">
        <v>8301</v>
      </c>
      <c r="G18" s="12">
        <v>1</v>
      </c>
      <c r="H18" s="13">
        <v>25</v>
      </c>
      <c r="I18" s="34">
        <v>800</v>
      </c>
      <c r="J18" s="5">
        <v>1441</v>
      </c>
      <c r="K18" s="15">
        <f>L18+1441</f>
        <v>1441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>
        <v>24</v>
      </c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0.55205567497000496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737</v>
      </c>
      <c r="D19" s="55" t="s">
        <v>738</v>
      </c>
      <c r="E19" s="57" t="s">
        <v>739</v>
      </c>
      <c r="F19" s="12" t="s">
        <v>740</v>
      </c>
      <c r="G19" s="12">
        <v>1</v>
      </c>
      <c r="H19" s="13">
        <v>25</v>
      </c>
      <c r="I19" s="34">
        <v>5000</v>
      </c>
      <c r="J19" s="5">
        <v>4370</v>
      </c>
      <c r="K19" s="15">
        <f>L19</f>
        <v>4366</v>
      </c>
      <c r="L19" s="15">
        <f>2886+1480</f>
        <v>4366</v>
      </c>
      <c r="M19" s="16">
        <f t="shared" si="0"/>
        <v>4366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/>
      <c r="T19" s="17">
        <v>2</v>
      </c>
      <c r="U19" s="17"/>
      <c r="V19" s="18"/>
      <c r="W19" s="19"/>
      <c r="X19" s="17"/>
      <c r="Y19" s="20"/>
      <c r="Z19" s="20"/>
      <c r="AA19" s="21"/>
      <c r="AB19" s="8">
        <f t="shared" si="4"/>
        <v>0.99908466819221964</v>
      </c>
      <c r="AC19" s="9">
        <f t="shared" si="5"/>
        <v>0.91666666666666663</v>
      </c>
      <c r="AD19" s="10">
        <f t="shared" si="6"/>
        <v>0.91582761250953459</v>
      </c>
      <c r="AE19" s="39">
        <f t="shared" si="7"/>
        <v>0.55205567497000496</v>
      </c>
      <c r="AF19" s="94">
        <f t="shared" si="8"/>
        <v>13</v>
      </c>
    </row>
    <row r="20" spans="1:36" ht="27" customHeight="1">
      <c r="A20" s="110">
        <v>14</v>
      </c>
      <c r="B20" s="11" t="s">
        <v>59</v>
      </c>
      <c r="C20" s="37" t="s">
        <v>119</v>
      </c>
      <c r="D20" s="55" t="s">
        <v>167</v>
      </c>
      <c r="E20" s="57" t="s">
        <v>700</v>
      </c>
      <c r="F20" s="33" t="s">
        <v>338</v>
      </c>
      <c r="G20" s="36">
        <v>1</v>
      </c>
      <c r="H20" s="38">
        <v>25</v>
      </c>
      <c r="I20" s="7">
        <v>3500</v>
      </c>
      <c r="J20" s="5">
        <v>2880</v>
      </c>
      <c r="K20" s="15">
        <f>L20+598</f>
        <v>3471</v>
      </c>
      <c r="L20" s="15">
        <f>1651+1222</f>
        <v>2873</v>
      </c>
      <c r="M20" s="16">
        <f t="shared" si="0"/>
        <v>2873</v>
      </c>
      <c r="N20" s="16">
        <v>0</v>
      </c>
      <c r="O20" s="62">
        <f t="shared" si="1"/>
        <v>0</v>
      </c>
      <c r="P20" s="42">
        <f t="shared" si="2"/>
        <v>16</v>
      </c>
      <c r="Q20" s="43">
        <f t="shared" si="3"/>
        <v>8</v>
      </c>
      <c r="R20" s="7"/>
      <c r="S20" s="6">
        <v>8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0.9975694444444444</v>
      </c>
      <c r="AC20" s="9">
        <f t="shared" si="5"/>
        <v>0.66666666666666663</v>
      </c>
      <c r="AD20" s="10">
        <f t="shared" si="6"/>
        <v>0.66504629629629619</v>
      </c>
      <c r="AE20" s="39">
        <f t="shared" si="7"/>
        <v>0.55205567497000496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117</v>
      </c>
      <c r="D21" s="55"/>
      <c r="E21" s="56" t="s">
        <v>172</v>
      </c>
      <c r="F21" s="12" t="s">
        <v>118</v>
      </c>
      <c r="G21" s="12">
        <v>4</v>
      </c>
      <c r="H21" s="38">
        <v>20</v>
      </c>
      <c r="I21" s="7">
        <v>200000</v>
      </c>
      <c r="J21" s="14">
        <v>16170</v>
      </c>
      <c r="K21" s="15">
        <f>L21+51172+67944+16164</f>
        <v>135280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0.55205567497000496</v>
      </c>
      <c r="AF21" s="94">
        <f t="shared" si="8"/>
        <v>15</v>
      </c>
    </row>
    <row r="22" spans="1:36" ht="31.5" customHeight="1" thickBot="1">
      <c r="A22" s="382" t="s">
        <v>34</v>
      </c>
      <c r="B22" s="383"/>
      <c r="C22" s="383"/>
      <c r="D22" s="383"/>
      <c r="E22" s="383"/>
      <c r="F22" s="383"/>
      <c r="G22" s="383"/>
      <c r="H22" s="384"/>
      <c r="I22" s="25">
        <f t="shared" ref="I22:N22" si="26">SUM(I6:I21)</f>
        <v>318500</v>
      </c>
      <c r="J22" s="22">
        <f t="shared" si="26"/>
        <v>68451</v>
      </c>
      <c r="K22" s="23">
        <f t="shared" si="26"/>
        <v>301480</v>
      </c>
      <c r="L22" s="24">
        <f t="shared" si="26"/>
        <v>47959</v>
      </c>
      <c r="M22" s="23">
        <f t="shared" si="26"/>
        <v>47959</v>
      </c>
      <c r="N22" s="24">
        <f t="shared" si="26"/>
        <v>0</v>
      </c>
      <c r="O22" s="44">
        <f t="shared" si="1"/>
        <v>0</v>
      </c>
      <c r="P22" s="45">
        <f t="shared" ref="P22:AA22" si="27">SUM(P6:P21)</f>
        <v>199</v>
      </c>
      <c r="Q22" s="46">
        <f t="shared" si="27"/>
        <v>185</v>
      </c>
      <c r="R22" s="26">
        <f t="shared" si="27"/>
        <v>48</v>
      </c>
      <c r="S22" s="27">
        <f t="shared" si="27"/>
        <v>16</v>
      </c>
      <c r="T22" s="27">
        <f t="shared" si="27"/>
        <v>2</v>
      </c>
      <c r="U22" s="27">
        <f t="shared" si="27"/>
        <v>0</v>
      </c>
      <c r="V22" s="28">
        <f t="shared" si="27"/>
        <v>0</v>
      </c>
      <c r="W22" s="29">
        <f t="shared" si="27"/>
        <v>119</v>
      </c>
      <c r="X22" s="30">
        <f t="shared" si="27"/>
        <v>0</v>
      </c>
      <c r="Y22" s="30">
        <f t="shared" si="27"/>
        <v>0</v>
      </c>
      <c r="Z22" s="30">
        <f t="shared" si="27"/>
        <v>0</v>
      </c>
      <c r="AA22" s="30">
        <f t="shared" si="27"/>
        <v>0</v>
      </c>
      <c r="AB22" s="31">
        <f>SUM(AB6:AB21)/15</f>
        <v>0.79867178437443098</v>
      </c>
      <c r="AC22" s="4">
        <f>SUM(AC6:AC21)/15</f>
        <v>0.55277777777777781</v>
      </c>
      <c r="AD22" s="4">
        <f>SUM(AD6:AD21)/15</f>
        <v>0.55205567497000496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5" t="s">
        <v>46</v>
      </c>
      <c r="B49" s="385"/>
      <c r="C49" s="385"/>
      <c r="D49" s="385"/>
      <c r="E49" s="38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86" t="s">
        <v>741</v>
      </c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8"/>
      <c r="N50" s="389" t="s">
        <v>757</v>
      </c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  <c r="AA50" s="390"/>
      <c r="AB50" s="390"/>
      <c r="AC50" s="390"/>
      <c r="AD50" s="391"/>
    </row>
    <row r="51" spans="1:32" ht="27" customHeight="1">
      <c r="A51" s="392" t="s">
        <v>2</v>
      </c>
      <c r="B51" s="393"/>
      <c r="C51" s="272" t="s">
        <v>47</v>
      </c>
      <c r="D51" s="272" t="s">
        <v>48</v>
      </c>
      <c r="E51" s="272" t="s">
        <v>111</v>
      </c>
      <c r="F51" s="393" t="s">
        <v>110</v>
      </c>
      <c r="G51" s="393"/>
      <c r="H51" s="393"/>
      <c r="I51" s="393"/>
      <c r="J51" s="393"/>
      <c r="K51" s="393"/>
      <c r="L51" s="393"/>
      <c r="M51" s="394"/>
      <c r="N51" s="73" t="s">
        <v>115</v>
      </c>
      <c r="O51" s="272" t="s">
        <v>47</v>
      </c>
      <c r="P51" s="395" t="s">
        <v>48</v>
      </c>
      <c r="Q51" s="396"/>
      <c r="R51" s="395" t="s">
        <v>39</v>
      </c>
      <c r="S51" s="397"/>
      <c r="T51" s="397"/>
      <c r="U51" s="396"/>
      <c r="V51" s="395" t="s">
        <v>49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09" t="s">
        <v>742</v>
      </c>
      <c r="B52" s="410"/>
      <c r="C52" s="274" t="s">
        <v>743</v>
      </c>
      <c r="D52" s="274" t="s">
        <v>744</v>
      </c>
      <c r="E52" s="277" t="s">
        <v>745</v>
      </c>
      <c r="F52" s="411" t="s">
        <v>746</v>
      </c>
      <c r="G52" s="411"/>
      <c r="H52" s="411"/>
      <c r="I52" s="411"/>
      <c r="J52" s="411"/>
      <c r="K52" s="411"/>
      <c r="L52" s="411"/>
      <c r="M52" s="412"/>
      <c r="N52" s="273" t="s">
        <v>119</v>
      </c>
      <c r="O52" s="74" t="s">
        <v>671</v>
      </c>
      <c r="P52" s="413" t="s">
        <v>676</v>
      </c>
      <c r="Q52" s="414"/>
      <c r="R52" s="410" t="s">
        <v>677</v>
      </c>
      <c r="S52" s="410"/>
      <c r="T52" s="410"/>
      <c r="U52" s="410"/>
      <c r="V52" s="411" t="s">
        <v>724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732</v>
      </c>
      <c r="B53" s="410"/>
      <c r="C53" s="274" t="s">
        <v>747</v>
      </c>
      <c r="D53" s="274" t="s">
        <v>735</v>
      </c>
      <c r="E53" s="277" t="s">
        <v>736</v>
      </c>
      <c r="F53" s="411" t="s">
        <v>748</v>
      </c>
      <c r="G53" s="411"/>
      <c r="H53" s="411"/>
      <c r="I53" s="411"/>
      <c r="J53" s="411"/>
      <c r="K53" s="411"/>
      <c r="L53" s="411"/>
      <c r="M53" s="412"/>
      <c r="N53" s="273" t="s">
        <v>732</v>
      </c>
      <c r="O53" s="74" t="s">
        <v>750</v>
      </c>
      <c r="P53" s="410" t="s">
        <v>758</v>
      </c>
      <c r="Q53" s="410"/>
      <c r="R53" s="410" t="s">
        <v>759</v>
      </c>
      <c r="S53" s="410"/>
      <c r="T53" s="410"/>
      <c r="U53" s="410"/>
      <c r="V53" s="411" t="s">
        <v>748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732</v>
      </c>
      <c r="B54" s="410"/>
      <c r="C54" s="274" t="s">
        <v>749</v>
      </c>
      <c r="D54" s="274" t="s">
        <v>733</v>
      </c>
      <c r="E54" s="277" t="s">
        <v>734</v>
      </c>
      <c r="F54" s="411" t="s">
        <v>748</v>
      </c>
      <c r="G54" s="411"/>
      <c r="H54" s="411"/>
      <c r="I54" s="411"/>
      <c r="J54" s="411"/>
      <c r="K54" s="411"/>
      <c r="L54" s="411"/>
      <c r="M54" s="412"/>
      <c r="N54" s="273" t="s">
        <v>742</v>
      </c>
      <c r="O54" s="74" t="s">
        <v>760</v>
      </c>
      <c r="P54" s="413" t="s">
        <v>761</v>
      </c>
      <c r="Q54" s="414"/>
      <c r="R54" s="410" t="s">
        <v>762</v>
      </c>
      <c r="S54" s="410"/>
      <c r="T54" s="410"/>
      <c r="U54" s="410"/>
      <c r="V54" s="411" t="s">
        <v>763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119</v>
      </c>
      <c r="B55" s="410"/>
      <c r="C55" s="274" t="s">
        <v>750</v>
      </c>
      <c r="D55" s="274" t="s">
        <v>687</v>
      </c>
      <c r="E55" s="277" t="s">
        <v>698</v>
      </c>
      <c r="F55" s="411" t="s">
        <v>751</v>
      </c>
      <c r="G55" s="411"/>
      <c r="H55" s="411"/>
      <c r="I55" s="411"/>
      <c r="J55" s="411"/>
      <c r="K55" s="411"/>
      <c r="L55" s="411"/>
      <c r="M55" s="412"/>
      <c r="N55" s="273" t="s">
        <v>764</v>
      </c>
      <c r="O55" s="74" t="s">
        <v>765</v>
      </c>
      <c r="P55" s="413" t="s">
        <v>738</v>
      </c>
      <c r="Q55" s="414"/>
      <c r="R55" s="410" t="s">
        <v>766</v>
      </c>
      <c r="S55" s="410"/>
      <c r="T55" s="410"/>
      <c r="U55" s="410"/>
      <c r="V55" s="411" t="s">
        <v>763</v>
      </c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119</v>
      </c>
      <c r="B56" s="410"/>
      <c r="C56" s="274" t="s">
        <v>713</v>
      </c>
      <c r="D56" s="274" t="s">
        <v>714</v>
      </c>
      <c r="E56" s="277" t="s">
        <v>715</v>
      </c>
      <c r="F56" s="411" t="s">
        <v>752</v>
      </c>
      <c r="G56" s="411"/>
      <c r="H56" s="411"/>
      <c r="I56" s="411"/>
      <c r="J56" s="411"/>
      <c r="K56" s="411"/>
      <c r="L56" s="411"/>
      <c r="M56" s="412"/>
      <c r="N56" s="273" t="s">
        <v>768</v>
      </c>
      <c r="O56" s="74" t="s">
        <v>769</v>
      </c>
      <c r="P56" s="413"/>
      <c r="Q56" s="414"/>
      <c r="R56" s="410" t="s">
        <v>767</v>
      </c>
      <c r="S56" s="410"/>
      <c r="T56" s="410"/>
      <c r="U56" s="410"/>
      <c r="V56" s="411" t="s">
        <v>770</v>
      </c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 t="s">
        <v>119</v>
      </c>
      <c r="B57" s="410"/>
      <c r="C57" s="274" t="s">
        <v>717</v>
      </c>
      <c r="D57" s="274" t="s">
        <v>718</v>
      </c>
      <c r="E57" s="277" t="s">
        <v>719</v>
      </c>
      <c r="F57" s="411" t="s">
        <v>753</v>
      </c>
      <c r="G57" s="411"/>
      <c r="H57" s="411"/>
      <c r="I57" s="411"/>
      <c r="J57" s="411"/>
      <c r="K57" s="411"/>
      <c r="L57" s="411"/>
      <c r="M57" s="412"/>
      <c r="N57" s="273"/>
      <c r="O57" s="74"/>
      <c r="P57" s="410"/>
      <c r="Q57" s="410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 t="s">
        <v>721</v>
      </c>
      <c r="B58" s="420"/>
      <c r="C58" s="277" t="s">
        <v>754</v>
      </c>
      <c r="D58" s="274"/>
      <c r="E58" s="277" t="s">
        <v>725</v>
      </c>
      <c r="F58" s="411" t="s">
        <v>751</v>
      </c>
      <c r="G58" s="411"/>
      <c r="H58" s="411"/>
      <c r="I58" s="411"/>
      <c r="J58" s="411"/>
      <c r="K58" s="411"/>
      <c r="L58" s="411"/>
      <c r="M58" s="412"/>
      <c r="N58" s="273"/>
      <c r="O58" s="74"/>
      <c r="P58" s="413"/>
      <c r="Q58" s="414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19" t="s">
        <v>737</v>
      </c>
      <c r="B59" s="420"/>
      <c r="C59" s="277" t="s">
        <v>755</v>
      </c>
      <c r="D59" s="274" t="s">
        <v>738</v>
      </c>
      <c r="E59" s="277" t="s">
        <v>739</v>
      </c>
      <c r="F59" s="411" t="s">
        <v>756</v>
      </c>
      <c r="G59" s="411"/>
      <c r="H59" s="411"/>
      <c r="I59" s="411"/>
      <c r="J59" s="411"/>
      <c r="K59" s="411"/>
      <c r="L59" s="411"/>
      <c r="M59" s="412"/>
      <c r="N59" s="273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</row>
    <row r="60" spans="1:32" ht="27" customHeight="1">
      <c r="A60" s="409"/>
      <c r="B60" s="410"/>
      <c r="C60" s="274"/>
      <c r="D60" s="274"/>
      <c r="E60" s="274"/>
      <c r="F60" s="411"/>
      <c r="G60" s="411"/>
      <c r="H60" s="411"/>
      <c r="I60" s="411"/>
      <c r="J60" s="411"/>
      <c r="K60" s="411"/>
      <c r="L60" s="411"/>
      <c r="M60" s="412"/>
      <c r="N60" s="273"/>
      <c r="O60" s="74"/>
      <c r="P60" s="410"/>
      <c r="Q60" s="410"/>
      <c r="R60" s="410"/>
      <c r="S60" s="410"/>
      <c r="T60" s="410"/>
      <c r="U60" s="410"/>
      <c r="V60" s="411"/>
      <c r="W60" s="411"/>
      <c r="X60" s="411"/>
      <c r="Y60" s="411"/>
      <c r="Z60" s="411"/>
      <c r="AA60" s="411"/>
      <c r="AB60" s="411"/>
      <c r="AC60" s="411"/>
      <c r="AD60" s="412"/>
      <c r="AF60" s="94">
        <f>8*3000</f>
        <v>24000</v>
      </c>
    </row>
    <row r="61" spans="1:32" ht="27" customHeight="1" thickBot="1">
      <c r="A61" s="415"/>
      <c r="B61" s="416"/>
      <c r="C61" s="276"/>
      <c r="D61" s="276"/>
      <c r="E61" s="276"/>
      <c r="F61" s="417"/>
      <c r="G61" s="417"/>
      <c r="H61" s="417"/>
      <c r="I61" s="417"/>
      <c r="J61" s="417"/>
      <c r="K61" s="417"/>
      <c r="L61" s="417"/>
      <c r="M61" s="418"/>
      <c r="N61" s="275"/>
      <c r="O61" s="121"/>
      <c r="P61" s="416"/>
      <c r="Q61" s="416"/>
      <c r="R61" s="416"/>
      <c r="S61" s="416"/>
      <c r="T61" s="416"/>
      <c r="U61" s="416"/>
      <c r="V61" s="417"/>
      <c r="W61" s="417"/>
      <c r="X61" s="417"/>
      <c r="Y61" s="417"/>
      <c r="Z61" s="417"/>
      <c r="AA61" s="417"/>
      <c r="AB61" s="417"/>
      <c r="AC61" s="417"/>
      <c r="AD61" s="418"/>
      <c r="AF61" s="94">
        <f>16*3000</f>
        <v>48000</v>
      </c>
    </row>
    <row r="62" spans="1:32" ht="27.75" thickBot="1">
      <c r="A62" s="421" t="s">
        <v>771</v>
      </c>
      <c r="B62" s="421"/>
      <c r="C62" s="421"/>
      <c r="D62" s="421"/>
      <c r="E62" s="42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2" t="s">
        <v>116</v>
      </c>
      <c r="B63" s="423"/>
      <c r="C63" s="278" t="s">
        <v>2</v>
      </c>
      <c r="D63" s="278" t="s">
        <v>38</v>
      </c>
      <c r="E63" s="278" t="s">
        <v>3</v>
      </c>
      <c r="F63" s="423" t="s">
        <v>113</v>
      </c>
      <c r="G63" s="423"/>
      <c r="H63" s="423"/>
      <c r="I63" s="423"/>
      <c r="J63" s="423"/>
      <c r="K63" s="423" t="s">
        <v>40</v>
      </c>
      <c r="L63" s="423"/>
      <c r="M63" s="278" t="s">
        <v>41</v>
      </c>
      <c r="N63" s="423" t="s">
        <v>42</v>
      </c>
      <c r="O63" s="423"/>
      <c r="P63" s="424" t="s">
        <v>43</v>
      </c>
      <c r="Q63" s="425"/>
      <c r="R63" s="424" t="s">
        <v>44</v>
      </c>
      <c r="S63" s="426"/>
      <c r="T63" s="426"/>
      <c r="U63" s="426"/>
      <c r="V63" s="426"/>
      <c r="W63" s="426"/>
      <c r="X63" s="426"/>
      <c r="Y63" s="426"/>
      <c r="Z63" s="426"/>
      <c r="AA63" s="425"/>
      <c r="AB63" s="423" t="s">
        <v>45</v>
      </c>
      <c r="AC63" s="423"/>
      <c r="AD63" s="427"/>
      <c r="AF63" s="94">
        <f>SUM(AF60:AF62)</f>
        <v>96000</v>
      </c>
    </row>
    <row r="64" spans="1:32" ht="25.5" customHeight="1">
      <c r="A64" s="428">
        <v>1</v>
      </c>
      <c r="B64" s="429"/>
      <c r="C64" s="124" t="s">
        <v>764</v>
      </c>
      <c r="D64" s="281"/>
      <c r="E64" s="279" t="s">
        <v>772</v>
      </c>
      <c r="F64" s="430" t="s">
        <v>773</v>
      </c>
      <c r="G64" s="431"/>
      <c r="H64" s="431"/>
      <c r="I64" s="431"/>
      <c r="J64" s="431"/>
      <c r="K64" s="431" t="s">
        <v>774</v>
      </c>
      <c r="L64" s="431"/>
      <c r="M64" s="54" t="s">
        <v>775</v>
      </c>
      <c r="N64" s="431">
        <v>6</v>
      </c>
      <c r="O64" s="431"/>
      <c r="P64" s="432">
        <v>50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2</v>
      </c>
      <c r="B65" s="429"/>
      <c r="C65" s="124" t="s">
        <v>764</v>
      </c>
      <c r="D65" s="281"/>
      <c r="E65" s="279" t="s">
        <v>772</v>
      </c>
      <c r="F65" s="430" t="s">
        <v>776</v>
      </c>
      <c r="G65" s="431"/>
      <c r="H65" s="431"/>
      <c r="I65" s="431"/>
      <c r="J65" s="431"/>
      <c r="K65" s="431" t="s">
        <v>774</v>
      </c>
      <c r="L65" s="431"/>
      <c r="M65" s="54" t="s">
        <v>775</v>
      </c>
      <c r="N65" s="431">
        <v>6</v>
      </c>
      <c r="O65" s="431"/>
      <c r="P65" s="432">
        <v>50</v>
      </c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3</v>
      </c>
      <c r="B66" s="429"/>
      <c r="C66" s="124" t="s">
        <v>777</v>
      </c>
      <c r="D66" s="281"/>
      <c r="E66" s="279" t="s">
        <v>778</v>
      </c>
      <c r="F66" s="430" t="s">
        <v>779</v>
      </c>
      <c r="G66" s="431"/>
      <c r="H66" s="431"/>
      <c r="I66" s="431"/>
      <c r="J66" s="431"/>
      <c r="K66" s="431" t="s">
        <v>780</v>
      </c>
      <c r="L66" s="431"/>
      <c r="M66" s="54" t="s">
        <v>781</v>
      </c>
      <c r="N66" s="431">
        <v>4</v>
      </c>
      <c r="O66" s="431"/>
      <c r="P66" s="432">
        <v>50</v>
      </c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4</v>
      </c>
      <c r="B67" s="429"/>
      <c r="C67" s="124" t="s">
        <v>777</v>
      </c>
      <c r="D67" s="281"/>
      <c r="E67" s="279" t="s">
        <v>782</v>
      </c>
      <c r="F67" s="430" t="s">
        <v>783</v>
      </c>
      <c r="G67" s="431"/>
      <c r="H67" s="431"/>
      <c r="I67" s="431"/>
      <c r="J67" s="431"/>
      <c r="K67" s="431" t="s">
        <v>780</v>
      </c>
      <c r="L67" s="431"/>
      <c r="M67" s="54" t="s">
        <v>781</v>
      </c>
      <c r="N67" s="431">
        <v>4</v>
      </c>
      <c r="O67" s="431"/>
      <c r="P67" s="432">
        <v>50</v>
      </c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5</v>
      </c>
      <c r="B68" s="429"/>
      <c r="C68" s="124"/>
      <c r="D68" s="281"/>
      <c r="E68" s="279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6</v>
      </c>
      <c r="B69" s="429"/>
      <c r="C69" s="124"/>
      <c r="D69" s="281"/>
      <c r="E69" s="279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7</v>
      </c>
      <c r="B70" s="429"/>
      <c r="C70" s="124"/>
      <c r="D70" s="281"/>
      <c r="E70" s="279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5.5" customHeight="1">
      <c r="A71" s="428">
        <v>8</v>
      </c>
      <c r="B71" s="429"/>
      <c r="C71" s="124"/>
      <c r="D71" s="281"/>
      <c r="E71" s="279"/>
      <c r="F71" s="430"/>
      <c r="G71" s="431"/>
      <c r="H71" s="431"/>
      <c r="I71" s="431"/>
      <c r="J71" s="431"/>
      <c r="K71" s="431"/>
      <c r="L71" s="431"/>
      <c r="M71" s="54"/>
      <c r="N71" s="431"/>
      <c r="O71" s="431"/>
      <c r="P71" s="432"/>
      <c r="Q71" s="432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31"/>
      <c r="AC71" s="431"/>
      <c r="AD71" s="433"/>
      <c r="AF71" s="53"/>
    </row>
    <row r="72" spans="1:32" ht="26.25" customHeight="1" thickBot="1">
      <c r="A72" s="434" t="s">
        <v>784</v>
      </c>
      <c r="B72" s="434"/>
      <c r="C72" s="434"/>
      <c r="D72" s="434"/>
      <c r="E72" s="43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35" t="s">
        <v>116</v>
      </c>
      <c r="B73" s="436"/>
      <c r="C73" s="280" t="s">
        <v>2</v>
      </c>
      <c r="D73" s="280" t="s">
        <v>38</v>
      </c>
      <c r="E73" s="280" t="s">
        <v>3</v>
      </c>
      <c r="F73" s="436" t="s">
        <v>39</v>
      </c>
      <c r="G73" s="436"/>
      <c r="H73" s="436"/>
      <c r="I73" s="436"/>
      <c r="J73" s="436"/>
      <c r="K73" s="437" t="s">
        <v>60</v>
      </c>
      <c r="L73" s="438"/>
      <c r="M73" s="438"/>
      <c r="N73" s="438"/>
      <c r="O73" s="438"/>
      <c r="P73" s="438"/>
      <c r="Q73" s="438"/>
      <c r="R73" s="438"/>
      <c r="S73" s="439"/>
      <c r="T73" s="436" t="s">
        <v>50</v>
      </c>
      <c r="U73" s="436"/>
      <c r="V73" s="437" t="s">
        <v>51</v>
      </c>
      <c r="W73" s="439"/>
      <c r="X73" s="438" t="s">
        <v>52</v>
      </c>
      <c r="Y73" s="438"/>
      <c r="Z73" s="438"/>
      <c r="AA73" s="438"/>
      <c r="AB73" s="438"/>
      <c r="AC73" s="438"/>
      <c r="AD73" s="440"/>
      <c r="AF73" s="53"/>
    </row>
    <row r="74" spans="1:32" ht="33.75" customHeight="1">
      <c r="A74" s="449">
        <v>1</v>
      </c>
      <c r="B74" s="450"/>
      <c r="C74" s="282" t="s">
        <v>119</v>
      </c>
      <c r="D74" s="282"/>
      <c r="E74" s="71" t="s">
        <v>127</v>
      </c>
      <c r="F74" s="451" t="s">
        <v>128</v>
      </c>
      <c r="G74" s="452"/>
      <c r="H74" s="452"/>
      <c r="I74" s="452"/>
      <c r="J74" s="453"/>
      <c r="K74" s="454" t="s">
        <v>121</v>
      </c>
      <c r="L74" s="455"/>
      <c r="M74" s="455"/>
      <c r="N74" s="455"/>
      <c r="O74" s="455"/>
      <c r="P74" s="455"/>
      <c r="Q74" s="455"/>
      <c r="R74" s="455"/>
      <c r="S74" s="456"/>
      <c r="T74" s="457">
        <v>42901</v>
      </c>
      <c r="U74" s="458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1">
        <f>A74+1</f>
        <v>2</v>
      </c>
      <c r="B75" s="442"/>
      <c r="C75" s="281" t="s">
        <v>119</v>
      </c>
      <c r="D75" s="281"/>
      <c r="E75" s="35" t="s">
        <v>124</v>
      </c>
      <c r="F75" s="442" t="s">
        <v>125</v>
      </c>
      <c r="G75" s="442"/>
      <c r="H75" s="442"/>
      <c r="I75" s="442"/>
      <c r="J75" s="442"/>
      <c r="K75" s="443" t="s">
        <v>126</v>
      </c>
      <c r="L75" s="444"/>
      <c r="M75" s="444"/>
      <c r="N75" s="444"/>
      <c r="O75" s="444"/>
      <c r="P75" s="444"/>
      <c r="Q75" s="444"/>
      <c r="R75" s="444"/>
      <c r="S75" s="445"/>
      <c r="T75" s="446">
        <v>42867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ref="A76:A82" si="28">A75+1</f>
        <v>3</v>
      </c>
      <c r="B76" s="442"/>
      <c r="C76" s="281"/>
      <c r="D76" s="281"/>
      <c r="E76" s="35"/>
      <c r="F76" s="442"/>
      <c r="G76" s="442"/>
      <c r="H76" s="442"/>
      <c r="I76" s="442"/>
      <c r="J76" s="442"/>
      <c r="K76" s="443"/>
      <c r="L76" s="444"/>
      <c r="M76" s="444"/>
      <c r="N76" s="444"/>
      <c r="O76" s="444"/>
      <c r="P76" s="444"/>
      <c r="Q76" s="444"/>
      <c r="R76" s="444"/>
      <c r="S76" s="445"/>
      <c r="T76" s="446"/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28"/>
        <v>4</v>
      </c>
      <c r="B77" s="442"/>
      <c r="C77" s="281" t="s">
        <v>292</v>
      </c>
      <c r="D77" s="281"/>
      <c r="E77" s="35" t="s">
        <v>293</v>
      </c>
      <c r="F77" s="442" t="s">
        <v>294</v>
      </c>
      <c r="G77" s="442"/>
      <c r="H77" s="442"/>
      <c r="I77" s="442"/>
      <c r="J77" s="442"/>
      <c r="K77" s="443" t="s">
        <v>331</v>
      </c>
      <c r="L77" s="444"/>
      <c r="M77" s="444"/>
      <c r="N77" s="444"/>
      <c r="O77" s="444"/>
      <c r="P77" s="444"/>
      <c r="Q77" s="444"/>
      <c r="R77" s="444"/>
      <c r="S77" s="445"/>
      <c r="T77" s="446">
        <v>42920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28"/>
        <v>5</v>
      </c>
      <c r="B78" s="442"/>
      <c r="C78" s="281" t="s">
        <v>186</v>
      </c>
      <c r="D78" s="281"/>
      <c r="E78" s="35" t="s">
        <v>455</v>
      </c>
      <c r="F78" s="442" t="s">
        <v>510</v>
      </c>
      <c r="G78" s="442"/>
      <c r="H78" s="442"/>
      <c r="I78" s="442"/>
      <c r="J78" s="442"/>
      <c r="K78" s="443" t="s">
        <v>617</v>
      </c>
      <c r="L78" s="444"/>
      <c r="M78" s="444"/>
      <c r="N78" s="444"/>
      <c r="O78" s="444"/>
      <c r="P78" s="444"/>
      <c r="Q78" s="444"/>
      <c r="R78" s="444"/>
      <c r="S78" s="445"/>
      <c r="T78" s="446">
        <v>42930</v>
      </c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28"/>
        <v>6</v>
      </c>
      <c r="B79" s="442"/>
      <c r="C79" s="281"/>
      <c r="D79" s="281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28"/>
        <v>7</v>
      </c>
      <c r="B80" s="442"/>
      <c r="C80" s="281"/>
      <c r="D80" s="281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28"/>
        <v>8</v>
      </c>
      <c r="B81" s="442"/>
      <c r="C81" s="281"/>
      <c r="D81" s="281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0" customHeight="1">
      <c r="A82" s="441">
        <f t="shared" si="28"/>
        <v>9</v>
      </c>
      <c r="B82" s="442"/>
      <c r="C82" s="281"/>
      <c r="D82" s="281"/>
      <c r="E82" s="35"/>
      <c r="F82" s="442"/>
      <c r="G82" s="442"/>
      <c r="H82" s="442"/>
      <c r="I82" s="442"/>
      <c r="J82" s="442"/>
      <c r="K82" s="443"/>
      <c r="L82" s="444"/>
      <c r="M82" s="444"/>
      <c r="N82" s="444"/>
      <c r="O82" s="444"/>
      <c r="P82" s="444"/>
      <c r="Q82" s="444"/>
      <c r="R82" s="444"/>
      <c r="S82" s="445"/>
      <c r="T82" s="446"/>
      <c r="U82" s="446"/>
      <c r="V82" s="446"/>
      <c r="W82" s="446"/>
      <c r="X82" s="447"/>
      <c r="Y82" s="447"/>
      <c r="Z82" s="447"/>
      <c r="AA82" s="447"/>
      <c r="AB82" s="447"/>
      <c r="AC82" s="447"/>
      <c r="AD82" s="448"/>
      <c r="AF82" s="53"/>
    </row>
    <row r="83" spans="1:32" ht="36" thickBot="1">
      <c r="A83" s="434" t="s">
        <v>785</v>
      </c>
      <c r="B83" s="434"/>
      <c r="C83" s="434"/>
      <c r="D83" s="434"/>
      <c r="E83" s="43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2" t="s">
        <v>37</v>
      </c>
      <c r="B84" s="463"/>
      <c r="C84" s="463" t="s">
        <v>53</v>
      </c>
      <c r="D84" s="463"/>
      <c r="E84" s="463" t="s">
        <v>54</v>
      </c>
      <c r="F84" s="463"/>
      <c r="G84" s="463"/>
      <c r="H84" s="463"/>
      <c r="I84" s="463"/>
      <c r="J84" s="463"/>
      <c r="K84" s="463" t="s">
        <v>55</v>
      </c>
      <c r="L84" s="463"/>
      <c r="M84" s="463"/>
      <c r="N84" s="463"/>
      <c r="O84" s="463"/>
      <c r="P84" s="463"/>
      <c r="Q84" s="463"/>
      <c r="R84" s="463"/>
      <c r="S84" s="463"/>
      <c r="T84" s="463" t="s">
        <v>56</v>
      </c>
      <c r="U84" s="463"/>
      <c r="V84" s="463" t="s">
        <v>57</v>
      </c>
      <c r="W84" s="463"/>
      <c r="X84" s="463"/>
      <c r="Y84" s="463" t="s">
        <v>52</v>
      </c>
      <c r="Z84" s="463"/>
      <c r="AA84" s="463"/>
      <c r="AB84" s="463"/>
      <c r="AC84" s="463"/>
      <c r="AD84" s="464"/>
      <c r="AF84" s="53"/>
    </row>
    <row r="85" spans="1:32" ht="30.75" customHeight="1">
      <c r="A85" s="449">
        <v>1</v>
      </c>
      <c r="B85" s="450"/>
      <c r="C85" s="465">
        <v>1</v>
      </c>
      <c r="D85" s="465"/>
      <c r="E85" s="465" t="s">
        <v>149</v>
      </c>
      <c r="F85" s="465"/>
      <c r="G85" s="465"/>
      <c r="H85" s="465"/>
      <c r="I85" s="465"/>
      <c r="J85" s="465"/>
      <c r="K85" s="465" t="s">
        <v>150</v>
      </c>
      <c r="L85" s="465"/>
      <c r="M85" s="465"/>
      <c r="N85" s="465"/>
      <c r="O85" s="465"/>
      <c r="P85" s="465"/>
      <c r="Q85" s="465"/>
      <c r="R85" s="465"/>
      <c r="S85" s="465"/>
      <c r="T85" s="465" t="s">
        <v>151</v>
      </c>
      <c r="U85" s="465"/>
      <c r="V85" s="466">
        <v>1500000</v>
      </c>
      <c r="W85" s="466"/>
      <c r="X85" s="466"/>
      <c r="Y85" s="467" t="s">
        <v>152</v>
      </c>
      <c r="Z85" s="467"/>
      <c r="AA85" s="467"/>
      <c r="AB85" s="467"/>
      <c r="AC85" s="467"/>
      <c r="AD85" s="468"/>
      <c r="AF85" s="53"/>
    </row>
    <row r="86" spans="1:32" ht="30.75" customHeight="1">
      <c r="A86" s="441">
        <v>2</v>
      </c>
      <c r="B86" s="442"/>
      <c r="C86" s="476">
        <v>10</v>
      </c>
      <c r="D86" s="476"/>
      <c r="E86" s="476" t="s">
        <v>162</v>
      </c>
      <c r="F86" s="476"/>
      <c r="G86" s="476"/>
      <c r="H86" s="476"/>
      <c r="I86" s="476"/>
      <c r="J86" s="476"/>
      <c r="K86" s="476" t="s">
        <v>163</v>
      </c>
      <c r="L86" s="476"/>
      <c r="M86" s="476"/>
      <c r="N86" s="476"/>
      <c r="O86" s="476"/>
      <c r="P86" s="476"/>
      <c r="Q86" s="476"/>
      <c r="R86" s="476"/>
      <c r="S86" s="476"/>
      <c r="T86" s="477" t="s">
        <v>164</v>
      </c>
      <c r="U86" s="477"/>
      <c r="V86" s="478">
        <v>350000</v>
      </c>
      <c r="W86" s="478"/>
      <c r="X86" s="478"/>
      <c r="Y86" s="469" t="s">
        <v>176</v>
      </c>
      <c r="Z86" s="469"/>
      <c r="AA86" s="469"/>
      <c r="AB86" s="469"/>
      <c r="AC86" s="469"/>
      <c r="AD86" s="470"/>
      <c r="AF86" s="53"/>
    </row>
    <row r="87" spans="1:32" ht="30.75" customHeight="1" thickBot="1">
      <c r="A87" s="471">
        <v>3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3"/>
      <c r="W87" s="473"/>
      <c r="X87" s="473"/>
      <c r="Y87" s="474"/>
      <c r="Z87" s="474"/>
      <c r="AA87" s="474"/>
      <c r="AB87" s="474"/>
      <c r="AC87" s="474"/>
      <c r="AD87" s="47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R59" sqref="R59:U5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68" t="s">
        <v>786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6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6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0.36067945384557387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585</v>
      </c>
      <c r="D7" s="55" t="s">
        <v>586</v>
      </c>
      <c r="E7" s="56" t="s">
        <v>587</v>
      </c>
      <c r="F7" s="12" t="s">
        <v>588</v>
      </c>
      <c r="G7" s="36">
        <v>3</v>
      </c>
      <c r="H7" s="38">
        <v>25</v>
      </c>
      <c r="I7" s="7">
        <v>20000</v>
      </c>
      <c r="J7" s="14">
        <v>11830</v>
      </c>
      <c r="K7" s="15">
        <f>L7+5220+10106+4990+13425+11829</f>
        <v>45570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0.36067945384557387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664</v>
      </c>
      <c r="F8" s="12" t="s">
        <v>130</v>
      </c>
      <c r="G8" s="36">
        <v>1</v>
      </c>
      <c r="H8" s="38">
        <v>25</v>
      </c>
      <c r="I8" s="7">
        <v>20000</v>
      </c>
      <c r="J8" s="14">
        <v>4870</v>
      </c>
      <c r="K8" s="15">
        <f>L8+1132+4460+4384</f>
        <v>14845</v>
      </c>
      <c r="L8" s="15">
        <f>2498+2371</f>
        <v>4869</v>
      </c>
      <c r="M8" s="16">
        <f t="shared" si="0"/>
        <v>4869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0.99979466119096505</v>
      </c>
      <c r="AC8" s="9">
        <f t="shared" si="5"/>
        <v>1</v>
      </c>
      <c r="AD8" s="10">
        <f t="shared" si="6"/>
        <v>0.99979466119096505</v>
      </c>
      <c r="AE8" s="39">
        <f t="shared" si="7"/>
        <v>0.36067945384557387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788</v>
      </c>
      <c r="D9" s="55" t="s">
        <v>687</v>
      </c>
      <c r="E9" s="57" t="s">
        <v>789</v>
      </c>
      <c r="F9" s="12" t="s">
        <v>790</v>
      </c>
      <c r="G9" s="12">
        <v>1</v>
      </c>
      <c r="H9" s="13">
        <v>25</v>
      </c>
      <c r="I9" s="34">
        <v>300</v>
      </c>
      <c r="J9" s="5">
        <v>540</v>
      </c>
      <c r="K9" s="15">
        <f>L9</f>
        <v>539</v>
      </c>
      <c r="L9" s="15">
        <f>539</f>
        <v>539</v>
      </c>
      <c r="M9" s="16">
        <f t="shared" si="0"/>
        <v>539</v>
      </c>
      <c r="N9" s="16">
        <v>0</v>
      </c>
      <c r="O9" s="62">
        <f t="shared" si="1"/>
        <v>0</v>
      </c>
      <c r="P9" s="42">
        <f t="shared" si="2"/>
        <v>5</v>
      </c>
      <c r="Q9" s="43">
        <f t="shared" si="3"/>
        <v>19</v>
      </c>
      <c r="R9" s="7"/>
      <c r="S9" s="6"/>
      <c r="T9" s="17"/>
      <c r="U9" s="17"/>
      <c r="V9" s="18"/>
      <c r="W9" s="19">
        <v>19</v>
      </c>
      <c r="X9" s="17"/>
      <c r="Y9" s="20"/>
      <c r="Z9" s="20"/>
      <c r="AA9" s="21"/>
      <c r="AB9" s="8">
        <f t="shared" si="4"/>
        <v>0.99814814814814812</v>
      </c>
      <c r="AC9" s="9">
        <f t="shared" si="5"/>
        <v>0.20833333333333334</v>
      </c>
      <c r="AD9" s="10">
        <f t="shared" si="6"/>
        <v>0.20794753086419754</v>
      </c>
      <c r="AE9" s="39">
        <f t="shared" si="7"/>
        <v>0.36067945384557387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119</v>
      </c>
      <c r="D10" s="55" t="s">
        <v>621</v>
      </c>
      <c r="E10" s="57" t="s">
        <v>690</v>
      </c>
      <c r="F10" s="12" t="s">
        <v>691</v>
      </c>
      <c r="G10" s="12">
        <v>1</v>
      </c>
      <c r="H10" s="13">
        <v>25</v>
      </c>
      <c r="I10" s="34">
        <v>3500</v>
      </c>
      <c r="J10" s="14">
        <v>3440</v>
      </c>
      <c r="K10" s="15">
        <f>L10+3214+3439</f>
        <v>6653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0.36067945384557387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620</v>
      </c>
      <c r="D11" s="55" t="s">
        <v>621</v>
      </c>
      <c r="E11" s="57" t="s">
        <v>697</v>
      </c>
      <c r="F11" s="12" t="s">
        <v>623</v>
      </c>
      <c r="G11" s="12">
        <v>1</v>
      </c>
      <c r="H11" s="13">
        <v>25</v>
      </c>
      <c r="I11" s="34">
        <v>2000</v>
      </c>
      <c r="J11" s="14">
        <v>1070</v>
      </c>
      <c r="K11" s="15">
        <f>L11+3392+1067</f>
        <v>4459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0.36067945384557387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1930</v>
      </c>
      <c r="K12" s="15">
        <f>L12+3669+4855+2235+2780+2059+3271+4852+4899+2834+4120+5019+3677+4074+3799+831+1797+2987+4632</f>
        <v>64318</v>
      </c>
      <c r="L12" s="15">
        <f>1928</f>
        <v>1928</v>
      </c>
      <c r="M12" s="16">
        <f t="shared" si="0"/>
        <v>1928</v>
      </c>
      <c r="N12" s="16">
        <v>0</v>
      </c>
      <c r="O12" s="62">
        <f t="shared" si="1"/>
        <v>0</v>
      </c>
      <c r="P12" s="42">
        <f t="shared" si="2"/>
        <v>8</v>
      </c>
      <c r="Q12" s="43">
        <f t="shared" si="3"/>
        <v>16</v>
      </c>
      <c r="R12" s="7"/>
      <c r="S12" s="6">
        <v>16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0.99896373056994814</v>
      </c>
      <c r="AC12" s="9">
        <f t="shared" si="5"/>
        <v>0.33333333333333331</v>
      </c>
      <c r="AD12" s="10">
        <f t="shared" si="6"/>
        <v>0.33298791018998269</v>
      </c>
      <c r="AE12" s="39">
        <f t="shared" si="7"/>
        <v>0.36067945384557387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791</v>
      </c>
      <c r="E13" s="57" t="s">
        <v>792</v>
      </c>
      <c r="F13" s="12" t="s">
        <v>696</v>
      </c>
      <c r="G13" s="12">
        <v>1</v>
      </c>
      <c r="H13" s="13">
        <v>35</v>
      </c>
      <c r="I13" s="7">
        <v>3000</v>
      </c>
      <c r="J13" s="14">
        <v>3300</v>
      </c>
      <c r="K13" s="15">
        <f>L13</f>
        <v>3281</v>
      </c>
      <c r="L13" s="15">
        <f>2823+458</f>
        <v>3281</v>
      </c>
      <c r="M13" s="16">
        <f t="shared" si="0"/>
        <v>3281</v>
      </c>
      <c r="N13" s="16">
        <v>0</v>
      </c>
      <c r="O13" s="62">
        <f t="shared" si="1"/>
        <v>0</v>
      </c>
      <c r="P13" s="42">
        <f t="shared" si="2"/>
        <v>17</v>
      </c>
      <c r="Q13" s="43">
        <f t="shared" si="3"/>
        <v>7</v>
      </c>
      <c r="R13" s="7"/>
      <c r="S13" s="6">
        <v>7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0.99424242424242426</v>
      </c>
      <c r="AC13" s="9">
        <f t="shared" si="5"/>
        <v>0.70833333333333337</v>
      </c>
      <c r="AD13" s="10">
        <f t="shared" si="6"/>
        <v>0.70425505050505055</v>
      </c>
      <c r="AE13" s="39">
        <f t="shared" si="7"/>
        <v>0.36067945384557387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119</v>
      </c>
      <c r="D14" s="55" t="s">
        <v>624</v>
      </c>
      <c r="E14" s="57" t="s">
        <v>625</v>
      </c>
      <c r="F14" s="33" t="s">
        <v>626</v>
      </c>
      <c r="G14" s="36">
        <v>1</v>
      </c>
      <c r="H14" s="38">
        <v>40</v>
      </c>
      <c r="I14" s="7">
        <v>1200</v>
      </c>
      <c r="J14" s="5">
        <v>860</v>
      </c>
      <c r="K14" s="15">
        <f>L14+856</f>
        <v>856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0.36067945384557387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732</v>
      </c>
      <c r="D15" s="55" t="s">
        <v>733</v>
      </c>
      <c r="E15" s="57" t="s">
        <v>734</v>
      </c>
      <c r="F15" s="12">
        <v>8301</v>
      </c>
      <c r="G15" s="12">
        <v>1</v>
      </c>
      <c r="H15" s="13">
        <v>25</v>
      </c>
      <c r="I15" s="34">
        <v>3000</v>
      </c>
      <c r="J15" s="14">
        <v>6790</v>
      </c>
      <c r="K15" s="15">
        <f>L15+5822</f>
        <v>12604</v>
      </c>
      <c r="L15" s="15">
        <f>3483+3299</f>
        <v>6782</v>
      </c>
      <c r="M15" s="16">
        <f t="shared" si="0"/>
        <v>6782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0.99882179675994109</v>
      </c>
      <c r="AC15" s="9">
        <f t="shared" si="5"/>
        <v>1</v>
      </c>
      <c r="AD15" s="10">
        <f t="shared" si="6"/>
        <v>0.99882179675994109</v>
      </c>
      <c r="AE15" s="39">
        <f t="shared" si="7"/>
        <v>0.36067945384557387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732</v>
      </c>
      <c r="D16" s="55" t="s">
        <v>735</v>
      </c>
      <c r="E16" s="56" t="s">
        <v>736</v>
      </c>
      <c r="F16" s="12" t="s">
        <v>666</v>
      </c>
      <c r="G16" s="36">
        <v>2</v>
      </c>
      <c r="H16" s="38">
        <v>25</v>
      </c>
      <c r="I16" s="7">
        <v>3000</v>
      </c>
      <c r="J16" s="14">
        <v>3040</v>
      </c>
      <c r="K16" s="15">
        <f>L16+6712</f>
        <v>9750</v>
      </c>
      <c r="L16" s="15">
        <f>1519*2</f>
        <v>3038</v>
      </c>
      <c r="M16" s="16">
        <f t="shared" si="0"/>
        <v>3038</v>
      </c>
      <c r="N16" s="16">
        <v>0</v>
      </c>
      <c r="O16" s="62">
        <f t="shared" si="1"/>
        <v>0</v>
      </c>
      <c r="P16" s="42">
        <f t="shared" si="2"/>
        <v>4</v>
      </c>
      <c r="Q16" s="43">
        <f t="shared" si="3"/>
        <v>20</v>
      </c>
      <c r="R16" s="7"/>
      <c r="S16" s="6"/>
      <c r="T16" s="17"/>
      <c r="U16" s="17"/>
      <c r="V16" s="18"/>
      <c r="W16" s="19">
        <v>20</v>
      </c>
      <c r="X16" s="17"/>
      <c r="Y16" s="20"/>
      <c r="Z16" s="20"/>
      <c r="AA16" s="21"/>
      <c r="AB16" s="8">
        <f t="shared" si="4"/>
        <v>0.99934210526315792</v>
      </c>
      <c r="AC16" s="9">
        <f t="shared" si="5"/>
        <v>0.16666666666666666</v>
      </c>
      <c r="AD16" s="10">
        <f t="shared" si="6"/>
        <v>0.16655701754385965</v>
      </c>
      <c r="AE16" s="39">
        <f t="shared" si="7"/>
        <v>0.36067945384557387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0.36067945384557387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737</v>
      </c>
      <c r="D18" s="55" t="s">
        <v>738</v>
      </c>
      <c r="E18" s="57" t="s">
        <v>739</v>
      </c>
      <c r="F18" s="12" t="s">
        <v>740</v>
      </c>
      <c r="G18" s="12">
        <v>1</v>
      </c>
      <c r="H18" s="13">
        <v>25</v>
      </c>
      <c r="I18" s="34">
        <v>5000</v>
      </c>
      <c r="J18" s="5">
        <v>4350</v>
      </c>
      <c r="K18" s="15">
        <f>L18+4366</f>
        <v>8716</v>
      </c>
      <c r="L18" s="15">
        <f>2868+1482</f>
        <v>4350</v>
      </c>
      <c r="M18" s="16">
        <f t="shared" si="0"/>
        <v>4350</v>
      </c>
      <c r="N18" s="16">
        <v>0</v>
      </c>
      <c r="O18" s="62">
        <f t="shared" si="1"/>
        <v>0</v>
      </c>
      <c r="P18" s="42">
        <f t="shared" si="2"/>
        <v>21</v>
      </c>
      <c r="Q18" s="43">
        <f t="shared" si="3"/>
        <v>3</v>
      </c>
      <c r="R18" s="7"/>
      <c r="S18" s="6">
        <v>3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9">
        <f t="shared" si="7"/>
        <v>0.36067945384557387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167</v>
      </c>
      <c r="E19" s="57" t="s">
        <v>700</v>
      </c>
      <c r="F19" s="33" t="s">
        <v>338</v>
      </c>
      <c r="G19" s="36">
        <v>1</v>
      </c>
      <c r="H19" s="38">
        <v>25</v>
      </c>
      <c r="I19" s="7">
        <v>3500</v>
      </c>
      <c r="J19" s="5">
        <v>1140</v>
      </c>
      <c r="K19" s="15">
        <f>L19+598+2873</f>
        <v>4611</v>
      </c>
      <c r="L19" s="15">
        <f>1140</f>
        <v>1140</v>
      </c>
      <c r="M19" s="16">
        <f t="shared" si="0"/>
        <v>1140</v>
      </c>
      <c r="N19" s="16">
        <v>0</v>
      </c>
      <c r="O19" s="62">
        <f t="shared" si="1"/>
        <v>0</v>
      </c>
      <c r="P19" s="42">
        <f t="shared" si="2"/>
        <v>6</v>
      </c>
      <c r="Q19" s="43">
        <f t="shared" si="3"/>
        <v>18</v>
      </c>
      <c r="R19" s="7"/>
      <c r="S19" s="6"/>
      <c r="T19" s="17"/>
      <c r="U19" s="17"/>
      <c r="V19" s="18"/>
      <c r="W19" s="19">
        <v>18</v>
      </c>
      <c r="X19" s="17"/>
      <c r="Y19" s="20"/>
      <c r="Z19" s="20"/>
      <c r="AA19" s="21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9">
        <f t="shared" si="7"/>
        <v>0.36067945384557387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793</v>
      </c>
      <c r="F20" s="12" t="s">
        <v>118</v>
      </c>
      <c r="G20" s="12">
        <v>4</v>
      </c>
      <c r="H20" s="38">
        <v>20</v>
      </c>
      <c r="I20" s="7">
        <v>200000</v>
      </c>
      <c r="J20" s="14">
        <v>40660</v>
      </c>
      <c r="K20" s="15">
        <f>L20</f>
        <v>40652</v>
      </c>
      <c r="L20" s="15">
        <f>7894*4+2269*4</f>
        <v>40652</v>
      </c>
      <c r="M20" s="16">
        <f t="shared" si="0"/>
        <v>40652</v>
      </c>
      <c r="N20" s="16">
        <v>0</v>
      </c>
      <c r="O20" s="62">
        <f t="shared" si="1"/>
        <v>0</v>
      </c>
      <c r="P20" s="42">
        <f t="shared" si="2"/>
        <v>21</v>
      </c>
      <c r="Q20" s="43">
        <f t="shared" si="3"/>
        <v>3</v>
      </c>
      <c r="R20" s="7"/>
      <c r="S20" s="6"/>
      <c r="T20" s="17">
        <v>3</v>
      </c>
      <c r="U20" s="17"/>
      <c r="V20" s="18"/>
      <c r="W20" s="19"/>
      <c r="X20" s="17"/>
      <c r="Y20" s="20"/>
      <c r="Z20" s="20"/>
      <c r="AA20" s="21"/>
      <c r="AB20" s="8">
        <f t="shared" si="4"/>
        <v>0.99980324643384166</v>
      </c>
      <c r="AC20" s="9">
        <f t="shared" si="5"/>
        <v>0.875</v>
      </c>
      <c r="AD20" s="10">
        <f t="shared" si="6"/>
        <v>0.8748278406296115</v>
      </c>
      <c r="AE20" s="39">
        <f t="shared" si="7"/>
        <v>0.36067945384557387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312300</v>
      </c>
      <c r="J21" s="22">
        <f t="shared" si="10"/>
        <v>87231</v>
      </c>
      <c r="K21" s="23">
        <f t="shared" si="10"/>
        <v>220257</v>
      </c>
      <c r="L21" s="24">
        <f t="shared" si="10"/>
        <v>66579</v>
      </c>
      <c r="M21" s="23">
        <f t="shared" si="10"/>
        <v>66579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130</v>
      </c>
      <c r="Q21" s="46">
        <f t="shared" si="11"/>
        <v>230</v>
      </c>
      <c r="R21" s="26">
        <f t="shared" si="11"/>
        <v>48</v>
      </c>
      <c r="S21" s="27">
        <f t="shared" si="11"/>
        <v>50</v>
      </c>
      <c r="T21" s="27">
        <f t="shared" si="11"/>
        <v>3</v>
      </c>
      <c r="U21" s="27">
        <f t="shared" si="11"/>
        <v>0</v>
      </c>
      <c r="V21" s="28">
        <f t="shared" si="11"/>
        <v>0</v>
      </c>
      <c r="W21" s="29">
        <f t="shared" si="11"/>
        <v>129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0.59927440750722849</v>
      </c>
      <c r="AC21" s="4">
        <f>SUM(AC6:AC20)/15</f>
        <v>0.36111111111111105</v>
      </c>
      <c r="AD21" s="4">
        <f>SUM(AD6:AD20)/15</f>
        <v>0.36067945384557387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794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814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293" t="s">
        <v>47</v>
      </c>
      <c r="D50" s="293" t="s">
        <v>48</v>
      </c>
      <c r="E50" s="293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293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795</v>
      </c>
      <c r="B51" s="410"/>
      <c r="C51" s="289" t="s">
        <v>798</v>
      </c>
      <c r="D51" s="289" t="s">
        <v>797</v>
      </c>
      <c r="E51" s="292" t="s">
        <v>799</v>
      </c>
      <c r="F51" s="411" t="s">
        <v>800</v>
      </c>
      <c r="G51" s="411"/>
      <c r="H51" s="411"/>
      <c r="I51" s="411"/>
      <c r="J51" s="411"/>
      <c r="K51" s="411"/>
      <c r="L51" s="411"/>
      <c r="M51" s="412"/>
      <c r="N51" s="288" t="s">
        <v>796</v>
      </c>
      <c r="O51" s="74" t="s">
        <v>671</v>
      </c>
      <c r="P51" s="413" t="s">
        <v>815</v>
      </c>
      <c r="Q51" s="414"/>
      <c r="R51" s="410" t="s">
        <v>816</v>
      </c>
      <c r="S51" s="410"/>
      <c r="T51" s="410"/>
      <c r="U51" s="410"/>
      <c r="V51" s="411" t="s">
        <v>724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119</v>
      </c>
      <c r="B52" s="410"/>
      <c r="C52" s="289" t="s">
        <v>801</v>
      </c>
      <c r="D52" s="289" t="s">
        <v>687</v>
      </c>
      <c r="E52" s="292" t="s">
        <v>789</v>
      </c>
      <c r="F52" s="411" t="s">
        <v>802</v>
      </c>
      <c r="G52" s="411"/>
      <c r="H52" s="411"/>
      <c r="I52" s="411"/>
      <c r="J52" s="411"/>
      <c r="K52" s="411"/>
      <c r="L52" s="411"/>
      <c r="M52" s="412"/>
      <c r="N52" s="288" t="s">
        <v>764</v>
      </c>
      <c r="O52" s="74" t="s">
        <v>765</v>
      </c>
      <c r="P52" s="413" t="s">
        <v>738</v>
      </c>
      <c r="Q52" s="414"/>
      <c r="R52" s="410" t="s">
        <v>766</v>
      </c>
      <c r="S52" s="410"/>
      <c r="T52" s="410"/>
      <c r="U52" s="410"/>
      <c r="V52" s="411" t="s">
        <v>817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119</v>
      </c>
      <c r="B53" s="410"/>
      <c r="C53" s="289" t="s">
        <v>713</v>
      </c>
      <c r="D53" s="289" t="s">
        <v>714</v>
      </c>
      <c r="E53" s="292" t="s">
        <v>715</v>
      </c>
      <c r="F53" s="411" t="s">
        <v>803</v>
      </c>
      <c r="G53" s="411"/>
      <c r="H53" s="411"/>
      <c r="I53" s="411"/>
      <c r="J53" s="411"/>
      <c r="K53" s="411"/>
      <c r="L53" s="411"/>
      <c r="M53" s="412"/>
      <c r="N53" s="288" t="s">
        <v>823</v>
      </c>
      <c r="O53" s="74" t="s">
        <v>824</v>
      </c>
      <c r="P53" s="413" t="s">
        <v>825</v>
      </c>
      <c r="Q53" s="414"/>
      <c r="R53" s="410" t="s">
        <v>822</v>
      </c>
      <c r="S53" s="410"/>
      <c r="T53" s="410"/>
      <c r="U53" s="410"/>
      <c r="V53" s="411" t="s">
        <v>826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19" t="s">
        <v>737</v>
      </c>
      <c r="B54" s="420"/>
      <c r="C54" s="292" t="s">
        <v>755</v>
      </c>
      <c r="D54" s="289" t="s">
        <v>738</v>
      </c>
      <c r="E54" s="292" t="s">
        <v>739</v>
      </c>
      <c r="F54" s="411" t="s">
        <v>804</v>
      </c>
      <c r="G54" s="411"/>
      <c r="H54" s="411"/>
      <c r="I54" s="411"/>
      <c r="J54" s="411"/>
      <c r="K54" s="411"/>
      <c r="L54" s="411"/>
      <c r="M54" s="412"/>
      <c r="N54" s="288"/>
      <c r="O54" s="74"/>
      <c r="P54" s="413"/>
      <c r="Q54" s="414"/>
      <c r="R54" s="410"/>
      <c r="S54" s="410"/>
      <c r="T54" s="410"/>
      <c r="U54" s="410"/>
      <c r="V54" s="411"/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796</v>
      </c>
      <c r="B55" s="410"/>
      <c r="C55" s="289" t="s">
        <v>805</v>
      </c>
      <c r="D55" s="289" t="s">
        <v>806</v>
      </c>
      <c r="E55" s="292" t="s">
        <v>807</v>
      </c>
      <c r="F55" s="411" t="s">
        <v>808</v>
      </c>
      <c r="G55" s="411"/>
      <c r="H55" s="411"/>
      <c r="I55" s="411"/>
      <c r="J55" s="411"/>
      <c r="K55" s="411"/>
      <c r="L55" s="411"/>
      <c r="M55" s="412"/>
      <c r="N55" s="288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818</v>
      </c>
      <c r="B56" s="410"/>
      <c r="C56" s="289" t="s">
        <v>819</v>
      </c>
      <c r="D56" s="289"/>
      <c r="E56" s="292" t="s">
        <v>820</v>
      </c>
      <c r="F56" s="411" t="s">
        <v>821</v>
      </c>
      <c r="G56" s="411"/>
      <c r="H56" s="411"/>
      <c r="I56" s="411"/>
      <c r="J56" s="411"/>
      <c r="K56" s="411"/>
      <c r="L56" s="411"/>
      <c r="M56" s="412"/>
      <c r="N56" s="288"/>
      <c r="O56" s="74"/>
      <c r="P56" s="410"/>
      <c r="Q56" s="410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19"/>
      <c r="B57" s="420"/>
      <c r="C57" s="292"/>
      <c r="D57" s="289"/>
      <c r="E57" s="292"/>
      <c r="F57" s="411"/>
      <c r="G57" s="411"/>
      <c r="H57" s="411"/>
      <c r="I57" s="411"/>
      <c r="J57" s="411"/>
      <c r="K57" s="411"/>
      <c r="L57" s="411"/>
      <c r="M57" s="412"/>
      <c r="N57" s="288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292"/>
      <c r="D58" s="289"/>
      <c r="E58" s="292"/>
      <c r="F58" s="411"/>
      <c r="G58" s="411"/>
      <c r="H58" s="411"/>
      <c r="I58" s="411"/>
      <c r="J58" s="411"/>
      <c r="K58" s="411"/>
      <c r="L58" s="411"/>
      <c r="M58" s="412"/>
      <c r="N58" s="288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289"/>
      <c r="D59" s="289"/>
      <c r="E59" s="289"/>
      <c r="F59" s="411"/>
      <c r="G59" s="411"/>
      <c r="H59" s="411"/>
      <c r="I59" s="411"/>
      <c r="J59" s="411"/>
      <c r="K59" s="411"/>
      <c r="L59" s="411"/>
      <c r="M59" s="412"/>
      <c r="N59" s="288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291"/>
      <c r="D60" s="291"/>
      <c r="E60" s="291"/>
      <c r="F60" s="417"/>
      <c r="G60" s="417"/>
      <c r="H60" s="417"/>
      <c r="I60" s="417"/>
      <c r="J60" s="417"/>
      <c r="K60" s="417"/>
      <c r="L60" s="417"/>
      <c r="M60" s="418"/>
      <c r="N60" s="290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809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287" t="s">
        <v>2</v>
      </c>
      <c r="D62" s="287" t="s">
        <v>38</v>
      </c>
      <c r="E62" s="287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287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788</v>
      </c>
      <c r="D63" s="283"/>
      <c r="E63" s="285" t="s">
        <v>810</v>
      </c>
      <c r="F63" s="430" t="s">
        <v>811</v>
      </c>
      <c r="G63" s="431"/>
      <c r="H63" s="431"/>
      <c r="I63" s="431"/>
      <c r="J63" s="431"/>
      <c r="K63" s="431" t="s">
        <v>812</v>
      </c>
      <c r="L63" s="431"/>
      <c r="M63" s="54" t="s">
        <v>813</v>
      </c>
      <c r="N63" s="431">
        <v>9</v>
      </c>
      <c r="O63" s="431"/>
      <c r="P63" s="432">
        <v>50</v>
      </c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/>
      <c r="D64" s="283"/>
      <c r="E64" s="285"/>
      <c r="F64" s="430"/>
      <c r="G64" s="431"/>
      <c r="H64" s="431"/>
      <c r="I64" s="431"/>
      <c r="J64" s="431"/>
      <c r="K64" s="431"/>
      <c r="L64" s="431"/>
      <c r="M64" s="54"/>
      <c r="N64" s="431"/>
      <c r="O64" s="431"/>
      <c r="P64" s="432"/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/>
      <c r="D65" s="283"/>
      <c r="E65" s="285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/>
      <c r="D66" s="283"/>
      <c r="E66" s="285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283"/>
      <c r="E67" s="285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283"/>
      <c r="E68" s="285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283"/>
      <c r="E69" s="285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283"/>
      <c r="E70" s="285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827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286" t="s">
        <v>2</v>
      </c>
      <c r="D72" s="286" t="s">
        <v>38</v>
      </c>
      <c r="E72" s="286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284" t="s">
        <v>119</v>
      </c>
      <c r="D73" s="284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283" t="s">
        <v>119</v>
      </c>
      <c r="D74" s="283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283" t="s">
        <v>823</v>
      </c>
      <c r="D75" s="283"/>
      <c r="E75" s="35" t="s">
        <v>825</v>
      </c>
      <c r="F75" s="442" t="s">
        <v>828</v>
      </c>
      <c r="G75" s="442"/>
      <c r="H75" s="442"/>
      <c r="I75" s="442"/>
      <c r="J75" s="442"/>
      <c r="K75" s="443" t="s">
        <v>829</v>
      </c>
      <c r="L75" s="444"/>
      <c r="M75" s="444"/>
      <c r="N75" s="444"/>
      <c r="O75" s="444"/>
      <c r="P75" s="444"/>
      <c r="Q75" s="444"/>
      <c r="R75" s="444"/>
      <c r="S75" s="445"/>
      <c r="T75" s="446">
        <v>42935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283" t="s">
        <v>292</v>
      </c>
      <c r="D76" s="283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283" t="s">
        <v>186</v>
      </c>
      <c r="D77" s="283"/>
      <c r="E77" s="35" t="s">
        <v>455</v>
      </c>
      <c r="F77" s="442" t="s">
        <v>510</v>
      </c>
      <c r="G77" s="442"/>
      <c r="H77" s="442"/>
      <c r="I77" s="442"/>
      <c r="J77" s="442"/>
      <c r="K77" s="443" t="s">
        <v>617</v>
      </c>
      <c r="L77" s="444"/>
      <c r="M77" s="444"/>
      <c r="N77" s="444"/>
      <c r="O77" s="444"/>
      <c r="P77" s="444"/>
      <c r="Q77" s="444"/>
      <c r="R77" s="444"/>
      <c r="S77" s="445"/>
      <c r="T77" s="446">
        <v>42930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283"/>
      <c r="D78" s="283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283"/>
      <c r="D79" s="283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283"/>
      <c r="D80" s="283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283"/>
      <c r="D81" s="283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830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176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D7" sqref="D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68" t="s">
        <v>831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6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295" t="s">
        <v>17</v>
      </c>
      <c r="L5" s="295" t="s">
        <v>18</v>
      </c>
      <c r="M5" s="295" t="s">
        <v>19</v>
      </c>
      <c r="N5" s="29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6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0.29631825808150292</v>
      </c>
      <c r="AF6" s="94">
        <f t="shared" ref="AF6:AF21" si="8">A6</f>
        <v>1</v>
      </c>
    </row>
    <row r="7" spans="1:36" ht="27" customHeight="1">
      <c r="A7" s="108">
        <v>2</v>
      </c>
      <c r="B7" s="11" t="s">
        <v>59</v>
      </c>
      <c r="C7" s="11" t="s">
        <v>120</v>
      </c>
      <c r="D7" s="55" t="s">
        <v>879</v>
      </c>
      <c r="E7" s="56" t="s">
        <v>833</v>
      </c>
      <c r="F7" s="12" t="s">
        <v>834</v>
      </c>
      <c r="G7" s="36">
        <v>1</v>
      </c>
      <c r="H7" s="38">
        <v>25</v>
      </c>
      <c r="I7" s="7">
        <v>12000</v>
      </c>
      <c r="J7" s="14">
        <v>3330</v>
      </c>
      <c r="K7" s="15">
        <f>L7</f>
        <v>3325</v>
      </c>
      <c r="L7" s="15">
        <f>2431+894</f>
        <v>3325</v>
      </c>
      <c r="M7" s="16">
        <f t="shared" si="0"/>
        <v>3325</v>
      </c>
      <c r="N7" s="16">
        <v>0</v>
      </c>
      <c r="O7" s="62">
        <f t="shared" si="1"/>
        <v>0</v>
      </c>
      <c r="P7" s="42">
        <f t="shared" si="2"/>
        <v>19</v>
      </c>
      <c r="Q7" s="43">
        <f t="shared" si="3"/>
        <v>5</v>
      </c>
      <c r="R7" s="7"/>
      <c r="S7" s="6"/>
      <c r="T7" s="17"/>
      <c r="U7" s="17">
        <v>5</v>
      </c>
      <c r="V7" s="18"/>
      <c r="W7" s="19"/>
      <c r="X7" s="17"/>
      <c r="Y7" s="20"/>
      <c r="Z7" s="20"/>
      <c r="AA7" s="21"/>
      <c r="AB7" s="8">
        <f t="shared" si="4"/>
        <v>0.99849849849849848</v>
      </c>
      <c r="AC7" s="9">
        <f t="shared" si="5"/>
        <v>0.79166666666666663</v>
      </c>
      <c r="AD7" s="10">
        <f t="shared" si="6"/>
        <v>0.79047797797797792</v>
      </c>
      <c r="AE7" s="39">
        <f t="shared" si="7"/>
        <v>0.29631825808150292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120</v>
      </c>
      <c r="D8" s="55" t="s">
        <v>135</v>
      </c>
      <c r="E8" s="57" t="s">
        <v>664</v>
      </c>
      <c r="F8" s="12" t="s">
        <v>130</v>
      </c>
      <c r="G8" s="36">
        <v>1</v>
      </c>
      <c r="H8" s="38">
        <v>25</v>
      </c>
      <c r="I8" s="7">
        <v>20000</v>
      </c>
      <c r="J8" s="14">
        <v>4870</v>
      </c>
      <c r="K8" s="15">
        <f>L8+1132+4460+4384+4869</f>
        <v>16322</v>
      </c>
      <c r="L8" s="15">
        <f>1477</f>
        <v>1477</v>
      </c>
      <c r="M8" s="16">
        <f t="shared" si="0"/>
        <v>1477</v>
      </c>
      <c r="N8" s="16">
        <v>0</v>
      </c>
      <c r="O8" s="62">
        <f t="shared" si="1"/>
        <v>0</v>
      </c>
      <c r="P8" s="42">
        <f t="shared" si="2"/>
        <v>6</v>
      </c>
      <c r="Q8" s="43">
        <f t="shared" si="3"/>
        <v>18</v>
      </c>
      <c r="R8" s="7"/>
      <c r="S8" s="6">
        <v>18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0.30328542094455851</v>
      </c>
      <c r="AC8" s="9">
        <f t="shared" si="5"/>
        <v>0.25</v>
      </c>
      <c r="AD8" s="10">
        <f t="shared" si="6"/>
        <v>7.5821355236139629E-2</v>
      </c>
      <c r="AE8" s="39">
        <f t="shared" si="7"/>
        <v>0.29631825808150292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788</v>
      </c>
      <c r="D9" s="55" t="s">
        <v>687</v>
      </c>
      <c r="E9" s="57" t="s">
        <v>789</v>
      </c>
      <c r="F9" s="12" t="s">
        <v>790</v>
      </c>
      <c r="G9" s="12">
        <v>1</v>
      </c>
      <c r="H9" s="13">
        <v>25</v>
      </c>
      <c r="I9" s="34">
        <v>300</v>
      </c>
      <c r="J9" s="5">
        <v>540</v>
      </c>
      <c r="K9" s="15">
        <f>L9+539</f>
        <v>539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0.29631825808150292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119</v>
      </c>
      <c r="D10" s="55" t="s">
        <v>621</v>
      </c>
      <c r="E10" s="57" t="s">
        <v>690</v>
      </c>
      <c r="F10" s="12" t="s">
        <v>691</v>
      </c>
      <c r="G10" s="12">
        <v>1</v>
      </c>
      <c r="H10" s="13">
        <v>25</v>
      </c>
      <c r="I10" s="34">
        <v>3500</v>
      </c>
      <c r="J10" s="14">
        <v>3440</v>
      </c>
      <c r="K10" s="15">
        <f>L10+3214+3439</f>
        <v>6653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0.29631825808150292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620</v>
      </c>
      <c r="D11" s="55" t="s">
        <v>621</v>
      </c>
      <c r="E11" s="57" t="s">
        <v>697</v>
      </c>
      <c r="F11" s="12" t="s">
        <v>623</v>
      </c>
      <c r="G11" s="12">
        <v>1</v>
      </c>
      <c r="H11" s="13">
        <v>25</v>
      </c>
      <c r="I11" s="34">
        <v>2000</v>
      </c>
      <c r="J11" s="14">
        <v>1070</v>
      </c>
      <c r="K11" s="15">
        <f>L11+3392+1067</f>
        <v>4459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0.29631825808150292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3330</v>
      </c>
      <c r="K12" s="15">
        <f>L12+3669+4855+2235+2780+2059+3271+4852+4899+2834+4120+5019+3677+4074+3799+831+1797+2987+4632+1928</f>
        <v>67644</v>
      </c>
      <c r="L12" s="15">
        <f>2000+1326</f>
        <v>3326</v>
      </c>
      <c r="M12" s="16">
        <f t="shared" si="0"/>
        <v>3326</v>
      </c>
      <c r="N12" s="16">
        <v>0</v>
      </c>
      <c r="O12" s="62">
        <f t="shared" si="1"/>
        <v>0</v>
      </c>
      <c r="P12" s="42">
        <f t="shared" si="2"/>
        <v>20</v>
      </c>
      <c r="Q12" s="43">
        <f t="shared" si="3"/>
        <v>4</v>
      </c>
      <c r="R12" s="7"/>
      <c r="S12" s="6">
        <v>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0.99879879879879885</v>
      </c>
      <c r="AC12" s="9">
        <f t="shared" si="5"/>
        <v>0.83333333333333337</v>
      </c>
      <c r="AD12" s="10">
        <f t="shared" si="6"/>
        <v>0.83233233233233239</v>
      </c>
      <c r="AE12" s="39">
        <f t="shared" si="7"/>
        <v>0.29631825808150292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119</v>
      </c>
      <c r="D13" s="55" t="s">
        <v>791</v>
      </c>
      <c r="E13" s="57" t="s">
        <v>792</v>
      </c>
      <c r="F13" s="12" t="s">
        <v>696</v>
      </c>
      <c r="G13" s="12">
        <v>1</v>
      </c>
      <c r="H13" s="13">
        <v>35</v>
      </c>
      <c r="I13" s="7">
        <v>3000</v>
      </c>
      <c r="J13" s="14">
        <v>1060</v>
      </c>
      <c r="K13" s="15">
        <f>L13+3281</f>
        <v>4335</v>
      </c>
      <c r="L13" s="15">
        <v>1054</v>
      </c>
      <c r="M13" s="16">
        <f t="shared" si="0"/>
        <v>1054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>
        <v>18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0.99433962264150944</v>
      </c>
      <c r="AC13" s="9">
        <f t="shared" si="5"/>
        <v>0.25</v>
      </c>
      <c r="AD13" s="10">
        <f t="shared" si="6"/>
        <v>0.24858490566037736</v>
      </c>
      <c r="AE13" s="39">
        <f t="shared" si="7"/>
        <v>0.29631825808150292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119</v>
      </c>
      <c r="D14" s="55" t="s">
        <v>624</v>
      </c>
      <c r="E14" s="57" t="s">
        <v>625</v>
      </c>
      <c r="F14" s="33" t="s">
        <v>626</v>
      </c>
      <c r="G14" s="36">
        <v>1</v>
      </c>
      <c r="H14" s="38">
        <v>40</v>
      </c>
      <c r="I14" s="7">
        <v>1200</v>
      </c>
      <c r="J14" s="5">
        <v>860</v>
      </c>
      <c r="K14" s="15">
        <f>L14+856</f>
        <v>856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0.29631825808150292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732</v>
      </c>
      <c r="D15" s="55" t="s">
        <v>733</v>
      </c>
      <c r="E15" s="57" t="s">
        <v>734</v>
      </c>
      <c r="F15" s="12">
        <v>8301</v>
      </c>
      <c r="G15" s="12">
        <v>1</v>
      </c>
      <c r="H15" s="13">
        <v>25</v>
      </c>
      <c r="I15" s="34">
        <v>3000</v>
      </c>
      <c r="J15" s="14">
        <v>6790</v>
      </c>
      <c r="K15" s="15">
        <f>L15+5822+6782</f>
        <v>12604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0.29631825808150292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732</v>
      </c>
      <c r="D16" s="55" t="s">
        <v>735</v>
      </c>
      <c r="E16" s="56" t="s">
        <v>736</v>
      </c>
      <c r="F16" s="12" t="s">
        <v>666</v>
      </c>
      <c r="G16" s="36">
        <v>2</v>
      </c>
      <c r="H16" s="38">
        <v>25</v>
      </c>
      <c r="I16" s="7">
        <v>3000</v>
      </c>
      <c r="J16" s="14">
        <v>3040</v>
      </c>
      <c r="K16" s="15">
        <f>L16+6712+3038</f>
        <v>9750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0.29631825808150292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0.29631825808150292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737</v>
      </c>
      <c r="D18" s="55" t="s">
        <v>738</v>
      </c>
      <c r="E18" s="57" t="s">
        <v>739</v>
      </c>
      <c r="F18" s="12" t="s">
        <v>740</v>
      </c>
      <c r="G18" s="12">
        <v>1</v>
      </c>
      <c r="H18" s="13">
        <v>25</v>
      </c>
      <c r="I18" s="34">
        <v>5000</v>
      </c>
      <c r="J18" s="5">
        <v>1010</v>
      </c>
      <c r="K18" s="15">
        <f>L18+4366+4350</f>
        <v>9724</v>
      </c>
      <c r="L18" s="15">
        <v>1008</v>
      </c>
      <c r="M18" s="16">
        <f t="shared" si="0"/>
        <v>1008</v>
      </c>
      <c r="N18" s="16">
        <v>0</v>
      </c>
      <c r="O18" s="62">
        <f t="shared" si="1"/>
        <v>0</v>
      </c>
      <c r="P18" s="42">
        <f t="shared" si="2"/>
        <v>5</v>
      </c>
      <c r="Q18" s="43">
        <f t="shared" si="3"/>
        <v>19</v>
      </c>
      <c r="R18" s="7"/>
      <c r="S18" s="6"/>
      <c r="T18" s="17"/>
      <c r="U18" s="17"/>
      <c r="V18" s="18"/>
      <c r="W18" s="19">
        <v>19</v>
      </c>
      <c r="X18" s="17"/>
      <c r="Y18" s="20"/>
      <c r="Z18" s="20"/>
      <c r="AA18" s="21"/>
      <c r="AB18" s="8">
        <f t="shared" si="4"/>
        <v>0.99801980198019802</v>
      </c>
      <c r="AC18" s="9">
        <f t="shared" si="5"/>
        <v>0.20833333333333334</v>
      </c>
      <c r="AD18" s="10">
        <f t="shared" si="6"/>
        <v>0.20792079207920794</v>
      </c>
      <c r="AE18" s="39">
        <f t="shared" si="7"/>
        <v>0.29631825808150292</v>
      </c>
      <c r="AF18" s="94">
        <f t="shared" si="8"/>
        <v>13</v>
      </c>
    </row>
    <row r="19" spans="1:32" ht="27" customHeight="1">
      <c r="A19" s="110">
        <v>13</v>
      </c>
      <c r="B19" s="11" t="s">
        <v>59</v>
      </c>
      <c r="C19" s="37" t="s">
        <v>119</v>
      </c>
      <c r="D19" s="55" t="s">
        <v>835</v>
      </c>
      <c r="E19" s="57" t="s">
        <v>836</v>
      </c>
      <c r="F19" s="12" t="s">
        <v>471</v>
      </c>
      <c r="G19" s="12">
        <v>1</v>
      </c>
      <c r="H19" s="13">
        <v>25</v>
      </c>
      <c r="I19" s="34">
        <v>20000</v>
      </c>
      <c r="J19" s="5">
        <v>3570</v>
      </c>
      <c r="K19" s="15">
        <f>L19</f>
        <v>3568</v>
      </c>
      <c r="L19" s="15">
        <f>3568</f>
        <v>3568</v>
      </c>
      <c r="M19" s="16">
        <f t="shared" ref="M19" si="10">L19-N19</f>
        <v>3568</v>
      </c>
      <c r="N19" s="16">
        <v>0</v>
      </c>
      <c r="O19" s="62">
        <f t="shared" ref="O19" si="11">IF(L19=0,"0",N19/L19)</f>
        <v>0</v>
      </c>
      <c r="P19" s="42">
        <f t="shared" ref="P19" si="12">IF(L19=0,"0",(24-Q19))</f>
        <v>17</v>
      </c>
      <c r="Q19" s="43">
        <f t="shared" ref="Q19" si="13">SUM(R19:AA19)</f>
        <v>7</v>
      </c>
      <c r="R19" s="7"/>
      <c r="S19" s="6"/>
      <c r="T19" s="17">
        <v>7</v>
      </c>
      <c r="U19" s="17"/>
      <c r="V19" s="18"/>
      <c r="W19" s="19"/>
      <c r="X19" s="17"/>
      <c r="Y19" s="20"/>
      <c r="Z19" s="20"/>
      <c r="AA19" s="21"/>
      <c r="AB19" s="8">
        <f t="shared" ref="AB19" si="14">IF(J19=0,"0",(L19/J19))</f>
        <v>0.99943977591036415</v>
      </c>
      <c r="AC19" s="9">
        <f t="shared" ref="AC19" si="15">IF(P19=0,"0",(P19/24))</f>
        <v>0.70833333333333337</v>
      </c>
      <c r="AD19" s="10">
        <f t="shared" ref="AD19" si="16">AC19*AB19*(1-O19)</f>
        <v>0.70793650793650797</v>
      </c>
      <c r="AE19" s="39">
        <f t="shared" si="7"/>
        <v>0.29631825808150292</v>
      </c>
      <c r="AF19" s="94">
        <f t="shared" ref="AF19" si="17">A19</f>
        <v>13</v>
      </c>
    </row>
    <row r="20" spans="1:32" ht="27" customHeight="1">
      <c r="A20" s="110">
        <v>14</v>
      </c>
      <c r="B20" s="11" t="s">
        <v>59</v>
      </c>
      <c r="C20" s="37" t="s">
        <v>120</v>
      </c>
      <c r="D20" s="55" t="s">
        <v>837</v>
      </c>
      <c r="E20" s="57" t="s">
        <v>838</v>
      </c>
      <c r="F20" s="33" t="s">
        <v>839</v>
      </c>
      <c r="G20" s="36">
        <v>1</v>
      </c>
      <c r="H20" s="38">
        <v>25</v>
      </c>
      <c r="I20" s="7">
        <v>15000</v>
      </c>
      <c r="J20" s="5">
        <v>2500</v>
      </c>
      <c r="K20" s="15">
        <f>L20</f>
        <v>2493</v>
      </c>
      <c r="L20" s="15">
        <f>256+2237</f>
        <v>2493</v>
      </c>
      <c r="M20" s="16">
        <f t="shared" si="0"/>
        <v>2493</v>
      </c>
      <c r="N20" s="16">
        <v>0</v>
      </c>
      <c r="O20" s="62">
        <f t="shared" si="1"/>
        <v>0</v>
      </c>
      <c r="P20" s="42">
        <f t="shared" si="2"/>
        <v>14</v>
      </c>
      <c r="Q20" s="43">
        <f t="shared" si="3"/>
        <v>10</v>
      </c>
      <c r="R20" s="7"/>
      <c r="S20" s="6">
        <v>10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0.99719999999999998</v>
      </c>
      <c r="AC20" s="9">
        <f t="shared" si="5"/>
        <v>0.58333333333333337</v>
      </c>
      <c r="AD20" s="10">
        <f t="shared" si="6"/>
        <v>0.58169999999999999</v>
      </c>
      <c r="AE20" s="39">
        <f t="shared" si="7"/>
        <v>0.29631825808150292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117</v>
      </c>
      <c r="D21" s="55"/>
      <c r="E21" s="56" t="s">
        <v>793</v>
      </c>
      <c r="F21" s="12" t="s">
        <v>118</v>
      </c>
      <c r="G21" s="12">
        <v>4</v>
      </c>
      <c r="H21" s="38">
        <v>20</v>
      </c>
      <c r="I21" s="7">
        <v>200000</v>
      </c>
      <c r="J21" s="14">
        <v>62320</v>
      </c>
      <c r="K21" s="15">
        <f>L21+40652</f>
        <v>102972</v>
      </c>
      <c r="L21" s="15">
        <f>7575*4+8005*4</f>
        <v>62320</v>
      </c>
      <c r="M21" s="16">
        <f t="shared" si="0"/>
        <v>62320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1</v>
      </c>
      <c r="AD21" s="10">
        <f t="shared" si="6"/>
        <v>1</v>
      </c>
      <c r="AE21" s="39">
        <f t="shared" si="7"/>
        <v>0.29631825808150292</v>
      </c>
      <c r="AF21" s="94">
        <f t="shared" si="8"/>
        <v>15</v>
      </c>
    </row>
    <row r="22" spans="1:32" ht="31.5" customHeight="1" thickBot="1">
      <c r="A22" s="382" t="s">
        <v>34</v>
      </c>
      <c r="B22" s="383"/>
      <c r="C22" s="383"/>
      <c r="D22" s="383"/>
      <c r="E22" s="383"/>
      <c r="F22" s="383"/>
      <c r="G22" s="383"/>
      <c r="H22" s="384"/>
      <c r="I22" s="25">
        <f t="shared" ref="I22:N22" si="18">SUM(I6:I21)</f>
        <v>335800</v>
      </c>
      <c r="J22" s="22">
        <f t="shared" si="18"/>
        <v>101141</v>
      </c>
      <c r="K22" s="23">
        <f t="shared" si="18"/>
        <v>248647</v>
      </c>
      <c r="L22" s="24">
        <f t="shared" si="18"/>
        <v>78571</v>
      </c>
      <c r="M22" s="23">
        <f t="shared" si="18"/>
        <v>78571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111</v>
      </c>
      <c r="Q22" s="46">
        <f t="shared" si="19"/>
        <v>273</v>
      </c>
      <c r="R22" s="26">
        <f t="shared" si="19"/>
        <v>48</v>
      </c>
      <c r="S22" s="27">
        <f t="shared" si="19"/>
        <v>74</v>
      </c>
      <c r="T22" s="27">
        <f t="shared" si="19"/>
        <v>7</v>
      </c>
      <c r="U22" s="27">
        <f t="shared" si="19"/>
        <v>5</v>
      </c>
      <c r="V22" s="28">
        <f t="shared" si="19"/>
        <v>0</v>
      </c>
      <c r="W22" s="29">
        <f t="shared" si="19"/>
        <v>139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0.48597212791826183</v>
      </c>
      <c r="AC22" s="4">
        <f>SUM(AC6:AC21)/15</f>
        <v>0.30833333333333335</v>
      </c>
      <c r="AD22" s="4">
        <f>SUM(AD6:AD21)/15</f>
        <v>0.29631825808150292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5" t="s">
        <v>46</v>
      </c>
      <c r="B49" s="385"/>
      <c r="C49" s="385"/>
      <c r="D49" s="385"/>
      <c r="E49" s="38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86" t="s">
        <v>840</v>
      </c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8"/>
      <c r="N50" s="389" t="s">
        <v>860</v>
      </c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  <c r="AA50" s="390"/>
      <c r="AB50" s="390"/>
      <c r="AC50" s="390"/>
      <c r="AD50" s="391"/>
    </row>
    <row r="51" spans="1:32" ht="27" customHeight="1">
      <c r="A51" s="392" t="s">
        <v>2</v>
      </c>
      <c r="B51" s="393"/>
      <c r="C51" s="296" t="s">
        <v>47</v>
      </c>
      <c r="D51" s="296" t="s">
        <v>48</v>
      </c>
      <c r="E51" s="296" t="s">
        <v>111</v>
      </c>
      <c r="F51" s="393" t="s">
        <v>110</v>
      </c>
      <c r="G51" s="393"/>
      <c r="H51" s="393"/>
      <c r="I51" s="393"/>
      <c r="J51" s="393"/>
      <c r="K51" s="393"/>
      <c r="L51" s="393"/>
      <c r="M51" s="394"/>
      <c r="N51" s="73" t="s">
        <v>115</v>
      </c>
      <c r="O51" s="296" t="s">
        <v>47</v>
      </c>
      <c r="P51" s="395" t="s">
        <v>48</v>
      </c>
      <c r="Q51" s="396"/>
      <c r="R51" s="395" t="s">
        <v>39</v>
      </c>
      <c r="S51" s="397"/>
      <c r="T51" s="397"/>
      <c r="U51" s="396"/>
      <c r="V51" s="395" t="s">
        <v>49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09" t="s">
        <v>841</v>
      </c>
      <c r="B52" s="410"/>
      <c r="C52" s="298" t="s">
        <v>842</v>
      </c>
      <c r="D52" s="298" t="s">
        <v>843</v>
      </c>
      <c r="E52" s="301" t="s">
        <v>844</v>
      </c>
      <c r="F52" s="411" t="s">
        <v>845</v>
      </c>
      <c r="G52" s="411"/>
      <c r="H52" s="411"/>
      <c r="I52" s="411"/>
      <c r="J52" s="411"/>
      <c r="K52" s="411"/>
      <c r="L52" s="411"/>
      <c r="M52" s="412"/>
      <c r="N52" s="297" t="s">
        <v>796</v>
      </c>
      <c r="O52" s="74" t="s">
        <v>856</v>
      </c>
      <c r="P52" s="413" t="s">
        <v>861</v>
      </c>
      <c r="Q52" s="414"/>
      <c r="R52" s="410" t="s">
        <v>862</v>
      </c>
      <c r="S52" s="410"/>
      <c r="T52" s="410"/>
      <c r="U52" s="410"/>
      <c r="V52" s="411" t="s">
        <v>724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841</v>
      </c>
      <c r="B53" s="410"/>
      <c r="C53" s="298" t="s">
        <v>846</v>
      </c>
      <c r="D53" s="298" t="s">
        <v>847</v>
      </c>
      <c r="E53" s="301" t="s">
        <v>833</v>
      </c>
      <c r="F53" s="411" t="s">
        <v>802</v>
      </c>
      <c r="G53" s="411"/>
      <c r="H53" s="411"/>
      <c r="I53" s="411"/>
      <c r="J53" s="411"/>
      <c r="K53" s="411"/>
      <c r="L53" s="411"/>
      <c r="M53" s="412"/>
      <c r="N53" s="297" t="s">
        <v>764</v>
      </c>
      <c r="O53" s="74" t="s">
        <v>765</v>
      </c>
      <c r="P53" s="413" t="s">
        <v>738</v>
      </c>
      <c r="Q53" s="414"/>
      <c r="R53" s="410" t="s">
        <v>766</v>
      </c>
      <c r="S53" s="410"/>
      <c r="T53" s="410"/>
      <c r="U53" s="410"/>
      <c r="V53" s="411" t="s">
        <v>817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119</v>
      </c>
      <c r="B54" s="410"/>
      <c r="C54" s="298" t="s">
        <v>848</v>
      </c>
      <c r="D54" s="298" t="s">
        <v>123</v>
      </c>
      <c r="E54" s="301" t="s">
        <v>849</v>
      </c>
      <c r="F54" s="411" t="s">
        <v>850</v>
      </c>
      <c r="G54" s="411"/>
      <c r="H54" s="411"/>
      <c r="I54" s="411"/>
      <c r="J54" s="411"/>
      <c r="K54" s="411"/>
      <c r="L54" s="411"/>
      <c r="M54" s="412"/>
      <c r="N54" s="297" t="s">
        <v>120</v>
      </c>
      <c r="O54" s="74" t="s">
        <v>863</v>
      </c>
      <c r="P54" s="413" t="s">
        <v>864</v>
      </c>
      <c r="Q54" s="414"/>
      <c r="R54" s="410" t="s">
        <v>865</v>
      </c>
      <c r="S54" s="410"/>
      <c r="T54" s="410"/>
      <c r="U54" s="410"/>
      <c r="V54" s="411" t="s">
        <v>866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19" t="s">
        <v>851</v>
      </c>
      <c r="B55" s="420"/>
      <c r="C55" s="301" t="s">
        <v>755</v>
      </c>
      <c r="D55" s="298" t="s">
        <v>852</v>
      </c>
      <c r="E55" s="301" t="s">
        <v>853</v>
      </c>
      <c r="F55" s="411" t="s">
        <v>854</v>
      </c>
      <c r="G55" s="411"/>
      <c r="H55" s="411"/>
      <c r="I55" s="411"/>
      <c r="J55" s="411"/>
      <c r="K55" s="411"/>
      <c r="L55" s="411"/>
      <c r="M55" s="412"/>
      <c r="N55" s="297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796</v>
      </c>
      <c r="B56" s="410"/>
      <c r="C56" s="298" t="s">
        <v>805</v>
      </c>
      <c r="D56" s="298" t="s">
        <v>806</v>
      </c>
      <c r="E56" s="301" t="s">
        <v>838</v>
      </c>
      <c r="F56" s="411" t="s">
        <v>855</v>
      </c>
      <c r="G56" s="411"/>
      <c r="H56" s="411"/>
      <c r="I56" s="411"/>
      <c r="J56" s="411"/>
      <c r="K56" s="411"/>
      <c r="L56" s="411"/>
      <c r="M56" s="412"/>
      <c r="N56" s="297"/>
      <c r="O56" s="74"/>
      <c r="P56" s="413"/>
      <c r="Q56" s="414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 t="s">
        <v>120</v>
      </c>
      <c r="B57" s="410"/>
      <c r="C57" s="298" t="s">
        <v>856</v>
      </c>
      <c r="D57" s="298" t="s">
        <v>857</v>
      </c>
      <c r="E57" s="301" t="s">
        <v>858</v>
      </c>
      <c r="F57" s="411" t="s">
        <v>859</v>
      </c>
      <c r="G57" s="411"/>
      <c r="H57" s="411"/>
      <c r="I57" s="411"/>
      <c r="J57" s="411"/>
      <c r="K57" s="411"/>
      <c r="L57" s="411"/>
      <c r="M57" s="412"/>
      <c r="N57" s="297"/>
      <c r="O57" s="74"/>
      <c r="P57" s="410"/>
      <c r="Q57" s="410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301"/>
      <c r="D58" s="298"/>
      <c r="E58" s="301"/>
      <c r="F58" s="411"/>
      <c r="G58" s="411"/>
      <c r="H58" s="411"/>
      <c r="I58" s="411"/>
      <c r="J58" s="411"/>
      <c r="K58" s="411"/>
      <c r="L58" s="411"/>
      <c r="M58" s="412"/>
      <c r="N58" s="297"/>
      <c r="O58" s="74"/>
      <c r="P58" s="413"/>
      <c r="Q58" s="414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19"/>
      <c r="B59" s="420"/>
      <c r="C59" s="301"/>
      <c r="D59" s="298"/>
      <c r="E59" s="301"/>
      <c r="F59" s="411"/>
      <c r="G59" s="411"/>
      <c r="H59" s="411"/>
      <c r="I59" s="411"/>
      <c r="J59" s="411"/>
      <c r="K59" s="411"/>
      <c r="L59" s="411"/>
      <c r="M59" s="412"/>
      <c r="N59" s="297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</row>
    <row r="60" spans="1:32" ht="27" customHeight="1">
      <c r="A60" s="409"/>
      <c r="B60" s="410"/>
      <c r="C60" s="298"/>
      <c r="D60" s="298"/>
      <c r="E60" s="298"/>
      <c r="F60" s="411"/>
      <c r="G60" s="411"/>
      <c r="H60" s="411"/>
      <c r="I60" s="411"/>
      <c r="J60" s="411"/>
      <c r="K60" s="411"/>
      <c r="L60" s="411"/>
      <c r="M60" s="412"/>
      <c r="N60" s="297"/>
      <c r="O60" s="74"/>
      <c r="P60" s="410"/>
      <c r="Q60" s="410"/>
      <c r="R60" s="410"/>
      <c r="S60" s="410"/>
      <c r="T60" s="410"/>
      <c r="U60" s="410"/>
      <c r="V60" s="411"/>
      <c r="W60" s="411"/>
      <c r="X60" s="411"/>
      <c r="Y60" s="411"/>
      <c r="Z60" s="411"/>
      <c r="AA60" s="411"/>
      <c r="AB60" s="411"/>
      <c r="AC60" s="411"/>
      <c r="AD60" s="412"/>
      <c r="AF60" s="94">
        <f>8*3000</f>
        <v>24000</v>
      </c>
    </row>
    <row r="61" spans="1:32" ht="27" customHeight="1" thickBot="1">
      <c r="A61" s="415"/>
      <c r="B61" s="416"/>
      <c r="C61" s="300"/>
      <c r="D61" s="300"/>
      <c r="E61" s="300"/>
      <c r="F61" s="417"/>
      <c r="G61" s="417"/>
      <c r="H61" s="417"/>
      <c r="I61" s="417"/>
      <c r="J61" s="417"/>
      <c r="K61" s="417"/>
      <c r="L61" s="417"/>
      <c r="M61" s="418"/>
      <c r="N61" s="299"/>
      <c r="O61" s="121"/>
      <c r="P61" s="416"/>
      <c r="Q61" s="416"/>
      <c r="R61" s="416"/>
      <c r="S61" s="416"/>
      <c r="T61" s="416"/>
      <c r="U61" s="416"/>
      <c r="V61" s="417"/>
      <c r="W61" s="417"/>
      <c r="X61" s="417"/>
      <c r="Y61" s="417"/>
      <c r="Z61" s="417"/>
      <c r="AA61" s="417"/>
      <c r="AB61" s="417"/>
      <c r="AC61" s="417"/>
      <c r="AD61" s="418"/>
      <c r="AF61" s="94">
        <f>16*3000</f>
        <v>48000</v>
      </c>
    </row>
    <row r="62" spans="1:32" ht="27.75" thickBot="1">
      <c r="A62" s="421" t="s">
        <v>867</v>
      </c>
      <c r="B62" s="421"/>
      <c r="C62" s="421"/>
      <c r="D62" s="421"/>
      <c r="E62" s="42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2" t="s">
        <v>116</v>
      </c>
      <c r="B63" s="423"/>
      <c r="C63" s="302" t="s">
        <v>2</v>
      </c>
      <c r="D63" s="302" t="s">
        <v>38</v>
      </c>
      <c r="E63" s="302" t="s">
        <v>3</v>
      </c>
      <c r="F63" s="423" t="s">
        <v>113</v>
      </c>
      <c r="G63" s="423"/>
      <c r="H63" s="423"/>
      <c r="I63" s="423"/>
      <c r="J63" s="423"/>
      <c r="K63" s="423" t="s">
        <v>40</v>
      </c>
      <c r="L63" s="423"/>
      <c r="M63" s="302" t="s">
        <v>41</v>
      </c>
      <c r="N63" s="423" t="s">
        <v>42</v>
      </c>
      <c r="O63" s="423"/>
      <c r="P63" s="424" t="s">
        <v>43</v>
      </c>
      <c r="Q63" s="425"/>
      <c r="R63" s="424" t="s">
        <v>44</v>
      </c>
      <c r="S63" s="426"/>
      <c r="T63" s="426"/>
      <c r="U63" s="426"/>
      <c r="V63" s="426"/>
      <c r="W63" s="426"/>
      <c r="X63" s="426"/>
      <c r="Y63" s="426"/>
      <c r="Z63" s="426"/>
      <c r="AA63" s="425"/>
      <c r="AB63" s="423" t="s">
        <v>45</v>
      </c>
      <c r="AC63" s="423"/>
      <c r="AD63" s="427"/>
      <c r="AF63" s="94">
        <f>SUM(AF60:AF62)</f>
        <v>96000</v>
      </c>
    </row>
    <row r="64" spans="1:32" ht="25.5" customHeight="1">
      <c r="A64" s="428">
        <v>1</v>
      </c>
      <c r="B64" s="429"/>
      <c r="C64" s="124" t="s">
        <v>777</v>
      </c>
      <c r="D64" s="305"/>
      <c r="E64" s="303" t="s">
        <v>778</v>
      </c>
      <c r="F64" s="430" t="s">
        <v>779</v>
      </c>
      <c r="G64" s="431"/>
      <c r="H64" s="431"/>
      <c r="I64" s="431"/>
      <c r="J64" s="431"/>
      <c r="K64" s="431" t="s">
        <v>868</v>
      </c>
      <c r="L64" s="431"/>
      <c r="M64" s="54" t="s">
        <v>869</v>
      </c>
      <c r="N64" s="431">
        <v>4</v>
      </c>
      <c r="O64" s="431"/>
      <c r="P64" s="432" t="s">
        <v>870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2</v>
      </c>
      <c r="B65" s="429"/>
      <c r="C65" s="124" t="s">
        <v>777</v>
      </c>
      <c r="D65" s="305"/>
      <c r="E65" s="303" t="s">
        <v>782</v>
      </c>
      <c r="F65" s="430" t="s">
        <v>783</v>
      </c>
      <c r="G65" s="431"/>
      <c r="H65" s="431"/>
      <c r="I65" s="431"/>
      <c r="J65" s="431"/>
      <c r="K65" s="431" t="s">
        <v>780</v>
      </c>
      <c r="L65" s="431"/>
      <c r="M65" s="54" t="s">
        <v>781</v>
      </c>
      <c r="N65" s="431">
        <v>4</v>
      </c>
      <c r="O65" s="431"/>
      <c r="P65" s="432">
        <v>200</v>
      </c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3</v>
      </c>
      <c r="B66" s="429"/>
      <c r="C66" s="124" t="s">
        <v>120</v>
      </c>
      <c r="D66" s="305"/>
      <c r="E66" s="303" t="s">
        <v>832</v>
      </c>
      <c r="F66" s="430" t="s">
        <v>871</v>
      </c>
      <c r="G66" s="431"/>
      <c r="H66" s="431"/>
      <c r="I66" s="431"/>
      <c r="J66" s="431"/>
      <c r="K66" s="431" t="s">
        <v>873</v>
      </c>
      <c r="L66" s="431"/>
      <c r="M66" s="54" t="s">
        <v>874</v>
      </c>
      <c r="N66" s="431">
        <v>5</v>
      </c>
      <c r="O66" s="431"/>
      <c r="P66" s="432">
        <v>50</v>
      </c>
      <c r="Q66" s="432"/>
      <c r="R66" s="411" t="s">
        <v>875</v>
      </c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4</v>
      </c>
      <c r="B67" s="429"/>
      <c r="C67" s="124" t="s">
        <v>120</v>
      </c>
      <c r="D67" s="305"/>
      <c r="E67" s="303" t="s">
        <v>832</v>
      </c>
      <c r="F67" s="430" t="s">
        <v>872</v>
      </c>
      <c r="G67" s="431"/>
      <c r="H67" s="431"/>
      <c r="I67" s="431"/>
      <c r="J67" s="431"/>
      <c r="K67" s="431" t="s">
        <v>873</v>
      </c>
      <c r="L67" s="431"/>
      <c r="M67" s="54" t="s">
        <v>874</v>
      </c>
      <c r="N67" s="431">
        <v>5</v>
      </c>
      <c r="O67" s="431"/>
      <c r="P67" s="432">
        <v>50</v>
      </c>
      <c r="Q67" s="432"/>
      <c r="R67" s="411" t="s">
        <v>875</v>
      </c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5</v>
      </c>
      <c r="B68" s="429"/>
      <c r="C68" s="124"/>
      <c r="D68" s="305"/>
      <c r="E68" s="303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6</v>
      </c>
      <c r="B69" s="429"/>
      <c r="C69" s="124"/>
      <c r="D69" s="305"/>
      <c r="E69" s="303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7</v>
      </c>
      <c r="B70" s="429"/>
      <c r="C70" s="124"/>
      <c r="D70" s="305"/>
      <c r="E70" s="303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5.5" customHeight="1">
      <c r="A71" s="428">
        <v>8</v>
      </c>
      <c r="B71" s="429"/>
      <c r="C71" s="124"/>
      <c r="D71" s="305"/>
      <c r="E71" s="303"/>
      <c r="F71" s="430"/>
      <c r="G71" s="431"/>
      <c r="H71" s="431"/>
      <c r="I71" s="431"/>
      <c r="J71" s="431"/>
      <c r="K71" s="431"/>
      <c r="L71" s="431"/>
      <c r="M71" s="54"/>
      <c r="N71" s="431"/>
      <c r="O71" s="431"/>
      <c r="P71" s="432"/>
      <c r="Q71" s="432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31"/>
      <c r="AC71" s="431"/>
      <c r="AD71" s="433"/>
      <c r="AF71" s="53"/>
    </row>
    <row r="72" spans="1:32" ht="26.25" customHeight="1" thickBot="1">
      <c r="A72" s="434" t="s">
        <v>876</v>
      </c>
      <c r="B72" s="434"/>
      <c r="C72" s="434"/>
      <c r="D72" s="434"/>
      <c r="E72" s="43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35" t="s">
        <v>116</v>
      </c>
      <c r="B73" s="436"/>
      <c r="C73" s="304" t="s">
        <v>2</v>
      </c>
      <c r="D73" s="304" t="s">
        <v>38</v>
      </c>
      <c r="E73" s="304" t="s">
        <v>3</v>
      </c>
      <c r="F73" s="436" t="s">
        <v>39</v>
      </c>
      <c r="G73" s="436"/>
      <c r="H73" s="436"/>
      <c r="I73" s="436"/>
      <c r="J73" s="436"/>
      <c r="K73" s="437" t="s">
        <v>60</v>
      </c>
      <c r="L73" s="438"/>
      <c r="M73" s="438"/>
      <c r="N73" s="438"/>
      <c r="O73" s="438"/>
      <c r="P73" s="438"/>
      <c r="Q73" s="438"/>
      <c r="R73" s="438"/>
      <c r="S73" s="439"/>
      <c r="T73" s="436" t="s">
        <v>50</v>
      </c>
      <c r="U73" s="436"/>
      <c r="V73" s="437" t="s">
        <v>51</v>
      </c>
      <c r="W73" s="439"/>
      <c r="X73" s="438" t="s">
        <v>52</v>
      </c>
      <c r="Y73" s="438"/>
      <c r="Z73" s="438"/>
      <c r="AA73" s="438"/>
      <c r="AB73" s="438"/>
      <c r="AC73" s="438"/>
      <c r="AD73" s="440"/>
      <c r="AF73" s="53"/>
    </row>
    <row r="74" spans="1:32" ht="33.75" customHeight="1">
      <c r="A74" s="449">
        <v>1</v>
      </c>
      <c r="B74" s="450"/>
      <c r="C74" s="306" t="s">
        <v>119</v>
      </c>
      <c r="D74" s="306"/>
      <c r="E74" s="71" t="s">
        <v>127</v>
      </c>
      <c r="F74" s="451" t="s">
        <v>128</v>
      </c>
      <c r="G74" s="452"/>
      <c r="H74" s="452"/>
      <c r="I74" s="452"/>
      <c r="J74" s="453"/>
      <c r="K74" s="454" t="s">
        <v>121</v>
      </c>
      <c r="L74" s="455"/>
      <c r="M74" s="455"/>
      <c r="N74" s="455"/>
      <c r="O74" s="455"/>
      <c r="P74" s="455"/>
      <c r="Q74" s="455"/>
      <c r="R74" s="455"/>
      <c r="S74" s="456"/>
      <c r="T74" s="457">
        <v>42901</v>
      </c>
      <c r="U74" s="458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1">
        <f>A74+1</f>
        <v>2</v>
      </c>
      <c r="B75" s="442"/>
      <c r="C75" s="305" t="s">
        <v>119</v>
      </c>
      <c r="D75" s="305"/>
      <c r="E75" s="35" t="s">
        <v>124</v>
      </c>
      <c r="F75" s="442" t="s">
        <v>125</v>
      </c>
      <c r="G75" s="442"/>
      <c r="H75" s="442"/>
      <c r="I75" s="442"/>
      <c r="J75" s="442"/>
      <c r="K75" s="443" t="s">
        <v>126</v>
      </c>
      <c r="L75" s="444"/>
      <c r="M75" s="444"/>
      <c r="N75" s="444"/>
      <c r="O75" s="444"/>
      <c r="P75" s="444"/>
      <c r="Q75" s="444"/>
      <c r="R75" s="444"/>
      <c r="S75" s="445"/>
      <c r="T75" s="446">
        <v>42867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ref="A76:A82" si="20">A75+1</f>
        <v>3</v>
      </c>
      <c r="B76" s="442"/>
      <c r="C76" s="305" t="s">
        <v>823</v>
      </c>
      <c r="D76" s="305"/>
      <c r="E76" s="35" t="s">
        <v>825</v>
      </c>
      <c r="F76" s="442" t="s">
        <v>828</v>
      </c>
      <c r="G76" s="442"/>
      <c r="H76" s="442"/>
      <c r="I76" s="442"/>
      <c r="J76" s="442"/>
      <c r="K76" s="443" t="s">
        <v>829</v>
      </c>
      <c r="L76" s="444"/>
      <c r="M76" s="444"/>
      <c r="N76" s="444"/>
      <c r="O76" s="444"/>
      <c r="P76" s="444"/>
      <c r="Q76" s="444"/>
      <c r="R76" s="444"/>
      <c r="S76" s="445"/>
      <c r="T76" s="446">
        <v>42935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20"/>
        <v>4</v>
      </c>
      <c r="B77" s="442"/>
      <c r="C77" s="305" t="s">
        <v>292</v>
      </c>
      <c r="D77" s="305"/>
      <c r="E77" s="35" t="s">
        <v>293</v>
      </c>
      <c r="F77" s="442" t="s">
        <v>294</v>
      </c>
      <c r="G77" s="442"/>
      <c r="H77" s="442"/>
      <c r="I77" s="442"/>
      <c r="J77" s="442"/>
      <c r="K77" s="443" t="s">
        <v>331</v>
      </c>
      <c r="L77" s="444"/>
      <c r="M77" s="444"/>
      <c r="N77" s="444"/>
      <c r="O77" s="444"/>
      <c r="P77" s="444"/>
      <c r="Q77" s="444"/>
      <c r="R77" s="444"/>
      <c r="S77" s="445"/>
      <c r="T77" s="446">
        <v>42920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20"/>
        <v>5</v>
      </c>
      <c r="B78" s="442"/>
      <c r="C78" s="305" t="s">
        <v>186</v>
      </c>
      <c r="D78" s="305"/>
      <c r="E78" s="35" t="s">
        <v>455</v>
      </c>
      <c r="F78" s="442" t="s">
        <v>510</v>
      </c>
      <c r="G78" s="442"/>
      <c r="H78" s="442"/>
      <c r="I78" s="442"/>
      <c r="J78" s="442"/>
      <c r="K78" s="443" t="s">
        <v>617</v>
      </c>
      <c r="L78" s="444"/>
      <c r="M78" s="444"/>
      <c r="N78" s="444"/>
      <c r="O78" s="444"/>
      <c r="P78" s="444"/>
      <c r="Q78" s="444"/>
      <c r="R78" s="444"/>
      <c r="S78" s="445"/>
      <c r="T78" s="446">
        <v>42930</v>
      </c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20"/>
        <v>6</v>
      </c>
      <c r="B79" s="442"/>
      <c r="C79" s="305"/>
      <c r="D79" s="305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20"/>
        <v>7</v>
      </c>
      <c r="B80" s="442"/>
      <c r="C80" s="305"/>
      <c r="D80" s="305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20"/>
        <v>8</v>
      </c>
      <c r="B81" s="442"/>
      <c r="C81" s="305"/>
      <c r="D81" s="305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0" customHeight="1">
      <c r="A82" s="441">
        <f t="shared" si="20"/>
        <v>9</v>
      </c>
      <c r="B82" s="442"/>
      <c r="C82" s="305"/>
      <c r="D82" s="305"/>
      <c r="E82" s="35"/>
      <c r="F82" s="442"/>
      <c r="G82" s="442"/>
      <c r="H82" s="442"/>
      <c r="I82" s="442"/>
      <c r="J82" s="442"/>
      <c r="K82" s="443"/>
      <c r="L82" s="444"/>
      <c r="M82" s="444"/>
      <c r="N82" s="444"/>
      <c r="O82" s="444"/>
      <c r="P82" s="444"/>
      <c r="Q82" s="444"/>
      <c r="R82" s="444"/>
      <c r="S82" s="445"/>
      <c r="T82" s="446"/>
      <c r="U82" s="446"/>
      <c r="V82" s="446"/>
      <c r="W82" s="446"/>
      <c r="X82" s="447"/>
      <c r="Y82" s="447"/>
      <c r="Z82" s="447"/>
      <c r="AA82" s="447"/>
      <c r="AB82" s="447"/>
      <c r="AC82" s="447"/>
      <c r="AD82" s="448"/>
      <c r="AF82" s="53"/>
    </row>
    <row r="83" spans="1:32" ht="36" thickBot="1">
      <c r="A83" s="434" t="s">
        <v>877</v>
      </c>
      <c r="B83" s="434"/>
      <c r="C83" s="434"/>
      <c r="D83" s="434"/>
      <c r="E83" s="43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2" t="s">
        <v>37</v>
      </c>
      <c r="B84" s="463"/>
      <c r="C84" s="463" t="s">
        <v>53</v>
      </c>
      <c r="D84" s="463"/>
      <c r="E84" s="463" t="s">
        <v>54</v>
      </c>
      <c r="F84" s="463"/>
      <c r="G84" s="463"/>
      <c r="H84" s="463"/>
      <c r="I84" s="463"/>
      <c r="J84" s="463"/>
      <c r="K84" s="463" t="s">
        <v>55</v>
      </c>
      <c r="L84" s="463"/>
      <c r="M84" s="463"/>
      <c r="N84" s="463"/>
      <c r="O84" s="463"/>
      <c r="P84" s="463"/>
      <c r="Q84" s="463"/>
      <c r="R84" s="463"/>
      <c r="S84" s="463"/>
      <c r="T84" s="463" t="s">
        <v>56</v>
      </c>
      <c r="U84" s="463"/>
      <c r="V84" s="463" t="s">
        <v>57</v>
      </c>
      <c r="W84" s="463"/>
      <c r="X84" s="463"/>
      <c r="Y84" s="463" t="s">
        <v>52</v>
      </c>
      <c r="Z84" s="463"/>
      <c r="AA84" s="463"/>
      <c r="AB84" s="463"/>
      <c r="AC84" s="463"/>
      <c r="AD84" s="464"/>
      <c r="AF84" s="53"/>
    </row>
    <row r="85" spans="1:32" ht="30.75" customHeight="1">
      <c r="A85" s="449">
        <v>1</v>
      </c>
      <c r="B85" s="450"/>
      <c r="C85" s="465">
        <v>1</v>
      </c>
      <c r="D85" s="465"/>
      <c r="E85" s="465" t="s">
        <v>149</v>
      </c>
      <c r="F85" s="465"/>
      <c r="G85" s="465"/>
      <c r="H85" s="465"/>
      <c r="I85" s="465"/>
      <c r="J85" s="465"/>
      <c r="K85" s="465" t="s">
        <v>150</v>
      </c>
      <c r="L85" s="465"/>
      <c r="M85" s="465"/>
      <c r="N85" s="465"/>
      <c r="O85" s="465"/>
      <c r="P85" s="465"/>
      <c r="Q85" s="465"/>
      <c r="R85" s="465"/>
      <c r="S85" s="465"/>
      <c r="T85" s="465" t="s">
        <v>151</v>
      </c>
      <c r="U85" s="465"/>
      <c r="V85" s="466">
        <v>1500000</v>
      </c>
      <c r="W85" s="466"/>
      <c r="X85" s="466"/>
      <c r="Y85" s="467" t="s">
        <v>152</v>
      </c>
      <c r="Z85" s="467"/>
      <c r="AA85" s="467"/>
      <c r="AB85" s="467"/>
      <c r="AC85" s="467"/>
      <c r="AD85" s="468"/>
      <c r="AF85" s="53"/>
    </row>
    <row r="86" spans="1:32" ht="30.75" customHeight="1">
      <c r="A86" s="441">
        <v>2</v>
      </c>
      <c r="B86" s="442"/>
      <c r="C86" s="476">
        <v>10</v>
      </c>
      <c r="D86" s="476"/>
      <c r="E86" s="476" t="s">
        <v>162</v>
      </c>
      <c r="F86" s="476"/>
      <c r="G86" s="476"/>
      <c r="H86" s="476"/>
      <c r="I86" s="476"/>
      <c r="J86" s="476"/>
      <c r="K86" s="476" t="s">
        <v>163</v>
      </c>
      <c r="L86" s="476"/>
      <c r="M86" s="476"/>
      <c r="N86" s="476"/>
      <c r="O86" s="476"/>
      <c r="P86" s="476"/>
      <c r="Q86" s="476"/>
      <c r="R86" s="476"/>
      <c r="S86" s="476"/>
      <c r="T86" s="477" t="s">
        <v>164</v>
      </c>
      <c r="U86" s="477"/>
      <c r="V86" s="478">
        <v>350000</v>
      </c>
      <c r="W86" s="478"/>
      <c r="X86" s="478"/>
      <c r="Y86" s="469" t="s">
        <v>176</v>
      </c>
      <c r="Z86" s="469"/>
      <c r="AA86" s="469"/>
      <c r="AB86" s="469"/>
      <c r="AC86" s="469"/>
      <c r="AD86" s="470"/>
      <c r="AF86" s="53"/>
    </row>
    <row r="87" spans="1:32" ht="30.75" customHeight="1" thickBot="1">
      <c r="A87" s="471">
        <v>3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3"/>
      <c r="W87" s="473"/>
      <c r="X87" s="473"/>
      <c r="Y87" s="474"/>
      <c r="Z87" s="474"/>
      <c r="AA87" s="474"/>
      <c r="AB87" s="474"/>
      <c r="AC87" s="474"/>
      <c r="AD87" s="47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68" t="s">
        <v>878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6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318" t="s">
        <v>17</v>
      </c>
      <c r="L5" s="318" t="s">
        <v>18</v>
      </c>
      <c r="M5" s="318" t="s">
        <v>19</v>
      </c>
      <c r="N5" s="31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6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0.51040191829008852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120</v>
      </c>
      <c r="D7" s="55" t="s">
        <v>879</v>
      </c>
      <c r="E7" s="56" t="s">
        <v>833</v>
      </c>
      <c r="F7" s="12" t="s">
        <v>834</v>
      </c>
      <c r="G7" s="36">
        <v>1</v>
      </c>
      <c r="H7" s="38">
        <v>25</v>
      </c>
      <c r="I7" s="7">
        <v>12000</v>
      </c>
      <c r="J7" s="14">
        <v>5270</v>
      </c>
      <c r="K7" s="15">
        <f>L7+3325</f>
        <v>8594</v>
      </c>
      <c r="L7" s="15">
        <f>2891+2378</f>
        <v>5269</v>
      </c>
      <c r="M7" s="16">
        <f t="shared" si="0"/>
        <v>5269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0.99981024667931684</v>
      </c>
      <c r="AC7" s="9">
        <f t="shared" si="5"/>
        <v>1</v>
      </c>
      <c r="AD7" s="10">
        <f t="shared" si="6"/>
        <v>0.99981024667931684</v>
      </c>
      <c r="AE7" s="39">
        <f t="shared" si="7"/>
        <v>0.51040191829008852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120</v>
      </c>
      <c r="D8" s="55" t="s">
        <v>879</v>
      </c>
      <c r="E8" s="57" t="s">
        <v>880</v>
      </c>
      <c r="F8" s="12" t="s">
        <v>881</v>
      </c>
      <c r="G8" s="36">
        <v>1</v>
      </c>
      <c r="H8" s="38">
        <v>25</v>
      </c>
      <c r="I8" s="7">
        <v>6000</v>
      </c>
      <c r="J8" s="14">
        <v>3190</v>
      </c>
      <c r="K8" s="15">
        <f>L8</f>
        <v>3182</v>
      </c>
      <c r="L8" s="15">
        <f>3182</f>
        <v>3182</v>
      </c>
      <c r="M8" s="16">
        <f t="shared" si="0"/>
        <v>3182</v>
      </c>
      <c r="N8" s="16">
        <v>0</v>
      </c>
      <c r="O8" s="62">
        <f t="shared" si="1"/>
        <v>0</v>
      </c>
      <c r="P8" s="42">
        <f t="shared" si="2"/>
        <v>15</v>
      </c>
      <c r="Q8" s="43">
        <f t="shared" si="3"/>
        <v>9</v>
      </c>
      <c r="R8" s="7"/>
      <c r="S8" s="6"/>
      <c r="T8" s="17">
        <v>9</v>
      </c>
      <c r="U8" s="17"/>
      <c r="V8" s="18"/>
      <c r="W8" s="19"/>
      <c r="X8" s="17"/>
      <c r="Y8" s="20"/>
      <c r="Z8" s="20"/>
      <c r="AA8" s="21"/>
      <c r="AB8" s="8">
        <f t="shared" si="4"/>
        <v>0.99749216300940435</v>
      </c>
      <c r="AC8" s="9">
        <f t="shared" si="5"/>
        <v>0.625</v>
      </c>
      <c r="AD8" s="10">
        <f t="shared" si="6"/>
        <v>0.62343260188087768</v>
      </c>
      <c r="AE8" s="39">
        <f t="shared" si="7"/>
        <v>0.51040191829008852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882</v>
      </c>
      <c r="D9" s="55" t="s">
        <v>883</v>
      </c>
      <c r="E9" s="57" t="s">
        <v>884</v>
      </c>
      <c r="F9" s="12">
        <v>7301</v>
      </c>
      <c r="G9" s="12">
        <v>1</v>
      </c>
      <c r="H9" s="13">
        <v>25</v>
      </c>
      <c r="I9" s="34">
        <v>12000</v>
      </c>
      <c r="J9" s="5">
        <v>470</v>
      </c>
      <c r="K9" s="15">
        <f>L9</f>
        <v>464</v>
      </c>
      <c r="L9" s="15">
        <v>464</v>
      </c>
      <c r="M9" s="16">
        <f t="shared" si="0"/>
        <v>464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>
        <v>20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0.98723404255319147</v>
      </c>
      <c r="AC9" s="9">
        <f t="shared" si="5"/>
        <v>0.16666666666666666</v>
      </c>
      <c r="AD9" s="10">
        <f t="shared" si="6"/>
        <v>0.16453900709219857</v>
      </c>
      <c r="AE9" s="39">
        <f t="shared" si="7"/>
        <v>0.51040191829008852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885</v>
      </c>
      <c r="D10" s="55" t="s">
        <v>886</v>
      </c>
      <c r="E10" s="57" t="s">
        <v>887</v>
      </c>
      <c r="F10" s="12" t="s">
        <v>691</v>
      </c>
      <c r="G10" s="12">
        <v>1</v>
      </c>
      <c r="H10" s="13">
        <v>25</v>
      </c>
      <c r="I10" s="34">
        <v>1000</v>
      </c>
      <c r="J10" s="14">
        <v>780</v>
      </c>
      <c r="K10" s="15">
        <f>L10</f>
        <v>778</v>
      </c>
      <c r="L10" s="15">
        <v>778</v>
      </c>
      <c r="M10" s="16">
        <f t="shared" si="0"/>
        <v>778</v>
      </c>
      <c r="N10" s="16">
        <v>0</v>
      </c>
      <c r="O10" s="62">
        <f t="shared" si="1"/>
        <v>0</v>
      </c>
      <c r="P10" s="42">
        <f t="shared" si="2"/>
        <v>6</v>
      </c>
      <c r="Q10" s="43">
        <f t="shared" si="3"/>
        <v>18</v>
      </c>
      <c r="R10" s="7"/>
      <c r="S10" s="6">
        <v>18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0.99743589743589745</v>
      </c>
      <c r="AC10" s="9">
        <f t="shared" si="5"/>
        <v>0.25</v>
      </c>
      <c r="AD10" s="10">
        <f t="shared" si="6"/>
        <v>0.24935897435897436</v>
      </c>
      <c r="AE10" s="39">
        <f t="shared" si="7"/>
        <v>0.51040191829008852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620</v>
      </c>
      <c r="D11" s="55" t="s">
        <v>621</v>
      </c>
      <c r="E11" s="57" t="s">
        <v>697</v>
      </c>
      <c r="F11" s="12" t="s">
        <v>623</v>
      </c>
      <c r="G11" s="12">
        <v>1</v>
      </c>
      <c r="H11" s="13">
        <v>25</v>
      </c>
      <c r="I11" s="34">
        <v>2000</v>
      </c>
      <c r="J11" s="14">
        <v>1070</v>
      </c>
      <c r="K11" s="15">
        <f>L11+3392+1067</f>
        <v>4459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0.51040191829008852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46000</v>
      </c>
      <c r="J12" s="14">
        <v>3180</v>
      </c>
      <c r="K12" s="15">
        <f>L12+3669+4855+2235+2780+2059+3271+4852+4899+2834+4120+5019+3677+4074+3799+831+1797+2987+4632+1928+3326</f>
        <v>70816</v>
      </c>
      <c r="L12" s="15">
        <f>2503+669</f>
        <v>3172</v>
      </c>
      <c r="M12" s="16">
        <f t="shared" si="0"/>
        <v>3172</v>
      </c>
      <c r="N12" s="16">
        <v>0</v>
      </c>
      <c r="O12" s="62">
        <f t="shared" si="1"/>
        <v>0</v>
      </c>
      <c r="P12" s="42">
        <f t="shared" si="2"/>
        <v>19</v>
      </c>
      <c r="Q12" s="43">
        <f t="shared" si="3"/>
        <v>5</v>
      </c>
      <c r="R12" s="7"/>
      <c r="S12" s="6">
        <v>5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0.99748427672955975</v>
      </c>
      <c r="AC12" s="9">
        <f t="shared" si="5"/>
        <v>0.79166666666666663</v>
      </c>
      <c r="AD12" s="10">
        <f t="shared" si="6"/>
        <v>0.78967505241090141</v>
      </c>
      <c r="AE12" s="39">
        <f t="shared" si="7"/>
        <v>0.51040191829008852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882</v>
      </c>
      <c r="D13" s="55" t="s">
        <v>888</v>
      </c>
      <c r="E13" s="57" t="s">
        <v>889</v>
      </c>
      <c r="F13" s="12" t="s">
        <v>890</v>
      </c>
      <c r="G13" s="12">
        <v>1</v>
      </c>
      <c r="H13" s="13">
        <v>35</v>
      </c>
      <c r="I13" s="7">
        <v>12000</v>
      </c>
      <c r="J13" s="14">
        <v>4520</v>
      </c>
      <c r="K13" s="15">
        <f>L13</f>
        <v>4514</v>
      </c>
      <c r="L13" s="15">
        <f>2763+1751</f>
        <v>4514</v>
      </c>
      <c r="M13" s="16">
        <f t="shared" si="0"/>
        <v>4514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>
        <v>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0.99867256637168145</v>
      </c>
      <c r="AC13" s="9">
        <f t="shared" si="5"/>
        <v>0.875</v>
      </c>
      <c r="AD13" s="10">
        <f t="shared" si="6"/>
        <v>0.87383849557522131</v>
      </c>
      <c r="AE13" s="39">
        <f t="shared" si="7"/>
        <v>0.51040191829008852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119</v>
      </c>
      <c r="D14" s="55" t="s">
        <v>624</v>
      </c>
      <c r="E14" s="57" t="s">
        <v>625</v>
      </c>
      <c r="F14" s="33" t="s">
        <v>626</v>
      </c>
      <c r="G14" s="36">
        <v>1</v>
      </c>
      <c r="H14" s="38">
        <v>40</v>
      </c>
      <c r="I14" s="7">
        <v>1200</v>
      </c>
      <c r="J14" s="5">
        <v>860</v>
      </c>
      <c r="K14" s="15">
        <f>L14+856</f>
        <v>856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0.51040191829008852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732</v>
      </c>
      <c r="D15" s="55" t="s">
        <v>733</v>
      </c>
      <c r="E15" s="57" t="s">
        <v>734</v>
      </c>
      <c r="F15" s="12">
        <v>8301</v>
      </c>
      <c r="G15" s="12">
        <v>1</v>
      </c>
      <c r="H15" s="13">
        <v>25</v>
      </c>
      <c r="I15" s="34">
        <v>3000</v>
      </c>
      <c r="J15" s="14">
        <v>6790</v>
      </c>
      <c r="K15" s="15">
        <f>L15+5822+6782</f>
        <v>12604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0.51040191829008852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882</v>
      </c>
      <c r="D16" s="55" t="s">
        <v>891</v>
      </c>
      <c r="E16" s="56" t="s">
        <v>892</v>
      </c>
      <c r="F16" s="12">
        <v>7301</v>
      </c>
      <c r="G16" s="36">
        <v>1</v>
      </c>
      <c r="H16" s="38">
        <v>25</v>
      </c>
      <c r="I16" s="7">
        <v>10000</v>
      </c>
      <c r="J16" s="14">
        <v>5590</v>
      </c>
      <c r="K16" s="15">
        <f>L16</f>
        <v>5588</v>
      </c>
      <c r="L16" s="15">
        <f>3430+2158</f>
        <v>5588</v>
      </c>
      <c r="M16" s="16">
        <f t="shared" si="0"/>
        <v>5588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>
        <v>1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0.99964221824686939</v>
      </c>
      <c r="AC16" s="9">
        <f t="shared" si="5"/>
        <v>0.95833333333333337</v>
      </c>
      <c r="AD16" s="10">
        <f t="shared" si="6"/>
        <v>0.95799045915324987</v>
      </c>
      <c r="AE16" s="39">
        <f t="shared" si="7"/>
        <v>0.51040191829008852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0.51040191829008852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835</v>
      </c>
      <c r="E18" s="57" t="s">
        <v>836</v>
      </c>
      <c r="F18" s="12" t="s">
        <v>471</v>
      </c>
      <c r="G18" s="12">
        <v>1</v>
      </c>
      <c r="H18" s="13">
        <v>25</v>
      </c>
      <c r="I18" s="34">
        <v>20000</v>
      </c>
      <c r="J18" s="5">
        <v>5730</v>
      </c>
      <c r="K18" s="15">
        <f>L18+3568</f>
        <v>9291</v>
      </c>
      <c r="L18" s="15">
        <f>2952+2771</f>
        <v>5723</v>
      </c>
      <c r="M18" s="16">
        <f t="shared" si="0"/>
        <v>5723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0.99877835951134375</v>
      </c>
      <c r="AC18" s="9">
        <f t="shared" si="5"/>
        <v>1</v>
      </c>
      <c r="AD18" s="10">
        <f t="shared" si="6"/>
        <v>0.99877835951134375</v>
      </c>
      <c r="AE18" s="39">
        <f t="shared" si="7"/>
        <v>0.51040191829008852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837</v>
      </c>
      <c r="E19" s="57" t="s">
        <v>838</v>
      </c>
      <c r="F19" s="33" t="s">
        <v>839</v>
      </c>
      <c r="G19" s="36">
        <v>1</v>
      </c>
      <c r="H19" s="38">
        <v>25</v>
      </c>
      <c r="I19" s="7">
        <v>15000</v>
      </c>
      <c r="J19" s="5">
        <v>5020</v>
      </c>
      <c r="K19" s="15">
        <f>L19+2493</f>
        <v>7506</v>
      </c>
      <c r="L19" s="15">
        <f>2624+2389</f>
        <v>5013</v>
      </c>
      <c r="M19" s="16">
        <f t="shared" si="0"/>
        <v>5013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0.99860557768924307</v>
      </c>
      <c r="AC19" s="9">
        <f t="shared" si="5"/>
        <v>1</v>
      </c>
      <c r="AD19" s="10">
        <f t="shared" si="6"/>
        <v>0.99860557768924307</v>
      </c>
      <c r="AE19" s="39">
        <f t="shared" si="7"/>
        <v>0.51040191829008852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793</v>
      </c>
      <c r="F20" s="12" t="s">
        <v>118</v>
      </c>
      <c r="G20" s="12">
        <v>4</v>
      </c>
      <c r="H20" s="38">
        <v>20</v>
      </c>
      <c r="I20" s="7">
        <v>200000</v>
      </c>
      <c r="J20" s="14">
        <v>60260</v>
      </c>
      <c r="K20" s="15">
        <f>L20+40652+62320</f>
        <v>163232</v>
      </c>
      <c r="L20" s="15">
        <f>7743*4+7322*4</f>
        <v>60260</v>
      </c>
      <c r="M20" s="16">
        <f t="shared" si="0"/>
        <v>60260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0.51040191829008852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342000</v>
      </c>
      <c r="J21" s="22">
        <f t="shared" si="10"/>
        <v>106141</v>
      </c>
      <c r="K21" s="23">
        <f t="shared" si="10"/>
        <v>295287</v>
      </c>
      <c r="L21" s="24">
        <f t="shared" si="10"/>
        <v>93963</v>
      </c>
      <c r="M21" s="23">
        <f t="shared" si="10"/>
        <v>93963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184</v>
      </c>
      <c r="Q21" s="46">
        <f t="shared" si="11"/>
        <v>176</v>
      </c>
      <c r="R21" s="26">
        <f t="shared" si="11"/>
        <v>48</v>
      </c>
      <c r="S21" s="27">
        <f t="shared" si="11"/>
        <v>47</v>
      </c>
      <c r="T21" s="27">
        <f t="shared" si="11"/>
        <v>9</v>
      </c>
      <c r="U21" s="27">
        <f t="shared" si="11"/>
        <v>0</v>
      </c>
      <c r="V21" s="28">
        <f t="shared" si="11"/>
        <v>0</v>
      </c>
      <c r="W21" s="29">
        <f t="shared" si="11"/>
        <v>72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0.66501035654843377</v>
      </c>
      <c r="AC21" s="4">
        <f>SUM(AC6:AC20)/15</f>
        <v>0.51111111111111118</v>
      </c>
      <c r="AD21" s="4">
        <f>SUM(AD6:AD20)/15</f>
        <v>0.51040191829008852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893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904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317" t="s">
        <v>47</v>
      </c>
      <c r="D50" s="317" t="s">
        <v>48</v>
      </c>
      <c r="E50" s="317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317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841</v>
      </c>
      <c r="B51" s="410"/>
      <c r="C51" s="313" t="s">
        <v>842</v>
      </c>
      <c r="D51" s="313" t="s">
        <v>879</v>
      </c>
      <c r="E51" s="316" t="s">
        <v>880</v>
      </c>
      <c r="F51" s="411" t="s">
        <v>894</v>
      </c>
      <c r="G51" s="411"/>
      <c r="H51" s="411"/>
      <c r="I51" s="411"/>
      <c r="J51" s="411"/>
      <c r="K51" s="411"/>
      <c r="L51" s="411"/>
      <c r="M51" s="412"/>
      <c r="N51" s="312" t="s">
        <v>120</v>
      </c>
      <c r="O51" s="74" t="s">
        <v>863</v>
      </c>
      <c r="P51" s="413" t="s">
        <v>864</v>
      </c>
      <c r="Q51" s="414"/>
      <c r="R51" s="410" t="s">
        <v>865</v>
      </c>
      <c r="S51" s="410"/>
      <c r="T51" s="410"/>
      <c r="U51" s="410"/>
      <c r="V51" s="411" t="s">
        <v>900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841</v>
      </c>
      <c r="B52" s="410"/>
      <c r="C52" s="313" t="s">
        <v>895</v>
      </c>
      <c r="D52" s="313" t="s">
        <v>896</v>
      </c>
      <c r="E52" s="316" t="s">
        <v>897</v>
      </c>
      <c r="F52" s="411" t="s">
        <v>898</v>
      </c>
      <c r="G52" s="411"/>
      <c r="H52" s="411"/>
      <c r="I52" s="411"/>
      <c r="J52" s="411"/>
      <c r="K52" s="411"/>
      <c r="L52" s="411"/>
      <c r="M52" s="412"/>
      <c r="N52" s="312" t="s">
        <v>908</v>
      </c>
      <c r="O52" s="74" t="s">
        <v>909</v>
      </c>
      <c r="P52" s="413" t="s">
        <v>910</v>
      </c>
      <c r="Q52" s="414"/>
      <c r="R52" s="410" t="s">
        <v>911</v>
      </c>
      <c r="S52" s="410"/>
      <c r="T52" s="410"/>
      <c r="U52" s="410"/>
      <c r="V52" s="411" t="s">
        <v>912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119</v>
      </c>
      <c r="B53" s="410"/>
      <c r="C53" s="313" t="s">
        <v>848</v>
      </c>
      <c r="D53" s="313" t="s">
        <v>123</v>
      </c>
      <c r="E53" s="316" t="s">
        <v>849</v>
      </c>
      <c r="F53" s="411" t="s">
        <v>899</v>
      </c>
      <c r="G53" s="411"/>
      <c r="H53" s="411"/>
      <c r="I53" s="411"/>
      <c r="J53" s="411"/>
      <c r="K53" s="411"/>
      <c r="L53" s="411"/>
      <c r="M53" s="412"/>
      <c r="N53" s="312" t="s">
        <v>901</v>
      </c>
      <c r="O53" s="74" t="s">
        <v>902</v>
      </c>
      <c r="P53" s="413" t="s">
        <v>913</v>
      </c>
      <c r="Q53" s="414"/>
      <c r="R53" s="410" t="s">
        <v>914</v>
      </c>
      <c r="S53" s="410"/>
      <c r="T53" s="410"/>
      <c r="U53" s="410"/>
      <c r="V53" s="411" t="s">
        <v>900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120</v>
      </c>
      <c r="B54" s="410"/>
      <c r="C54" s="313" t="s">
        <v>856</v>
      </c>
      <c r="D54" s="313" t="s">
        <v>857</v>
      </c>
      <c r="E54" s="316" t="s">
        <v>858</v>
      </c>
      <c r="F54" s="411" t="s">
        <v>900</v>
      </c>
      <c r="G54" s="411"/>
      <c r="H54" s="411"/>
      <c r="I54" s="411"/>
      <c r="J54" s="411"/>
      <c r="K54" s="411"/>
      <c r="L54" s="411"/>
      <c r="M54" s="412"/>
      <c r="N54" s="312"/>
      <c r="O54" s="74"/>
      <c r="P54" s="413"/>
      <c r="Q54" s="414"/>
      <c r="R54" s="410"/>
      <c r="S54" s="410"/>
      <c r="T54" s="410"/>
      <c r="U54" s="410"/>
      <c r="V54" s="411"/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901</v>
      </c>
      <c r="B55" s="410"/>
      <c r="C55" s="313" t="s">
        <v>902</v>
      </c>
      <c r="D55" s="313" t="s">
        <v>888</v>
      </c>
      <c r="E55" s="316" t="s">
        <v>887</v>
      </c>
      <c r="F55" s="411" t="s">
        <v>903</v>
      </c>
      <c r="G55" s="411"/>
      <c r="H55" s="411"/>
      <c r="I55" s="411"/>
      <c r="J55" s="411"/>
      <c r="K55" s="411"/>
      <c r="L55" s="411"/>
      <c r="M55" s="412"/>
      <c r="N55" s="312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882</v>
      </c>
      <c r="B56" s="410"/>
      <c r="C56" s="313" t="s">
        <v>905</v>
      </c>
      <c r="D56" s="313" t="s">
        <v>906</v>
      </c>
      <c r="E56" s="316" t="s">
        <v>892</v>
      </c>
      <c r="F56" s="411" t="s">
        <v>907</v>
      </c>
      <c r="G56" s="411"/>
      <c r="H56" s="411"/>
      <c r="I56" s="411"/>
      <c r="J56" s="411"/>
      <c r="K56" s="411"/>
      <c r="L56" s="411"/>
      <c r="M56" s="412"/>
      <c r="N56" s="312"/>
      <c r="O56" s="74"/>
      <c r="P56" s="410"/>
      <c r="Q56" s="410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19"/>
      <c r="B57" s="420"/>
      <c r="C57" s="316"/>
      <c r="D57" s="313"/>
      <c r="E57" s="316"/>
      <c r="F57" s="411"/>
      <c r="G57" s="411"/>
      <c r="H57" s="411"/>
      <c r="I57" s="411"/>
      <c r="J57" s="411"/>
      <c r="K57" s="411"/>
      <c r="L57" s="411"/>
      <c r="M57" s="412"/>
      <c r="N57" s="312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316"/>
      <c r="D58" s="313"/>
      <c r="E58" s="316"/>
      <c r="F58" s="411"/>
      <c r="G58" s="411"/>
      <c r="H58" s="411"/>
      <c r="I58" s="411"/>
      <c r="J58" s="411"/>
      <c r="K58" s="411"/>
      <c r="L58" s="411"/>
      <c r="M58" s="412"/>
      <c r="N58" s="312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313"/>
      <c r="D59" s="313"/>
      <c r="E59" s="313"/>
      <c r="F59" s="411"/>
      <c r="G59" s="411"/>
      <c r="H59" s="411"/>
      <c r="I59" s="411"/>
      <c r="J59" s="411"/>
      <c r="K59" s="411"/>
      <c r="L59" s="411"/>
      <c r="M59" s="412"/>
      <c r="N59" s="312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315"/>
      <c r="D60" s="315"/>
      <c r="E60" s="315"/>
      <c r="F60" s="417"/>
      <c r="G60" s="417"/>
      <c r="H60" s="417"/>
      <c r="I60" s="417"/>
      <c r="J60" s="417"/>
      <c r="K60" s="417"/>
      <c r="L60" s="417"/>
      <c r="M60" s="418"/>
      <c r="N60" s="314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915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311" t="s">
        <v>2</v>
      </c>
      <c r="D62" s="311" t="s">
        <v>38</v>
      </c>
      <c r="E62" s="311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311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777</v>
      </c>
      <c r="D63" s="307"/>
      <c r="E63" s="309" t="s">
        <v>778</v>
      </c>
      <c r="F63" s="430" t="s">
        <v>779</v>
      </c>
      <c r="G63" s="431"/>
      <c r="H63" s="431"/>
      <c r="I63" s="431"/>
      <c r="J63" s="431"/>
      <c r="K63" s="431" t="s">
        <v>780</v>
      </c>
      <c r="L63" s="431"/>
      <c r="M63" s="54" t="s">
        <v>916</v>
      </c>
      <c r="N63" s="431">
        <v>4</v>
      </c>
      <c r="O63" s="431"/>
      <c r="P63" s="432">
        <v>200</v>
      </c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 t="s">
        <v>917</v>
      </c>
      <c r="D64" s="307"/>
      <c r="E64" s="309" t="s">
        <v>888</v>
      </c>
      <c r="F64" s="430" t="s">
        <v>914</v>
      </c>
      <c r="G64" s="431"/>
      <c r="H64" s="431"/>
      <c r="I64" s="431"/>
      <c r="J64" s="431"/>
      <c r="K64" s="431" t="s">
        <v>918</v>
      </c>
      <c r="L64" s="431"/>
      <c r="M64" s="54" t="s">
        <v>781</v>
      </c>
      <c r="N64" s="431">
        <v>5</v>
      </c>
      <c r="O64" s="431"/>
      <c r="P64" s="432">
        <v>50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/>
      <c r="D65" s="307"/>
      <c r="E65" s="309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/>
      <c r="D66" s="307"/>
      <c r="E66" s="309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307"/>
      <c r="E67" s="309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307"/>
      <c r="E68" s="309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307"/>
      <c r="E69" s="309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307"/>
      <c r="E70" s="309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919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310" t="s">
        <v>2</v>
      </c>
      <c r="D72" s="310" t="s">
        <v>38</v>
      </c>
      <c r="E72" s="310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308" t="s">
        <v>119</v>
      </c>
      <c r="D73" s="308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307" t="s">
        <v>119</v>
      </c>
      <c r="D74" s="307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307" t="s">
        <v>922</v>
      </c>
      <c r="D75" s="307"/>
      <c r="E75" s="35" t="s">
        <v>888</v>
      </c>
      <c r="F75" s="442" t="s">
        <v>887</v>
      </c>
      <c r="G75" s="442"/>
      <c r="H75" s="442"/>
      <c r="I75" s="442"/>
      <c r="J75" s="442"/>
      <c r="K75" s="443" t="s">
        <v>923</v>
      </c>
      <c r="L75" s="444"/>
      <c r="M75" s="444"/>
      <c r="N75" s="444"/>
      <c r="O75" s="444"/>
      <c r="P75" s="444"/>
      <c r="Q75" s="444"/>
      <c r="R75" s="444"/>
      <c r="S75" s="445"/>
      <c r="T75" s="446">
        <v>42937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307" t="s">
        <v>292</v>
      </c>
      <c r="D76" s="307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307" t="s">
        <v>186</v>
      </c>
      <c r="D77" s="307"/>
      <c r="E77" s="35" t="s">
        <v>896</v>
      </c>
      <c r="F77" s="442" t="s">
        <v>920</v>
      </c>
      <c r="G77" s="442"/>
      <c r="H77" s="442"/>
      <c r="I77" s="442"/>
      <c r="J77" s="442"/>
      <c r="K77" s="443" t="s">
        <v>921</v>
      </c>
      <c r="L77" s="444"/>
      <c r="M77" s="444"/>
      <c r="N77" s="444"/>
      <c r="O77" s="444"/>
      <c r="P77" s="444"/>
      <c r="Q77" s="444"/>
      <c r="R77" s="444"/>
      <c r="S77" s="445"/>
      <c r="T77" s="446">
        <v>42937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307"/>
      <c r="D78" s="307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307"/>
      <c r="D79" s="307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307"/>
      <c r="D80" s="307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307"/>
      <c r="D81" s="307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924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176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18" sqref="A18:XFD1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68" t="s">
        <v>925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6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319" t="s">
        <v>17</v>
      </c>
      <c r="L5" s="319" t="s">
        <v>18</v>
      </c>
      <c r="M5" s="319" t="s">
        <v>19</v>
      </c>
      <c r="N5" s="31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6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0.49942241079191291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833</v>
      </c>
      <c r="F7" s="12" t="s">
        <v>168</v>
      </c>
      <c r="G7" s="36">
        <v>1</v>
      </c>
      <c r="H7" s="38">
        <v>25</v>
      </c>
      <c r="I7" s="7">
        <v>12000</v>
      </c>
      <c r="J7" s="14">
        <v>4140</v>
      </c>
      <c r="K7" s="15">
        <f>L7+3325+5269</f>
        <v>12729</v>
      </c>
      <c r="L7" s="15">
        <f>2539+1596</f>
        <v>4135</v>
      </c>
      <c r="M7" s="16">
        <f t="shared" si="0"/>
        <v>4135</v>
      </c>
      <c r="N7" s="16">
        <v>0</v>
      </c>
      <c r="O7" s="62">
        <f t="shared" si="1"/>
        <v>0</v>
      </c>
      <c r="P7" s="42">
        <f t="shared" si="2"/>
        <v>23</v>
      </c>
      <c r="Q7" s="43">
        <f t="shared" si="3"/>
        <v>1</v>
      </c>
      <c r="R7" s="7"/>
      <c r="S7" s="6"/>
      <c r="T7" s="17"/>
      <c r="U7" s="17"/>
      <c r="V7" s="18">
        <v>1</v>
      </c>
      <c r="W7" s="19"/>
      <c r="X7" s="17"/>
      <c r="Y7" s="20"/>
      <c r="Z7" s="20"/>
      <c r="AA7" s="21"/>
      <c r="AB7" s="8">
        <f t="shared" si="4"/>
        <v>0.99879227053140096</v>
      </c>
      <c r="AC7" s="9">
        <f t="shared" si="5"/>
        <v>0.95833333333333337</v>
      </c>
      <c r="AD7" s="10">
        <f t="shared" si="6"/>
        <v>0.95717592592592593</v>
      </c>
      <c r="AE7" s="39">
        <f t="shared" si="7"/>
        <v>0.49942241079191291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120</v>
      </c>
      <c r="D8" s="55" t="s">
        <v>167</v>
      </c>
      <c r="E8" s="57" t="s">
        <v>880</v>
      </c>
      <c r="F8" s="12" t="s">
        <v>168</v>
      </c>
      <c r="G8" s="36">
        <v>1</v>
      </c>
      <c r="H8" s="38">
        <v>25</v>
      </c>
      <c r="I8" s="7">
        <v>6000</v>
      </c>
      <c r="J8" s="14">
        <v>4440</v>
      </c>
      <c r="K8" s="15">
        <f>L8+3182</f>
        <v>7620</v>
      </c>
      <c r="L8" s="15">
        <f>2596+1842</f>
        <v>4438</v>
      </c>
      <c r="M8" s="16">
        <f t="shared" si="0"/>
        <v>4438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0.99954954954954955</v>
      </c>
      <c r="AC8" s="9">
        <f t="shared" si="5"/>
        <v>1</v>
      </c>
      <c r="AD8" s="10">
        <f t="shared" si="6"/>
        <v>0.99954954954954955</v>
      </c>
      <c r="AE8" s="39">
        <f t="shared" si="7"/>
        <v>0.49942241079191291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454</v>
      </c>
      <c r="D9" s="55" t="s">
        <v>135</v>
      </c>
      <c r="E9" s="57" t="s">
        <v>884</v>
      </c>
      <c r="F9" s="12">
        <v>7301</v>
      </c>
      <c r="G9" s="12">
        <v>1</v>
      </c>
      <c r="H9" s="13">
        <v>25</v>
      </c>
      <c r="I9" s="34">
        <v>12000</v>
      </c>
      <c r="J9" s="5">
        <v>470</v>
      </c>
      <c r="K9" s="15">
        <f>L9+464</f>
        <v>464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0.49942241079191291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534</v>
      </c>
      <c r="D10" s="55" t="s">
        <v>886</v>
      </c>
      <c r="E10" s="57" t="s">
        <v>887</v>
      </c>
      <c r="F10" s="12" t="s">
        <v>295</v>
      </c>
      <c r="G10" s="12">
        <v>1</v>
      </c>
      <c r="H10" s="13">
        <v>25</v>
      </c>
      <c r="I10" s="34">
        <v>1000</v>
      </c>
      <c r="J10" s="14">
        <v>900</v>
      </c>
      <c r="K10" s="15">
        <f>L10+778</f>
        <v>1674</v>
      </c>
      <c r="L10" s="15">
        <f>461+435</f>
        <v>896</v>
      </c>
      <c r="M10" s="16">
        <f t="shared" si="0"/>
        <v>896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>
        <v>8</v>
      </c>
      <c r="T10" s="17"/>
      <c r="U10" s="17"/>
      <c r="V10" s="18"/>
      <c r="W10" s="19">
        <v>6</v>
      </c>
      <c r="X10" s="17"/>
      <c r="Y10" s="20"/>
      <c r="Z10" s="20"/>
      <c r="AA10" s="21"/>
      <c r="AB10" s="8">
        <f t="shared" si="4"/>
        <v>0.99555555555555553</v>
      </c>
      <c r="AC10" s="9">
        <f t="shared" si="5"/>
        <v>0.41666666666666669</v>
      </c>
      <c r="AD10" s="10">
        <f t="shared" si="6"/>
        <v>0.4148148148148148</v>
      </c>
      <c r="AE10" s="39">
        <f t="shared" si="7"/>
        <v>0.49942241079191291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119</v>
      </c>
      <c r="D11" s="55" t="s">
        <v>926</v>
      </c>
      <c r="E11" s="57" t="s">
        <v>927</v>
      </c>
      <c r="F11" s="12" t="s">
        <v>325</v>
      </c>
      <c r="G11" s="12">
        <v>1</v>
      </c>
      <c r="H11" s="13">
        <v>25</v>
      </c>
      <c r="I11" s="34">
        <v>6000</v>
      </c>
      <c r="J11" s="14">
        <v>2310</v>
      </c>
      <c r="K11" s="15">
        <f>L11</f>
        <v>2308</v>
      </c>
      <c r="L11" s="15">
        <v>2308</v>
      </c>
      <c r="M11" s="16">
        <f t="shared" si="0"/>
        <v>2308</v>
      </c>
      <c r="N11" s="16">
        <v>0</v>
      </c>
      <c r="O11" s="62">
        <f t="shared" si="1"/>
        <v>0</v>
      </c>
      <c r="P11" s="42">
        <f t="shared" si="2"/>
        <v>14</v>
      </c>
      <c r="Q11" s="43">
        <f t="shared" si="3"/>
        <v>10</v>
      </c>
      <c r="R11" s="7"/>
      <c r="S11" s="6"/>
      <c r="T11" s="17"/>
      <c r="U11" s="17"/>
      <c r="V11" s="18">
        <v>10</v>
      </c>
      <c r="W11" s="19"/>
      <c r="X11" s="17"/>
      <c r="Y11" s="20"/>
      <c r="Z11" s="20"/>
      <c r="AA11" s="21"/>
      <c r="AB11" s="8">
        <f t="shared" si="4"/>
        <v>0.9991341991341991</v>
      </c>
      <c r="AC11" s="9">
        <f t="shared" si="5"/>
        <v>0.58333333333333337</v>
      </c>
      <c r="AD11" s="10">
        <f t="shared" si="6"/>
        <v>0.58282828282828281</v>
      </c>
      <c r="AE11" s="39">
        <f t="shared" si="7"/>
        <v>0.49942241079191291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16000</v>
      </c>
      <c r="J12" s="14">
        <v>2680</v>
      </c>
      <c r="K12" s="15">
        <f>L12</f>
        <v>2679</v>
      </c>
      <c r="L12" s="15">
        <f>1792+887</f>
        <v>2679</v>
      </c>
      <c r="M12" s="16">
        <f t="shared" si="0"/>
        <v>2679</v>
      </c>
      <c r="N12" s="16">
        <v>0</v>
      </c>
      <c r="O12" s="62">
        <f t="shared" si="1"/>
        <v>0</v>
      </c>
      <c r="P12" s="42">
        <f t="shared" si="2"/>
        <v>18</v>
      </c>
      <c r="Q12" s="43">
        <f t="shared" si="3"/>
        <v>6</v>
      </c>
      <c r="R12" s="7"/>
      <c r="S12" s="6">
        <v>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0.99962686567164183</v>
      </c>
      <c r="AC12" s="9">
        <f t="shared" si="5"/>
        <v>0.75</v>
      </c>
      <c r="AD12" s="10">
        <f t="shared" si="6"/>
        <v>0.74972014925373132</v>
      </c>
      <c r="AE12" s="39">
        <f t="shared" si="7"/>
        <v>0.49942241079191291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454</v>
      </c>
      <c r="D13" s="55" t="s">
        <v>886</v>
      </c>
      <c r="E13" s="57" t="s">
        <v>889</v>
      </c>
      <c r="F13" s="12" t="s">
        <v>471</v>
      </c>
      <c r="G13" s="12">
        <v>1</v>
      </c>
      <c r="H13" s="13">
        <v>35</v>
      </c>
      <c r="I13" s="7">
        <v>12000</v>
      </c>
      <c r="J13" s="14">
        <v>1750</v>
      </c>
      <c r="K13" s="15">
        <f>L13+4514</f>
        <v>6264</v>
      </c>
      <c r="L13" s="15">
        <v>1750</v>
      </c>
      <c r="M13" s="16">
        <f t="shared" si="0"/>
        <v>1750</v>
      </c>
      <c r="N13" s="16">
        <v>0</v>
      </c>
      <c r="O13" s="62">
        <f t="shared" si="1"/>
        <v>0</v>
      </c>
      <c r="P13" s="42">
        <f t="shared" si="2"/>
        <v>9</v>
      </c>
      <c r="Q13" s="43">
        <f t="shared" si="3"/>
        <v>15</v>
      </c>
      <c r="R13" s="7"/>
      <c r="S13" s="6">
        <v>15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0.375</v>
      </c>
      <c r="AD13" s="10">
        <f t="shared" si="6"/>
        <v>0.375</v>
      </c>
      <c r="AE13" s="39">
        <f t="shared" si="7"/>
        <v>0.49942241079191291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119</v>
      </c>
      <c r="D14" s="55" t="s">
        <v>624</v>
      </c>
      <c r="E14" s="57" t="s">
        <v>928</v>
      </c>
      <c r="F14" s="33" t="s">
        <v>130</v>
      </c>
      <c r="G14" s="36">
        <v>1</v>
      </c>
      <c r="H14" s="38">
        <v>40</v>
      </c>
      <c r="I14" s="7">
        <v>300</v>
      </c>
      <c r="J14" s="5">
        <v>240</v>
      </c>
      <c r="K14" s="15">
        <f>L14</f>
        <v>238</v>
      </c>
      <c r="L14" s="15">
        <v>238</v>
      </c>
      <c r="M14" s="16">
        <f t="shared" si="0"/>
        <v>238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>
        <v>18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0.9916666666666667</v>
      </c>
      <c r="AC14" s="9">
        <f t="shared" si="5"/>
        <v>0.25</v>
      </c>
      <c r="AD14" s="10">
        <f t="shared" si="6"/>
        <v>0.24791666666666667</v>
      </c>
      <c r="AE14" s="39">
        <f t="shared" si="7"/>
        <v>0.49942241079191291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929</v>
      </c>
      <c r="D15" s="55" t="s">
        <v>930</v>
      </c>
      <c r="E15" s="57" t="s">
        <v>931</v>
      </c>
      <c r="F15" s="12" t="s">
        <v>932</v>
      </c>
      <c r="G15" s="12">
        <v>1</v>
      </c>
      <c r="H15" s="13">
        <v>25</v>
      </c>
      <c r="I15" s="34">
        <v>2000</v>
      </c>
      <c r="J15" s="14">
        <v>760</v>
      </c>
      <c r="K15" s="15">
        <f>L15</f>
        <v>756</v>
      </c>
      <c r="L15" s="15">
        <f>756</f>
        <v>756</v>
      </c>
      <c r="M15" s="16">
        <f t="shared" si="0"/>
        <v>756</v>
      </c>
      <c r="N15" s="16">
        <v>0</v>
      </c>
      <c r="O15" s="62">
        <f t="shared" si="1"/>
        <v>0</v>
      </c>
      <c r="P15" s="42">
        <f t="shared" si="2"/>
        <v>5</v>
      </c>
      <c r="Q15" s="43">
        <f t="shared" si="3"/>
        <v>19</v>
      </c>
      <c r="R15" s="7"/>
      <c r="S15" s="6">
        <v>19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0.99473684210526314</v>
      </c>
      <c r="AC15" s="9">
        <f t="shared" si="5"/>
        <v>0.20833333333333334</v>
      </c>
      <c r="AD15" s="10">
        <f t="shared" si="6"/>
        <v>0.20723684210526316</v>
      </c>
      <c r="AE15" s="39">
        <f t="shared" si="7"/>
        <v>0.49942241079191291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454</v>
      </c>
      <c r="D16" s="55" t="s">
        <v>232</v>
      </c>
      <c r="E16" s="56" t="s">
        <v>233</v>
      </c>
      <c r="F16" s="12">
        <v>7301</v>
      </c>
      <c r="G16" s="36">
        <v>1</v>
      </c>
      <c r="H16" s="38">
        <v>25</v>
      </c>
      <c r="I16" s="7">
        <v>26000</v>
      </c>
      <c r="J16" s="14">
        <v>3020</v>
      </c>
      <c r="K16" s="15">
        <f>L16</f>
        <v>3017</v>
      </c>
      <c r="L16" s="15">
        <f>2423+594</f>
        <v>3017</v>
      </c>
      <c r="M16" s="16">
        <f t="shared" si="0"/>
        <v>3017</v>
      </c>
      <c r="N16" s="16">
        <v>0</v>
      </c>
      <c r="O16" s="62">
        <f t="shared" si="1"/>
        <v>0</v>
      </c>
      <c r="P16" s="42">
        <f t="shared" si="2"/>
        <v>18</v>
      </c>
      <c r="Q16" s="43">
        <f t="shared" si="3"/>
        <v>6</v>
      </c>
      <c r="R16" s="7"/>
      <c r="S16" s="6">
        <v>6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0.99900662251655625</v>
      </c>
      <c r="AC16" s="9">
        <f t="shared" si="5"/>
        <v>0.75</v>
      </c>
      <c r="AD16" s="10">
        <f t="shared" si="6"/>
        <v>0.74925496688741722</v>
      </c>
      <c r="AE16" s="39">
        <f t="shared" si="7"/>
        <v>0.49942241079191291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0.49942241079191291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122</v>
      </c>
      <c r="E18" s="57" t="s">
        <v>137</v>
      </c>
      <c r="F18" s="12" t="s">
        <v>471</v>
      </c>
      <c r="G18" s="12">
        <v>1</v>
      </c>
      <c r="H18" s="13">
        <v>25</v>
      </c>
      <c r="I18" s="34">
        <v>20000</v>
      </c>
      <c r="J18" s="5">
        <v>4710</v>
      </c>
      <c r="K18" s="15">
        <f>L18+3568+5723</f>
        <v>14001</v>
      </c>
      <c r="L18" s="15">
        <f>2663+2047</f>
        <v>4710</v>
      </c>
      <c r="M18" s="16">
        <f t="shared" si="0"/>
        <v>4710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0.49942241079191291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58</v>
      </c>
      <c r="E19" s="57" t="s">
        <v>838</v>
      </c>
      <c r="F19" s="33" t="s">
        <v>252</v>
      </c>
      <c r="G19" s="36">
        <v>1</v>
      </c>
      <c r="H19" s="38">
        <v>25</v>
      </c>
      <c r="I19" s="7">
        <v>15000</v>
      </c>
      <c r="J19" s="5">
        <v>4460</v>
      </c>
      <c r="K19" s="15">
        <f>L19+2493+5013</f>
        <v>11964</v>
      </c>
      <c r="L19" s="15">
        <f>2516+1942</f>
        <v>4458</v>
      </c>
      <c r="M19" s="16">
        <f t="shared" si="0"/>
        <v>4458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0.99955156950672641</v>
      </c>
      <c r="AC19" s="9">
        <f t="shared" si="5"/>
        <v>1</v>
      </c>
      <c r="AD19" s="10">
        <f t="shared" si="6"/>
        <v>0.99955156950672641</v>
      </c>
      <c r="AE19" s="39">
        <f t="shared" si="7"/>
        <v>0.49942241079191291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767</v>
      </c>
      <c r="F20" s="12" t="s">
        <v>118</v>
      </c>
      <c r="G20" s="12">
        <v>4</v>
      </c>
      <c r="H20" s="38">
        <v>20</v>
      </c>
      <c r="I20" s="7">
        <v>200000</v>
      </c>
      <c r="J20" s="14">
        <v>9070</v>
      </c>
      <c r="K20" s="15">
        <f>L20+40652+62320+60260</f>
        <v>172300</v>
      </c>
      <c r="L20" s="15">
        <f>2267*4</f>
        <v>9068</v>
      </c>
      <c r="M20" s="16">
        <f t="shared" si="0"/>
        <v>9068</v>
      </c>
      <c r="N20" s="16">
        <v>0</v>
      </c>
      <c r="O20" s="62">
        <f t="shared" si="1"/>
        <v>0</v>
      </c>
      <c r="P20" s="42">
        <f t="shared" si="2"/>
        <v>5</v>
      </c>
      <c r="Q20" s="43">
        <f t="shared" si="3"/>
        <v>19</v>
      </c>
      <c r="R20" s="7"/>
      <c r="S20" s="6"/>
      <c r="T20" s="17"/>
      <c r="U20" s="17"/>
      <c r="V20" s="18"/>
      <c r="W20" s="19">
        <v>19</v>
      </c>
      <c r="X20" s="17"/>
      <c r="Y20" s="20"/>
      <c r="Z20" s="20"/>
      <c r="AA20" s="21"/>
      <c r="AB20" s="8">
        <f t="shared" si="4"/>
        <v>0.99977949283351708</v>
      </c>
      <c r="AC20" s="9">
        <f t="shared" si="5"/>
        <v>0.20833333333333334</v>
      </c>
      <c r="AD20" s="10">
        <f t="shared" si="6"/>
        <v>0.20828739434031607</v>
      </c>
      <c r="AE20" s="39">
        <f t="shared" si="7"/>
        <v>0.49942241079191291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330100</v>
      </c>
      <c r="J21" s="22">
        <f t="shared" si="10"/>
        <v>42361</v>
      </c>
      <c r="K21" s="23">
        <f t="shared" si="10"/>
        <v>239417</v>
      </c>
      <c r="L21" s="24">
        <f t="shared" si="10"/>
        <v>38453</v>
      </c>
      <c r="M21" s="23">
        <f t="shared" si="10"/>
        <v>38453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180</v>
      </c>
      <c r="Q21" s="46">
        <f t="shared" si="11"/>
        <v>180</v>
      </c>
      <c r="R21" s="26">
        <f t="shared" si="11"/>
        <v>48</v>
      </c>
      <c r="S21" s="27">
        <f t="shared" si="11"/>
        <v>96</v>
      </c>
      <c r="T21" s="27">
        <f t="shared" si="11"/>
        <v>0</v>
      </c>
      <c r="U21" s="27">
        <f t="shared" si="11"/>
        <v>0</v>
      </c>
      <c r="V21" s="28">
        <f t="shared" si="11"/>
        <v>11</v>
      </c>
      <c r="W21" s="29">
        <f t="shared" si="11"/>
        <v>25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0.7984933089380718</v>
      </c>
      <c r="AC21" s="4">
        <f>SUM(AC6:AC20)/15</f>
        <v>0.5</v>
      </c>
      <c r="AD21" s="4">
        <f>SUM(AD6:AD20)/15</f>
        <v>0.49942241079191291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933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940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320" t="s">
        <v>47</v>
      </c>
      <c r="D50" s="320" t="s">
        <v>48</v>
      </c>
      <c r="E50" s="320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320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934</v>
      </c>
      <c r="B51" s="410"/>
      <c r="C51" s="322" t="s">
        <v>200</v>
      </c>
      <c r="D51" s="322" t="s">
        <v>122</v>
      </c>
      <c r="E51" s="325" t="s">
        <v>927</v>
      </c>
      <c r="F51" s="411" t="s">
        <v>198</v>
      </c>
      <c r="G51" s="411"/>
      <c r="H51" s="411"/>
      <c r="I51" s="411"/>
      <c r="J51" s="411"/>
      <c r="K51" s="411"/>
      <c r="L51" s="411"/>
      <c r="M51" s="412"/>
      <c r="N51" s="321" t="s">
        <v>120</v>
      </c>
      <c r="O51" s="74" t="s">
        <v>196</v>
      </c>
      <c r="P51" s="413" t="s">
        <v>864</v>
      </c>
      <c r="Q51" s="414"/>
      <c r="R51" s="410" t="s">
        <v>865</v>
      </c>
      <c r="S51" s="410"/>
      <c r="T51" s="410"/>
      <c r="U51" s="410"/>
      <c r="V51" s="411" t="s">
        <v>900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120</v>
      </c>
      <c r="B52" s="410"/>
      <c r="C52" s="322" t="s">
        <v>205</v>
      </c>
      <c r="D52" s="322" t="s">
        <v>334</v>
      </c>
      <c r="E52" s="325" t="s">
        <v>858</v>
      </c>
      <c r="F52" s="411" t="s">
        <v>935</v>
      </c>
      <c r="G52" s="411"/>
      <c r="H52" s="411"/>
      <c r="I52" s="411"/>
      <c r="J52" s="411"/>
      <c r="K52" s="411"/>
      <c r="L52" s="411"/>
      <c r="M52" s="412"/>
      <c r="N52" s="321" t="s">
        <v>119</v>
      </c>
      <c r="O52" s="74" t="s">
        <v>200</v>
      </c>
      <c r="P52" s="413" t="s">
        <v>941</v>
      </c>
      <c r="Q52" s="414"/>
      <c r="R52" s="410" t="s">
        <v>942</v>
      </c>
      <c r="S52" s="410"/>
      <c r="T52" s="410"/>
      <c r="U52" s="410"/>
      <c r="V52" s="411" t="s">
        <v>943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119</v>
      </c>
      <c r="B53" s="410"/>
      <c r="C53" s="322" t="s">
        <v>202</v>
      </c>
      <c r="D53" s="322" t="s">
        <v>123</v>
      </c>
      <c r="E53" s="325" t="s">
        <v>849</v>
      </c>
      <c r="F53" s="411" t="s">
        <v>939</v>
      </c>
      <c r="G53" s="411"/>
      <c r="H53" s="411"/>
      <c r="I53" s="411"/>
      <c r="J53" s="411"/>
      <c r="K53" s="411"/>
      <c r="L53" s="411"/>
      <c r="M53" s="412"/>
      <c r="N53" s="321" t="s">
        <v>534</v>
      </c>
      <c r="O53" s="74" t="s">
        <v>349</v>
      </c>
      <c r="P53" s="413" t="s">
        <v>944</v>
      </c>
      <c r="Q53" s="414"/>
      <c r="R53" s="410" t="s">
        <v>945</v>
      </c>
      <c r="S53" s="410"/>
      <c r="T53" s="410"/>
      <c r="U53" s="410"/>
      <c r="V53" s="411" t="s">
        <v>943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119</v>
      </c>
      <c r="B54" s="410"/>
      <c r="C54" s="322" t="s">
        <v>181</v>
      </c>
      <c r="D54" s="322" t="s">
        <v>58</v>
      </c>
      <c r="E54" s="325" t="s">
        <v>928</v>
      </c>
      <c r="F54" s="411" t="s">
        <v>936</v>
      </c>
      <c r="G54" s="411"/>
      <c r="H54" s="411"/>
      <c r="I54" s="411"/>
      <c r="J54" s="411"/>
      <c r="K54" s="411"/>
      <c r="L54" s="411"/>
      <c r="M54" s="412"/>
      <c r="N54" s="321" t="s">
        <v>120</v>
      </c>
      <c r="O54" s="74" t="s">
        <v>205</v>
      </c>
      <c r="P54" s="413" t="s">
        <v>946</v>
      </c>
      <c r="Q54" s="414"/>
      <c r="R54" s="410" t="s">
        <v>947</v>
      </c>
      <c r="S54" s="410"/>
      <c r="T54" s="410"/>
      <c r="U54" s="410"/>
      <c r="V54" s="411" t="s">
        <v>133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534</v>
      </c>
      <c r="B55" s="410"/>
      <c r="C55" s="322" t="s">
        <v>902</v>
      </c>
      <c r="D55" s="322" t="s">
        <v>886</v>
      </c>
      <c r="E55" s="325" t="s">
        <v>887</v>
      </c>
      <c r="F55" s="411" t="s">
        <v>937</v>
      </c>
      <c r="G55" s="411"/>
      <c r="H55" s="411"/>
      <c r="I55" s="411"/>
      <c r="J55" s="411"/>
      <c r="K55" s="411"/>
      <c r="L55" s="411"/>
      <c r="M55" s="412"/>
      <c r="N55" s="321" t="s">
        <v>119</v>
      </c>
      <c r="O55" s="74" t="s">
        <v>181</v>
      </c>
      <c r="P55" s="413" t="s">
        <v>948</v>
      </c>
      <c r="Q55" s="414"/>
      <c r="R55" s="410" t="s">
        <v>161</v>
      </c>
      <c r="S55" s="410"/>
      <c r="T55" s="410"/>
      <c r="U55" s="410"/>
      <c r="V55" s="411" t="s">
        <v>133</v>
      </c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454</v>
      </c>
      <c r="B56" s="410"/>
      <c r="C56" s="322" t="s">
        <v>905</v>
      </c>
      <c r="D56" s="322" t="s">
        <v>906</v>
      </c>
      <c r="E56" s="325" t="s">
        <v>233</v>
      </c>
      <c r="F56" s="411" t="s">
        <v>949</v>
      </c>
      <c r="G56" s="411"/>
      <c r="H56" s="411"/>
      <c r="I56" s="411"/>
      <c r="J56" s="411"/>
      <c r="K56" s="411"/>
      <c r="L56" s="411"/>
      <c r="M56" s="412"/>
      <c r="N56" s="321" t="s">
        <v>120</v>
      </c>
      <c r="O56" s="74" t="s">
        <v>274</v>
      </c>
      <c r="P56" s="410" t="s">
        <v>950</v>
      </c>
      <c r="Q56" s="410"/>
      <c r="R56" s="410" t="s">
        <v>951</v>
      </c>
      <c r="S56" s="410"/>
      <c r="T56" s="410"/>
      <c r="U56" s="410"/>
      <c r="V56" s="411" t="s">
        <v>133</v>
      </c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19" t="s">
        <v>929</v>
      </c>
      <c r="B57" s="420"/>
      <c r="C57" s="325" t="s">
        <v>516</v>
      </c>
      <c r="D57" s="322" t="s">
        <v>930</v>
      </c>
      <c r="E57" s="325" t="s">
        <v>931</v>
      </c>
      <c r="F57" s="411" t="s">
        <v>938</v>
      </c>
      <c r="G57" s="411"/>
      <c r="H57" s="411"/>
      <c r="I57" s="411"/>
      <c r="J57" s="411"/>
      <c r="K57" s="411"/>
      <c r="L57" s="411"/>
      <c r="M57" s="412"/>
      <c r="N57" s="321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325"/>
      <c r="D58" s="322"/>
      <c r="E58" s="325"/>
      <c r="F58" s="411"/>
      <c r="G58" s="411"/>
      <c r="H58" s="411"/>
      <c r="I58" s="411"/>
      <c r="J58" s="411"/>
      <c r="K58" s="411"/>
      <c r="L58" s="411"/>
      <c r="M58" s="412"/>
      <c r="N58" s="321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322"/>
      <c r="D59" s="322"/>
      <c r="E59" s="322"/>
      <c r="F59" s="411"/>
      <c r="G59" s="411"/>
      <c r="H59" s="411"/>
      <c r="I59" s="411"/>
      <c r="J59" s="411"/>
      <c r="K59" s="411"/>
      <c r="L59" s="411"/>
      <c r="M59" s="412"/>
      <c r="N59" s="321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324"/>
      <c r="D60" s="324"/>
      <c r="E60" s="324"/>
      <c r="F60" s="417"/>
      <c r="G60" s="417"/>
      <c r="H60" s="417"/>
      <c r="I60" s="417"/>
      <c r="J60" s="417"/>
      <c r="K60" s="417"/>
      <c r="L60" s="417"/>
      <c r="M60" s="418"/>
      <c r="N60" s="323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952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326" t="s">
        <v>2</v>
      </c>
      <c r="D62" s="326" t="s">
        <v>38</v>
      </c>
      <c r="E62" s="326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326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/>
      <c r="D63" s="329"/>
      <c r="E63" s="327"/>
      <c r="F63" s="430"/>
      <c r="G63" s="431"/>
      <c r="H63" s="431"/>
      <c r="I63" s="431"/>
      <c r="J63" s="431"/>
      <c r="K63" s="431"/>
      <c r="L63" s="431"/>
      <c r="M63" s="54"/>
      <c r="N63" s="431"/>
      <c r="O63" s="431"/>
      <c r="P63" s="432"/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/>
      <c r="D64" s="329"/>
      <c r="E64" s="327"/>
      <c r="F64" s="430"/>
      <c r="G64" s="431"/>
      <c r="H64" s="431"/>
      <c r="I64" s="431"/>
      <c r="J64" s="431"/>
      <c r="K64" s="431"/>
      <c r="L64" s="431"/>
      <c r="M64" s="54"/>
      <c r="N64" s="431"/>
      <c r="O64" s="431"/>
      <c r="P64" s="432"/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/>
      <c r="D65" s="329"/>
      <c r="E65" s="327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/>
      <c r="D66" s="329"/>
      <c r="E66" s="327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329"/>
      <c r="E67" s="327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329"/>
      <c r="E68" s="327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329"/>
      <c r="E69" s="327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329"/>
      <c r="E70" s="327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953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328" t="s">
        <v>2</v>
      </c>
      <c r="D72" s="328" t="s">
        <v>38</v>
      </c>
      <c r="E72" s="328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330" t="s">
        <v>119</v>
      </c>
      <c r="D73" s="330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329" t="s">
        <v>119</v>
      </c>
      <c r="D74" s="329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329" t="s">
        <v>534</v>
      </c>
      <c r="D75" s="329"/>
      <c r="E75" s="35" t="s">
        <v>886</v>
      </c>
      <c r="F75" s="442" t="s">
        <v>887</v>
      </c>
      <c r="G75" s="442"/>
      <c r="H75" s="442"/>
      <c r="I75" s="442"/>
      <c r="J75" s="442"/>
      <c r="K75" s="443" t="s">
        <v>923</v>
      </c>
      <c r="L75" s="444"/>
      <c r="M75" s="444"/>
      <c r="N75" s="444"/>
      <c r="O75" s="444"/>
      <c r="P75" s="444"/>
      <c r="Q75" s="444"/>
      <c r="R75" s="444"/>
      <c r="S75" s="445"/>
      <c r="T75" s="446">
        <v>42937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329" t="s">
        <v>292</v>
      </c>
      <c r="D76" s="329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329" t="s">
        <v>186</v>
      </c>
      <c r="D77" s="329"/>
      <c r="E77" s="35" t="s">
        <v>896</v>
      </c>
      <c r="F77" s="442" t="s">
        <v>865</v>
      </c>
      <c r="G77" s="442"/>
      <c r="H77" s="442"/>
      <c r="I77" s="442"/>
      <c r="J77" s="442"/>
      <c r="K77" s="443" t="s">
        <v>921</v>
      </c>
      <c r="L77" s="444"/>
      <c r="M77" s="444"/>
      <c r="N77" s="444"/>
      <c r="O77" s="444"/>
      <c r="P77" s="444"/>
      <c r="Q77" s="444"/>
      <c r="R77" s="444"/>
      <c r="S77" s="445"/>
      <c r="T77" s="446">
        <v>42937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329"/>
      <c r="D78" s="329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329"/>
      <c r="D79" s="329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329"/>
      <c r="D80" s="329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329"/>
      <c r="D81" s="329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954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176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37" zoomScale="72" zoomScaleNormal="72" zoomScaleSheetLayoutView="70" workbookViewId="0">
      <selection activeCell="A63" sqref="A63:XFD6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68" t="s">
        <v>955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6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342" t="s">
        <v>17</v>
      </c>
      <c r="L5" s="342" t="s">
        <v>18</v>
      </c>
      <c r="M5" s="342" t="s">
        <v>19</v>
      </c>
      <c r="N5" s="34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6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0.48777705181443382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833</v>
      </c>
      <c r="F7" s="12" t="s">
        <v>168</v>
      </c>
      <c r="G7" s="36">
        <v>1</v>
      </c>
      <c r="H7" s="38">
        <v>25</v>
      </c>
      <c r="I7" s="7">
        <v>12000</v>
      </c>
      <c r="J7" s="14">
        <v>4740</v>
      </c>
      <c r="K7" s="15">
        <f>L7+3325+5269+4135</f>
        <v>17464</v>
      </c>
      <c r="L7" s="15">
        <f>2352+2383</f>
        <v>4735</v>
      </c>
      <c r="M7" s="16">
        <f t="shared" si="0"/>
        <v>4735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0.99894514767932485</v>
      </c>
      <c r="AC7" s="9">
        <f t="shared" si="5"/>
        <v>1</v>
      </c>
      <c r="AD7" s="10">
        <f t="shared" si="6"/>
        <v>0.99894514767932485</v>
      </c>
      <c r="AE7" s="39">
        <f t="shared" si="7"/>
        <v>0.48777705181443382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120</v>
      </c>
      <c r="D8" s="55" t="s">
        <v>167</v>
      </c>
      <c r="E8" s="57" t="s">
        <v>880</v>
      </c>
      <c r="F8" s="12" t="s">
        <v>168</v>
      </c>
      <c r="G8" s="36">
        <v>1</v>
      </c>
      <c r="H8" s="38">
        <v>25</v>
      </c>
      <c r="I8" s="7">
        <v>6000</v>
      </c>
      <c r="J8" s="14">
        <v>5380</v>
      </c>
      <c r="K8" s="15">
        <f>L8+3182+4438</f>
        <v>12994</v>
      </c>
      <c r="L8" s="15">
        <f>2741+2633</f>
        <v>5374</v>
      </c>
      <c r="M8" s="16">
        <f t="shared" si="0"/>
        <v>5374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0.99888475836431223</v>
      </c>
      <c r="AC8" s="9">
        <f t="shared" si="5"/>
        <v>1</v>
      </c>
      <c r="AD8" s="10">
        <f t="shared" si="6"/>
        <v>0.99888475836431223</v>
      </c>
      <c r="AE8" s="39">
        <f t="shared" si="7"/>
        <v>0.48777705181443382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454</v>
      </c>
      <c r="D9" s="55" t="s">
        <v>135</v>
      </c>
      <c r="E9" s="57" t="s">
        <v>884</v>
      </c>
      <c r="F9" s="12">
        <v>7301</v>
      </c>
      <c r="G9" s="12">
        <v>1</v>
      </c>
      <c r="H9" s="13">
        <v>25</v>
      </c>
      <c r="I9" s="34">
        <v>12000</v>
      </c>
      <c r="J9" s="5">
        <v>470</v>
      </c>
      <c r="K9" s="15">
        <f>L9+464</f>
        <v>464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0.48777705181443382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247</v>
      </c>
      <c r="D10" s="55" t="s">
        <v>956</v>
      </c>
      <c r="E10" s="57" t="s">
        <v>957</v>
      </c>
      <c r="F10" s="12">
        <v>8301</v>
      </c>
      <c r="G10" s="12">
        <v>1</v>
      </c>
      <c r="H10" s="13">
        <v>25</v>
      </c>
      <c r="I10" s="34">
        <v>500</v>
      </c>
      <c r="J10" s="14">
        <v>650</v>
      </c>
      <c r="K10" s="15">
        <f>L10</f>
        <v>641</v>
      </c>
      <c r="L10" s="15">
        <v>641</v>
      </c>
      <c r="M10" s="16">
        <f t="shared" si="0"/>
        <v>641</v>
      </c>
      <c r="N10" s="16">
        <v>0</v>
      </c>
      <c r="O10" s="62">
        <f t="shared" si="1"/>
        <v>0</v>
      </c>
      <c r="P10" s="42">
        <f t="shared" si="2"/>
        <v>6</v>
      </c>
      <c r="Q10" s="43">
        <f t="shared" si="3"/>
        <v>18</v>
      </c>
      <c r="R10" s="7"/>
      <c r="S10" s="6"/>
      <c r="T10" s="17"/>
      <c r="U10" s="17"/>
      <c r="V10" s="18"/>
      <c r="W10" s="19">
        <v>18</v>
      </c>
      <c r="X10" s="17"/>
      <c r="Y10" s="20"/>
      <c r="Z10" s="20"/>
      <c r="AA10" s="21"/>
      <c r="AB10" s="8">
        <f t="shared" si="4"/>
        <v>0.98615384615384616</v>
      </c>
      <c r="AC10" s="9">
        <f t="shared" si="5"/>
        <v>0.25</v>
      </c>
      <c r="AD10" s="10">
        <f t="shared" si="6"/>
        <v>0.24653846153846154</v>
      </c>
      <c r="AE10" s="39">
        <f t="shared" si="7"/>
        <v>0.48777705181443382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119</v>
      </c>
      <c r="D11" s="55" t="s">
        <v>910</v>
      </c>
      <c r="E11" s="57" t="s">
        <v>911</v>
      </c>
      <c r="F11" s="12" t="s">
        <v>325</v>
      </c>
      <c r="G11" s="12">
        <v>1</v>
      </c>
      <c r="H11" s="13">
        <v>25</v>
      </c>
      <c r="I11" s="34">
        <v>6000</v>
      </c>
      <c r="J11" s="14">
        <v>4610</v>
      </c>
      <c r="K11" s="15">
        <f>L11+2308</f>
        <v>6913</v>
      </c>
      <c r="L11" s="15">
        <f>2387+2218</f>
        <v>4605</v>
      </c>
      <c r="M11" s="16">
        <f t="shared" si="0"/>
        <v>4605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0.99891540130151846</v>
      </c>
      <c r="AC11" s="9">
        <f t="shared" si="5"/>
        <v>1</v>
      </c>
      <c r="AD11" s="10">
        <f t="shared" si="6"/>
        <v>0.99891540130151846</v>
      </c>
      <c r="AE11" s="39">
        <f t="shared" si="7"/>
        <v>0.48777705181443382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16000</v>
      </c>
      <c r="J12" s="14">
        <v>3520</v>
      </c>
      <c r="K12" s="15">
        <f>L12+2679</f>
        <v>6192</v>
      </c>
      <c r="L12" s="15">
        <f>2324+1189</f>
        <v>3513</v>
      </c>
      <c r="M12" s="16">
        <f t="shared" si="0"/>
        <v>3513</v>
      </c>
      <c r="N12" s="16">
        <v>0</v>
      </c>
      <c r="O12" s="62">
        <f t="shared" si="1"/>
        <v>0</v>
      </c>
      <c r="P12" s="42">
        <f t="shared" si="2"/>
        <v>19</v>
      </c>
      <c r="Q12" s="43">
        <f t="shared" si="3"/>
        <v>5</v>
      </c>
      <c r="R12" s="7"/>
      <c r="S12" s="6">
        <v>5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0.99801136363636367</v>
      </c>
      <c r="AC12" s="9">
        <f t="shared" si="5"/>
        <v>0.79166666666666663</v>
      </c>
      <c r="AD12" s="10">
        <f t="shared" si="6"/>
        <v>0.7900923295454545</v>
      </c>
      <c r="AE12" s="39">
        <f t="shared" si="7"/>
        <v>0.48777705181443382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454</v>
      </c>
      <c r="D13" s="55" t="s">
        <v>886</v>
      </c>
      <c r="E13" s="57" t="s">
        <v>889</v>
      </c>
      <c r="F13" s="12" t="s">
        <v>471</v>
      </c>
      <c r="G13" s="12">
        <v>1</v>
      </c>
      <c r="H13" s="13">
        <v>35</v>
      </c>
      <c r="I13" s="7">
        <v>12000</v>
      </c>
      <c r="J13" s="14">
        <v>3170</v>
      </c>
      <c r="K13" s="15">
        <f>L13+4514+1750</f>
        <v>9429</v>
      </c>
      <c r="L13" s="15">
        <f>3165</f>
        <v>3165</v>
      </c>
      <c r="M13" s="16">
        <f t="shared" si="0"/>
        <v>3165</v>
      </c>
      <c r="N13" s="16">
        <v>0</v>
      </c>
      <c r="O13" s="62">
        <f t="shared" si="1"/>
        <v>0</v>
      </c>
      <c r="P13" s="42">
        <f t="shared" si="2"/>
        <v>16</v>
      </c>
      <c r="Q13" s="43">
        <f t="shared" si="3"/>
        <v>8</v>
      </c>
      <c r="R13" s="7"/>
      <c r="S13" s="6">
        <v>8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0.99842271293375395</v>
      </c>
      <c r="AC13" s="9">
        <f t="shared" si="5"/>
        <v>0.66666666666666663</v>
      </c>
      <c r="AD13" s="10">
        <f t="shared" si="6"/>
        <v>0.66561514195583593</v>
      </c>
      <c r="AE13" s="39">
        <f t="shared" si="7"/>
        <v>0.48777705181443382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119</v>
      </c>
      <c r="D14" s="55" t="s">
        <v>624</v>
      </c>
      <c r="E14" s="57" t="s">
        <v>928</v>
      </c>
      <c r="F14" s="33" t="s">
        <v>130</v>
      </c>
      <c r="G14" s="36">
        <v>1</v>
      </c>
      <c r="H14" s="38">
        <v>40</v>
      </c>
      <c r="I14" s="7">
        <v>300</v>
      </c>
      <c r="J14" s="5">
        <v>440</v>
      </c>
      <c r="K14" s="15">
        <f>L14+238</f>
        <v>670</v>
      </c>
      <c r="L14" s="15">
        <v>432</v>
      </c>
      <c r="M14" s="16">
        <f t="shared" si="0"/>
        <v>432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si="4"/>
        <v>0.98181818181818181</v>
      </c>
      <c r="AC14" s="9">
        <f t="shared" si="5"/>
        <v>0.25</v>
      </c>
      <c r="AD14" s="10">
        <f t="shared" si="6"/>
        <v>0.24545454545454545</v>
      </c>
      <c r="AE14" s="39">
        <f t="shared" si="7"/>
        <v>0.48777705181443382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929</v>
      </c>
      <c r="D15" s="55" t="s">
        <v>930</v>
      </c>
      <c r="E15" s="57" t="s">
        <v>931</v>
      </c>
      <c r="F15" s="12" t="s">
        <v>932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19</v>
      </c>
      <c r="R15" s="7"/>
      <c r="S15" s="6">
        <v>19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0.48777705181443382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454</v>
      </c>
      <c r="D16" s="55" t="s">
        <v>232</v>
      </c>
      <c r="E16" s="56" t="s">
        <v>233</v>
      </c>
      <c r="F16" s="12">
        <v>7301</v>
      </c>
      <c r="G16" s="36">
        <v>1</v>
      </c>
      <c r="H16" s="38">
        <v>25</v>
      </c>
      <c r="I16" s="7">
        <v>26000</v>
      </c>
      <c r="J16" s="14">
        <v>5740</v>
      </c>
      <c r="K16" s="15">
        <f>L16+3017</f>
        <v>8756</v>
      </c>
      <c r="L16" s="15">
        <f>2964+2775</f>
        <v>5739</v>
      </c>
      <c r="M16" s="16">
        <f t="shared" si="0"/>
        <v>5739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>
        <v>1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0.9998257839721254</v>
      </c>
      <c r="AC16" s="9">
        <f t="shared" si="5"/>
        <v>0.95833333333333337</v>
      </c>
      <c r="AD16" s="10">
        <f t="shared" si="6"/>
        <v>0.95816637630662016</v>
      </c>
      <c r="AE16" s="39">
        <f t="shared" si="7"/>
        <v>0.48777705181443382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0.48777705181443382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958</v>
      </c>
      <c r="D18" s="55" t="s">
        <v>959</v>
      </c>
      <c r="E18" s="57" t="s">
        <v>960</v>
      </c>
      <c r="F18" s="12" t="s">
        <v>961</v>
      </c>
      <c r="G18" s="12">
        <v>1</v>
      </c>
      <c r="H18" s="13">
        <v>25</v>
      </c>
      <c r="I18" s="34">
        <v>1000</v>
      </c>
      <c r="J18" s="5">
        <v>1290</v>
      </c>
      <c r="K18" s="15">
        <f>L18</f>
        <v>1285</v>
      </c>
      <c r="L18" s="15">
        <v>1285</v>
      </c>
      <c r="M18" s="16">
        <f t="shared" si="0"/>
        <v>1285</v>
      </c>
      <c r="N18" s="16">
        <v>0</v>
      </c>
      <c r="O18" s="62">
        <f t="shared" si="1"/>
        <v>0</v>
      </c>
      <c r="P18" s="42">
        <f t="shared" si="2"/>
        <v>10</v>
      </c>
      <c r="Q18" s="43">
        <f t="shared" si="3"/>
        <v>14</v>
      </c>
      <c r="R18" s="7"/>
      <c r="S18" s="6"/>
      <c r="T18" s="17"/>
      <c r="U18" s="17"/>
      <c r="V18" s="18"/>
      <c r="W18" s="19">
        <v>14</v>
      </c>
      <c r="X18" s="17"/>
      <c r="Y18" s="20"/>
      <c r="Z18" s="20"/>
      <c r="AA18" s="21"/>
      <c r="AB18" s="8">
        <f t="shared" si="4"/>
        <v>0.99612403100775193</v>
      </c>
      <c r="AC18" s="9">
        <f t="shared" si="5"/>
        <v>0.41666666666666669</v>
      </c>
      <c r="AD18" s="10">
        <f t="shared" si="6"/>
        <v>0.4150516795865633</v>
      </c>
      <c r="AE18" s="39">
        <f t="shared" si="7"/>
        <v>0.48777705181443382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58</v>
      </c>
      <c r="E19" s="57" t="s">
        <v>838</v>
      </c>
      <c r="F19" s="33" t="s">
        <v>252</v>
      </c>
      <c r="G19" s="36">
        <v>1</v>
      </c>
      <c r="H19" s="38">
        <v>25</v>
      </c>
      <c r="I19" s="7">
        <v>15000</v>
      </c>
      <c r="J19" s="5">
        <v>4960</v>
      </c>
      <c r="K19" s="15">
        <f>L19+2493+5013+4458</f>
        <v>16919</v>
      </c>
      <c r="L19" s="15">
        <f>2556+2399</f>
        <v>4955</v>
      </c>
      <c r="M19" s="16">
        <f t="shared" si="0"/>
        <v>4955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0.998991935483871</v>
      </c>
      <c r="AC19" s="9">
        <f t="shared" si="5"/>
        <v>1</v>
      </c>
      <c r="AD19" s="10">
        <f t="shared" si="6"/>
        <v>0.998991935483871</v>
      </c>
      <c r="AE19" s="39">
        <f t="shared" si="7"/>
        <v>0.48777705181443382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767</v>
      </c>
      <c r="F20" s="12" t="s">
        <v>118</v>
      </c>
      <c r="G20" s="12">
        <v>4</v>
      </c>
      <c r="H20" s="38">
        <v>20</v>
      </c>
      <c r="I20" s="7">
        <v>200000</v>
      </c>
      <c r="J20" s="14">
        <v>9070</v>
      </c>
      <c r="K20" s="15">
        <f>L20+40652+62320+60260+9068</f>
        <v>172300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0.48777705181443382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310600</v>
      </c>
      <c r="J21" s="22">
        <f t="shared" si="10"/>
        <v>48211</v>
      </c>
      <c r="K21" s="23">
        <f t="shared" si="10"/>
        <v>258186</v>
      </c>
      <c r="L21" s="24">
        <f t="shared" si="10"/>
        <v>34444</v>
      </c>
      <c r="M21" s="23">
        <f t="shared" si="10"/>
        <v>34444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176</v>
      </c>
      <c r="Q21" s="46">
        <f t="shared" si="11"/>
        <v>179</v>
      </c>
      <c r="R21" s="26">
        <f t="shared" si="11"/>
        <v>48</v>
      </c>
      <c r="S21" s="27">
        <f t="shared" si="11"/>
        <v>57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74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0.66373954415673664</v>
      </c>
      <c r="AC21" s="4">
        <f>SUM(AC6:AC20)/15</f>
        <v>0.48888888888888893</v>
      </c>
      <c r="AD21" s="4">
        <f>SUM(AD6:AD20)/15</f>
        <v>0.48777705181443382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962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967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341" t="s">
        <v>47</v>
      </c>
      <c r="D50" s="341" t="s">
        <v>48</v>
      </c>
      <c r="E50" s="341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341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120</v>
      </c>
      <c r="B51" s="410"/>
      <c r="C51" s="337" t="s">
        <v>205</v>
      </c>
      <c r="D51" s="337" t="s">
        <v>334</v>
      </c>
      <c r="E51" s="340" t="s">
        <v>858</v>
      </c>
      <c r="F51" s="411" t="s">
        <v>963</v>
      </c>
      <c r="G51" s="411"/>
      <c r="H51" s="411"/>
      <c r="I51" s="411"/>
      <c r="J51" s="411"/>
      <c r="K51" s="411"/>
      <c r="L51" s="411"/>
      <c r="M51" s="412"/>
      <c r="N51" s="336" t="s">
        <v>120</v>
      </c>
      <c r="O51" s="74" t="s">
        <v>196</v>
      </c>
      <c r="P51" s="413" t="s">
        <v>656</v>
      </c>
      <c r="Q51" s="414"/>
      <c r="R51" s="410" t="s">
        <v>865</v>
      </c>
      <c r="S51" s="410"/>
      <c r="T51" s="410"/>
      <c r="U51" s="410"/>
      <c r="V51" s="411" t="s">
        <v>968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119</v>
      </c>
      <c r="B52" s="410"/>
      <c r="C52" s="337" t="s">
        <v>202</v>
      </c>
      <c r="D52" s="337" t="s">
        <v>123</v>
      </c>
      <c r="E52" s="340" t="s">
        <v>646</v>
      </c>
      <c r="F52" s="411" t="s">
        <v>964</v>
      </c>
      <c r="G52" s="411"/>
      <c r="H52" s="411"/>
      <c r="I52" s="411"/>
      <c r="J52" s="411"/>
      <c r="K52" s="411"/>
      <c r="L52" s="411"/>
      <c r="M52" s="412"/>
      <c r="N52" s="336" t="s">
        <v>120</v>
      </c>
      <c r="O52" s="74" t="s">
        <v>274</v>
      </c>
      <c r="P52" s="410" t="s">
        <v>738</v>
      </c>
      <c r="Q52" s="410"/>
      <c r="R52" s="410" t="s">
        <v>951</v>
      </c>
      <c r="S52" s="410"/>
      <c r="T52" s="410"/>
      <c r="U52" s="410"/>
      <c r="V52" s="411" t="s">
        <v>970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119</v>
      </c>
      <c r="B53" s="410"/>
      <c r="C53" s="337" t="s">
        <v>181</v>
      </c>
      <c r="D53" s="337" t="s">
        <v>58</v>
      </c>
      <c r="E53" s="340" t="s">
        <v>928</v>
      </c>
      <c r="F53" s="411" t="s">
        <v>963</v>
      </c>
      <c r="G53" s="411"/>
      <c r="H53" s="411"/>
      <c r="I53" s="411"/>
      <c r="J53" s="411"/>
      <c r="K53" s="411"/>
      <c r="L53" s="411"/>
      <c r="M53" s="412"/>
      <c r="N53" s="336" t="s">
        <v>191</v>
      </c>
      <c r="O53" s="74" t="s">
        <v>971</v>
      </c>
      <c r="P53" s="413" t="s">
        <v>216</v>
      </c>
      <c r="Q53" s="414"/>
      <c r="R53" s="410" t="s">
        <v>972</v>
      </c>
      <c r="S53" s="410"/>
      <c r="T53" s="410"/>
      <c r="U53" s="410"/>
      <c r="V53" s="411" t="s">
        <v>973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534</v>
      </c>
      <c r="B54" s="410"/>
      <c r="C54" s="337" t="s">
        <v>965</v>
      </c>
      <c r="D54" s="337" t="s">
        <v>959</v>
      </c>
      <c r="E54" s="340" t="s">
        <v>960</v>
      </c>
      <c r="F54" s="411" t="s">
        <v>966</v>
      </c>
      <c r="G54" s="411"/>
      <c r="H54" s="411"/>
      <c r="I54" s="411"/>
      <c r="J54" s="411"/>
      <c r="K54" s="411"/>
      <c r="L54" s="411"/>
      <c r="M54" s="412"/>
      <c r="N54" s="336" t="s">
        <v>247</v>
      </c>
      <c r="O54" s="74" t="s">
        <v>212</v>
      </c>
      <c r="P54" s="413" t="s">
        <v>974</v>
      </c>
      <c r="Q54" s="414"/>
      <c r="R54" s="410" t="s">
        <v>975</v>
      </c>
      <c r="S54" s="410"/>
      <c r="T54" s="410"/>
      <c r="U54" s="410"/>
      <c r="V54" s="411" t="s">
        <v>970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454</v>
      </c>
      <c r="B55" s="410"/>
      <c r="C55" s="337" t="s">
        <v>905</v>
      </c>
      <c r="D55" s="337" t="s">
        <v>906</v>
      </c>
      <c r="E55" s="340" t="s">
        <v>233</v>
      </c>
      <c r="F55" s="411" t="s">
        <v>963</v>
      </c>
      <c r="G55" s="411"/>
      <c r="H55" s="411"/>
      <c r="I55" s="411"/>
      <c r="J55" s="411"/>
      <c r="K55" s="411"/>
      <c r="L55" s="411"/>
      <c r="M55" s="412"/>
      <c r="N55" s="336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247</v>
      </c>
      <c r="B56" s="410"/>
      <c r="C56" s="337" t="s">
        <v>263</v>
      </c>
      <c r="D56" s="337" t="s">
        <v>969</v>
      </c>
      <c r="E56" s="340" t="s">
        <v>957</v>
      </c>
      <c r="F56" s="411" t="s">
        <v>966</v>
      </c>
      <c r="G56" s="411"/>
      <c r="H56" s="411"/>
      <c r="I56" s="411"/>
      <c r="J56" s="411"/>
      <c r="K56" s="411"/>
      <c r="L56" s="411"/>
      <c r="M56" s="412"/>
      <c r="N56" s="336"/>
      <c r="O56" s="74"/>
      <c r="P56" s="410"/>
      <c r="Q56" s="410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19"/>
      <c r="B57" s="420"/>
      <c r="C57" s="340"/>
      <c r="D57" s="337"/>
      <c r="E57" s="340"/>
      <c r="F57" s="411"/>
      <c r="G57" s="411"/>
      <c r="H57" s="411"/>
      <c r="I57" s="411"/>
      <c r="J57" s="411"/>
      <c r="K57" s="411"/>
      <c r="L57" s="411"/>
      <c r="M57" s="412"/>
      <c r="N57" s="336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340"/>
      <c r="D58" s="337"/>
      <c r="E58" s="340"/>
      <c r="F58" s="411"/>
      <c r="G58" s="411"/>
      <c r="H58" s="411"/>
      <c r="I58" s="411"/>
      <c r="J58" s="411"/>
      <c r="K58" s="411"/>
      <c r="L58" s="411"/>
      <c r="M58" s="412"/>
      <c r="N58" s="336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337"/>
      <c r="D59" s="337"/>
      <c r="E59" s="337"/>
      <c r="F59" s="411"/>
      <c r="G59" s="411"/>
      <c r="H59" s="411"/>
      <c r="I59" s="411"/>
      <c r="J59" s="411"/>
      <c r="K59" s="411"/>
      <c r="L59" s="411"/>
      <c r="M59" s="412"/>
      <c r="N59" s="336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339"/>
      <c r="D60" s="339"/>
      <c r="E60" s="339"/>
      <c r="F60" s="417"/>
      <c r="G60" s="417"/>
      <c r="H60" s="417"/>
      <c r="I60" s="417"/>
      <c r="J60" s="417"/>
      <c r="K60" s="417"/>
      <c r="L60" s="417"/>
      <c r="M60" s="418"/>
      <c r="N60" s="338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976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335" t="s">
        <v>2</v>
      </c>
      <c r="D62" s="335" t="s">
        <v>38</v>
      </c>
      <c r="E62" s="335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335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977</v>
      </c>
      <c r="D63" s="331"/>
      <c r="E63" s="333" t="s">
        <v>978</v>
      </c>
      <c r="F63" s="430" t="s">
        <v>979</v>
      </c>
      <c r="G63" s="431"/>
      <c r="H63" s="431"/>
      <c r="I63" s="431"/>
      <c r="J63" s="431"/>
      <c r="K63" s="431" t="s">
        <v>980</v>
      </c>
      <c r="L63" s="431"/>
      <c r="M63" s="54" t="s">
        <v>981</v>
      </c>
      <c r="N63" s="431">
        <v>13</v>
      </c>
      <c r="O63" s="431"/>
      <c r="P63" s="432">
        <v>200</v>
      </c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 t="s">
        <v>982</v>
      </c>
      <c r="D64" s="331"/>
      <c r="E64" s="333" t="s">
        <v>983</v>
      </c>
      <c r="F64" s="430" t="s">
        <v>984</v>
      </c>
      <c r="G64" s="431"/>
      <c r="H64" s="431"/>
      <c r="I64" s="431"/>
      <c r="J64" s="431"/>
      <c r="K64" s="431" t="s">
        <v>985</v>
      </c>
      <c r="L64" s="431"/>
      <c r="M64" s="54" t="s">
        <v>981</v>
      </c>
      <c r="N64" s="431">
        <v>4</v>
      </c>
      <c r="O64" s="431"/>
      <c r="P64" s="432">
        <v>200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 t="s">
        <v>191</v>
      </c>
      <c r="D65" s="331"/>
      <c r="E65" s="333" t="s">
        <v>986</v>
      </c>
      <c r="F65" s="430" t="s">
        <v>987</v>
      </c>
      <c r="G65" s="431"/>
      <c r="H65" s="431"/>
      <c r="I65" s="431"/>
      <c r="J65" s="431"/>
      <c r="K65" s="431" t="s">
        <v>988</v>
      </c>
      <c r="L65" s="431"/>
      <c r="M65" s="54" t="s">
        <v>989</v>
      </c>
      <c r="N65" s="431">
        <v>4</v>
      </c>
      <c r="O65" s="431"/>
      <c r="P65" s="432">
        <v>200</v>
      </c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 t="s">
        <v>990</v>
      </c>
      <c r="D66" s="331"/>
      <c r="E66" s="333" t="s">
        <v>991</v>
      </c>
      <c r="F66" s="430" t="s">
        <v>992</v>
      </c>
      <c r="G66" s="431"/>
      <c r="H66" s="431"/>
      <c r="I66" s="431"/>
      <c r="J66" s="431"/>
      <c r="K66" s="431" t="s">
        <v>993</v>
      </c>
      <c r="L66" s="431"/>
      <c r="M66" s="54" t="s">
        <v>981</v>
      </c>
      <c r="N66" s="431">
        <v>5</v>
      </c>
      <c r="O66" s="431"/>
      <c r="P66" s="432">
        <v>100</v>
      </c>
      <c r="Q66" s="432"/>
      <c r="R66" s="411" t="s">
        <v>994</v>
      </c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331"/>
      <c r="E67" s="333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331"/>
      <c r="E68" s="333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331"/>
      <c r="E69" s="333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331"/>
      <c r="E70" s="333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995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334" t="s">
        <v>2</v>
      </c>
      <c r="D72" s="334" t="s">
        <v>38</v>
      </c>
      <c r="E72" s="334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332" t="s">
        <v>119</v>
      </c>
      <c r="D73" s="332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331" t="s">
        <v>119</v>
      </c>
      <c r="D74" s="331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331" t="s">
        <v>534</v>
      </c>
      <c r="D75" s="331"/>
      <c r="E75" s="35" t="s">
        <v>886</v>
      </c>
      <c r="F75" s="442" t="s">
        <v>887</v>
      </c>
      <c r="G75" s="442"/>
      <c r="H75" s="442"/>
      <c r="I75" s="442"/>
      <c r="J75" s="442"/>
      <c r="K75" s="443" t="s">
        <v>923</v>
      </c>
      <c r="L75" s="444"/>
      <c r="M75" s="444"/>
      <c r="N75" s="444"/>
      <c r="O75" s="444"/>
      <c r="P75" s="444"/>
      <c r="Q75" s="444"/>
      <c r="R75" s="444"/>
      <c r="S75" s="445"/>
      <c r="T75" s="446">
        <v>42937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331" t="s">
        <v>292</v>
      </c>
      <c r="D76" s="331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331"/>
      <c r="D77" s="331"/>
      <c r="E77" s="35"/>
      <c r="F77" s="442"/>
      <c r="G77" s="442"/>
      <c r="H77" s="442"/>
      <c r="I77" s="442"/>
      <c r="J77" s="442"/>
      <c r="K77" s="443"/>
      <c r="L77" s="444"/>
      <c r="M77" s="444"/>
      <c r="N77" s="444"/>
      <c r="O77" s="444"/>
      <c r="P77" s="444"/>
      <c r="Q77" s="444"/>
      <c r="R77" s="444"/>
      <c r="S77" s="445"/>
      <c r="T77" s="446"/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331"/>
      <c r="D78" s="331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331"/>
      <c r="D79" s="331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331"/>
      <c r="D80" s="331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331"/>
      <c r="D81" s="331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996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176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X12" sqref="X1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68" t="s">
        <v>997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6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343" t="s">
        <v>17</v>
      </c>
      <c r="L5" s="343" t="s">
        <v>18</v>
      </c>
      <c r="M5" s="343" t="s">
        <v>19</v>
      </c>
      <c r="N5" s="34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6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0.40802517781345921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833</v>
      </c>
      <c r="F7" s="12" t="s">
        <v>168</v>
      </c>
      <c r="G7" s="36">
        <v>1</v>
      </c>
      <c r="H7" s="38">
        <v>25</v>
      </c>
      <c r="I7" s="7">
        <v>12000</v>
      </c>
      <c r="J7" s="14">
        <v>4740</v>
      </c>
      <c r="K7" s="15">
        <f>L7+3325+5269+4135+4735</f>
        <v>17464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0.40802517781345921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120</v>
      </c>
      <c r="D8" s="55" t="s">
        <v>167</v>
      </c>
      <c r="E8" s="57" t="s">
        <v>880</v>
      </c>
      <c r="F8" s="12" t="s">
        <v>168</v>
      </c>
      <c r="G8" s="36">
        <v>1</v>
      </c>
      <c r="H8" s="38">
        <v>25</v>
      </c>
      <c r="I8" s="7">
        <v>6000</v>
      </c>
      <c r="J8" s="14">
        <v>5210</v>
      </c>
      <c r="K8" s="15">
        <f>L8+3182+4438+5374</f>
        <v>18204</v>
      </c>
      <c r="L8" s="15">
        <f>2413+2797</f>
        <v>5210</v>
      </c>
      <c r="M8" s="16">
        <f t="shared" si="0"/>
        <v>5210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0.40802517781345921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186</v>
      </c>
      <c r="D9" s="55" t="s">
        <v>135</v>
      </c>
      <c r="E9" s="57" t="s">
        <v>998</v>
      </c>
      <c r="F9" s="12" t="s">
        <v>999</v>
      </c>
      <c r="G9" s="12">
        <v>1</v>
      </c>
      <c r="H9" s="13">
        <v>25</v>
      </c>
      <c r="I9" s="34">
        <v>12000</v>
      </c>
      <c r="J9" s="5">
        <v>820</v>
      </c>
      <c r="K9" s="15">
        <f>L9+464</f>
        <v>1284</v>
      </c>
      <c r="L9" s="15">
        <v>820</v>
      </c>
      <c r="M9" s="16">
        <f t="shared" si="0"/>
        <v>820</v>
      </c>
      <c r="N9" s="16">
        <v>0</v>
      </c>
      <c r="O9" s="62">
        <f t="shared" si="1"/>
        <v>0</v>
      </c>
      <c r="P9" s="42">
        <f t="shared" si="2"/>
        <v>5</v>
      </c>
      <c r="Q9" s="43">
        <f t="shared" si="3"/>
        <v>19</v>
      </c>
      <c r="R9" s="7"/>
      <c r="S9" s="6">
        <v>19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0.20833333333333334</v>
      </c>
      <c r="AD9" s="10">
        <f t="shared" si="6"/>
        <v>0.20833333333333334</v>
      </c>
      <c r="AE9" s="39">
        <f t="shared" si="7"/>
        <v>0.40802517781345921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247</v>
      </c>
      <c r="D10" s="55" t="s">
        <v>129</v>
      </c>
      <c r="E10" s="57" t="s">
        <v>957</v>
      </c>
      <c r="F10" s="12">
        <v>8301</v>
      </c>
      <c r="G10" s="12">
        <v>1</v>
      </c>
      <c r="H10" s="13">
        <v>25</v>
      </c>
      <c r="I10" s="34">
        <v>500</v>
      </c>
      <c r="J10" s="14">
        <v>650</v>
      </c>
      <c r="K10" s="15">
        <f>L10+641</f>
        <v>641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0.40802517781345921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119</v>
      </c>
      <c r="D11" s="55" t="s">
        <v>122</v>
      </c>
      <c r="E11" s="57" t="s">
        <v>911</v>
      </c>
      <c r="F11" s="12" t="s">
        <v>325</v>
      </c>
      <c r="G11" s="12">
        <v>1</v>
      </c>
      <c r="H11" s="13">
        <v>25</v>
      </c>
      <c r="I11" s="34">
        <v>6000</v>
      </c>
      <c r="J11" s="14">
        <v>4730</v>
      </c>
      <c r="K11" s="15">
        <f>L11+2308+4605</f>
        <v>11637</v>
      </c>
      <c r="L11" s="15">
        <f>2275+2449</f>
        <v>4724</v>
      </c>
      <c r="M11" s="16">
        <f t="shared" si="0"/>
        <v>4724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0.99873150105708242</v>
      </c>
      <c r="AC11" s="9">
        <f t="shared" si="5"/>
        <v>1</v>
      </c>
      <c r="AD11" s="10">
        <f t="shared" si="6"/>
        <v>0.99873150105708242</v>
      </c>
      <c r="AE11" s="39">
        <f t="shared" si="7"/>
        <v>0.40802517781345921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16000</v>
      </c>
      <c r="J12" s="14">
        <v>4060</v>
      </c>
      <c r="K12" s="15">
        <f>L12+2679+3513</f>
        <v>10251</v>
      </c>
      <c r="L12" s="15">
        <f>2116+1943</f>
        <v>4059</v>
      </c>
      <c r="M12" s="16">
        <f t="shared" si="0"/>
        <v>4059</v>
      </c>
      <c r="N12" s="16">
        <v>0</v>
      </c>
      <c r="O12" s="62">
        <f t="shared" si="1"/>
        <v>0</v>
      </c>
      <c r="P12" s="42">
        <f t="shared" si="2"/>
        <v>22</v>
      </c>
      <c r="Q12" s="43">
        <f t="shared" si="3"/>
        <v>2</v>
      </c>
      <c r="R12" s="7"/>
      <c r="S12" s="6">
        <v>2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0.99975369458128083</v>
      </c>
      <c r="AC12" s="9">
        <f t="shared" si="5"/>
        <v>0.91666666666666663</v>
      </c>
      <c r="AD12" s="10">
        <f t="shared" si="6"/>
        <v>0.91644088669950741</v>
      </c>
      <c r="AE12" s="39">
        <f t="shared" si="7"/>
        <v>0.40802517781345921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186</v>
      </c>
      <c r="D13" s="55" t="s">
        <v>886</v>
      </c>
      <c r="E13" s="57" t="s">
        <v>889</v>
      </c>
      <c r="F13" s="12" t="s">
        <v>471</v>
      </c>
      <c r="G13" s="12">
        <v>1</v>
      </c>
      <c r="H13" s="13">
        <v>35</v>
      </c>
      <c r="I13" s="7">
        <v>12000</v>
      </c>
      <c r="J13" s="14">
        <v>5810</v>
      </c>
      <c r="K13" s="15">
        <f>L13+4514+1750+3165</f>
        <v>15239</v>
      </c>
      <c r="L13" s="15">
        <f>2756+3054</f>
        <v>5810</v>
      </c>
      <c r="M13" s="16">
        <f t="shared" si="0"/>
        <v>5810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0.40802517781345921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119</v>
      </c>
      <c r="D14" s="55" t="s">
        <v>624</v>
      </c>
      <c r="E14" s="57" t="s">
        <v>811</v>
      </c>
      <c r="F14" s="33" t="s">
        <v>130</v>
      </c>
      <c r="G14" s="36">
        <v>1</v>
      </c>
      <c r="H14" s="38">
        <v>40</v>
      </c>
      <c r="I14" s="7">
        <v>300</v>
      </c>
      <c r="J14" s="5">
        <v>440</v>
      </c>
      <c r="K14" s="15">
        <f>L14+238+432</f>
        <v>670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0.40802517781345921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460</v>
      </c>
      <c r="D15" s="55" t="s">
        <v>930</v>
      </c>
      <c r="E15" s="57" t="s">
        <v>931</v>
      </c>
      <c r="F15" s="12" t="s">
        <v>932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0.40802517781345921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186</v>
      </c>
      <c r="D16" s="55" t="s">
        <v>134</v>
      </c>
      <c r="E16" s="56" t="s">
        <v>233</v>
      </c>
      <c r="F16" s="12">
        <v>7301</v>
      </c>
      <c r="G16" s="36">
        <v>1</v>
      </c>
      <c r="H16" s="38">
        <v>25</v>
      </c>
      <c r="I16" s="7">
        <v>26000</v>
      </c>
      <c r="J16" s="14">
        <v>5740</v>
      </c>
      <c r="K16" s="15">
        <f>L16+3017+5739</f>
        <v>8756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>
        <v>24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0.40802517781345921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119</v>
      </c>
      <c r="D17" s="55" t="s">
        <v>153</v>
      </c>
      <c r="E17" s="56" t="s">
        <v>157</v>
      </c>
      <c r="F17" s="12">
        <v>8301</v>
      </c>
      <c r="G17" s="12">
        <v>1</v>
      </c>
      <c r="H17" s="13">
        <v>25</v>
      </c>
      <c r="I17" s="34">
        <v>800</v>
      </c>
      <c r="J17" s="5">
        <v>1441</v>
      </c>
      <c r="K17" s="15">
        <f>L17+1441</f>
        <v>1441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>
        <v>24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0.40802517781345921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122</v>
      </c>
      <c r="E18" s="57" t="s">
        <v>137</v>
      </c>
      <c r="F18" s="12" t="s">
        <v>471</v>
      </c>
      <c r="G18" s="12">
        <v>1</v>
      </c>
      <c r="H18" s="13">
        <v>25</v>
      </c>
      <c r="I18" s="34">
        <v>20000</v>
      </c>
      <c r="J18" s="5">
        <v>4940</v>
      </c>
      <c r="K18" s="15">
        <f>L18+3568+5723+4710</f>
        <v>18933</v>
      </c>
      <c r="L18" s="15">
        <f>2015+2917</f>
        <v>4932</v>
      </c>
      <c r="M18" s="16">
        <f t="shared" si="0"/>
        <v>4932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0.99838056680161946</v>
      </c>
      <c r="AC18" s="9">
        <f t="shared" si="5"/>
        <v>1</v>
      </c>
      <c r="AD18" s="10">
        <f t="shared" si="6"/>
        <v>0.99838056680161946</v>
      </c>
      <c r="AE18" s="39">
        <f t="shared" si="7"/>
        <v>0.40802517781345921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58</v>
      </c>
      <c r="E19" s="57" t="s">
        <v>1000</v>
      </c>
      <c r="F19" s="33" t="s">
        <v>252</v>
      </c>
      <c r="G19" s="36">
        <v>1</v>
      </c>
      <c r="H19" s="38">
        <v>25</v>
      </c>
      <c r="I19" s="7">
        <v>31000</v>
      </c>
      <c r="J19" s="5">
        <v>4640</v>
      </c>
      <c r="K19" s="15">
        <f>L19</f>
        <v>4633</v>
      </c>
      <c r="L19" s="15">
        <f>1947+2686</f>
        <v>4633</v>
      </c>
      <c r="M19" s="16">
        <f t="shared" si="0"/>
        <v>4633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0.99849137931034482</v>
      </c>
      <c r="AC19" s="9">
        <f t="shared" si="5"/>
        <v>1</v>
      </c>
      <c r="AD19" s="10">
        <f t="shared" si="6"/>
        <v>0.99849137931034482</v>
      </c>
      <c r="AE19" s="39">
        <f t="shared" si="7"/>
        <v>0.40802517781345921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767</v>
      </c>
      <c r="F20" s="12" t="s">
        <v>118</v>
      </c>
      <c r="G20" s="12">
        <v>4</v>
      </c>
      <c r="H20" s="38">
        <v>20</v>
      </c>
      <c r="I20" s="7">
        <v>200000</v>
      </c>
      <c r="J20" s="14">
        <v>9070</v>
      </c>
      <c r="K20" s="15">
        <f>L20+40652+62320+60260+9068</f>
        <v>172300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0.40802517781345921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345600</v>
      </c>
      <c r="J21" s="22">
        <f t="shared" si="10"/>
        <v>55021</v>
      </c>
      <c r="K21" s="23">
        <f t="shared" si="10"/>
        <v>284171</v>
      </c>
      <c r="L21" s="24">
        <f t="shared" si="10"/>
        <v>30188</v>
      </c>
      <c r="M21" s="23">
        <f t="shared" si="10"/>
        <v>30188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147</v>
      </c>
      <c r="Q21" s="46">
        <f t="shared" si="11"/>
        <v>213</v>
      </c>
      <c r="R21" s="26">
        <f t="shared" si="11"/>
        <v>48</v>
      </c>
      <c r="S21" s="27">
        <f t="shared" si="11"/>
        <v>69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96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0.46635714278335516</v>
      </c>
      <c r="AC21" s="4">
        <f>SUM(AC6:AC20)/15</f>
        <v>0.40833333333333333</v>
      </c>
      <c r="AD21" s="4">
        <f>SUM(AD6:AD20)/15</f>
        <v>0.40802517781345921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1001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1014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344" t="s">
        <v>47</v>
      </c>
      <c r="D50" s="344" t="s">
        <v>48</v>
      </c>
      <c r="E50" s="344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344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120</v>
      </c>
      <c r="B51" s="410"/>
      <c r="C51" s="346" t="s">
        <v>260</v>
      </c>
      <c r="D51" s="346" t="s">
        <v>1002</v>
      </c>
      <c r="E51" s="349" t="s">
        <v>1003</v>
      </c>
      <c r="F51" s="411" t="s">
        <v>1004</v>
      </c>
      <c r="G51" s="411"/>
      <c r="H51" s="411"/>
      <c r="I51" s="411"/>
      <c r="J51" s="411"/>
      <c r="K51" s="411"/>
      <c r="L51" s="411"/>
      <c r="M51" s="412"/>
      <c r="N51" s="345" t="s">
        <v>120</v>
      </c>
      <c r="O51" s="74" t="s">
        <v>196</v>
      </c>
      <c r="P51" s="413" t="s">
        <v>135</v>
      </c>
      <c r="Q51" s="414"/>
      <c r="R51" s="410" t="s">
        <v>1015</v>
      </c>
      <c r="S51" s="410"/>
      <c r="T51" s="410"/>
      <c r="U51" s="410"/>
      <c r="V51" s="411" t="s">
        <v>968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119</v>
      </c>
      <c r="B52" s="410"/>
      <c r="C52" s="346" t="s">
        <v>202</v>
      </c>
      <c r="D52" s="346" t="s">
        <v>123</v>
      </c>
      <c r="E52" s="349" t="s">
        <v>204</v>
      </c>
      <c r="F52" s="411" t="s">
        <v>1005</v>
      </c>
      <c r="G52" s="411"/>
      <c r="H52" s="411"/>
      <c r="I52" s="411"/>
      <c r="J52" s="411"/>
      <c r="K52" s="411"/>
      <c r="L52" s="411"/>
      <c r="M52" s="412"/>
      <c r="N52" s="345" t="s">
        <v>120</v>
      </c>
      <c r="O52" s="74" t="s">
        <v>209</v>
      </c>
      <c r="P52" s="410" t="s">
        <v>134</v>
      </c>
      <c r="Q52" s="410"/>
      <c r="R52" s="410" t="s">
        <v>766</v>
      </c>
      <c r="S52" s="410"/>
      <c r="T52" s="410"/>
      <c r="U52" s="410"/>
      <c r="V52" s="411" t="s">
        <v>1005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132</v>
      </c>
      <c r="B53" s="410"/>
      <c r="C53" s="346" t="s">
        <v>1006</v>
      </c>
      <c r="D53" s="346" t="s">
        <v>1007</v>
      </c>
      <c r="E53" s="349" t="s">
        <v>1008</v>
      </c>
      <c r="F53" s="411" t="s">
        <v>1009</v>
      </c>
      <c r="G53" s="411"/>
      <c r="H53" s="411"/>
      <c r="I53" s="411"/>
      <c r="J53" s="411"/>
      <c r="K53" s="411"/>
      <c r="L53" s="411"/>
      <c r="M53" s="412"/>
      <c r="N53" s="345" t="s">
        <v>1018</v>
      </c>
      <c r="O53" s="74" t="s">
        <v>263</v>
      </c>
      <c r="P53" s="413" t="s">
        <v>1019</v>
      </c>
      <c r="Q53" s="414"/>
      <c r="R53" s="410" t="s">
        <v>1017</v>
      </c>
      <c r="S53" s="410"/>
      <c r="T53" s="410"/>
      <c r="U53" s="410"/>
      <c r="V53" s="411" t="s">
        <v>1016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119</v>
      </c>
      <c r="B54" s="410"/>
      <c r="C54" s="346" t="s">
        <v>1010</v>
      </c>
      <c r="D54" s="346" t="s">
        <v>1011</v>
      </c>
      <c r="E54" s="349" t="s">
        <v>1012</v>
      </c>
      <c r="F54" s="411" t="s">
        <v>1013</v>
      </c>
      <c r="G54" s="411"/>
      <c r="H54" s="411"/>
      <c r="I54" s="411"/>
      <c r="J54" s="411"/>
      <c r="K54" s="411"/>
      <c r="L54" s="411"/>
      <c r="M54" s="412"/>
      <c r="N54" s="345" t="s">
        <v>132</v>
      </c>
      <c r="O54" s="74" t="s">
        <v>205</v>
      </c>
      <c r="P54" s="413" t="s">
        <v>1021</v>
      </c>
      <c r="Q54" s="414"/>
      <c r="R54" s="410" t="s">
        <v>1020</v>
      </c>
      <c r="S54" s="410"/>
      <c r="T54" s="410"/>
      <c r="U54" s="410"/>
      <c r="V54" s="411" t="s">
        <v>1016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132</v>
      </c>
      <c r="B55" s="410"/>
      <c r="C55" s="346" t="s">
        <v>425</v>
      </c>
      <c r="D55" s="346" t="s">
        <v>58</v>
      </c>
      <c r="E55" s="349" t="s">
        <v>1000</v>
      </c>
      <c r="F55" s="411" t="s">
        <v>1016</v>
      </c>
      <c r="G55" s="411"/>
      <c r="H55" s="411"/>
      <c r="I55" s="411"/>
      <c r="J55" s="411"/>
      <c r="K55" s="411"/>
      <c r="L55" s="411"/>
      <c r="M55" s="412"/>
      <c r="N55" s="345" t="s">
        <v>629</v>
      </c>
      <c r="O55" s="74" t="s">
        <v>1023</v>
      </c>
      <c r="P55" s="413" t="s">
        <v>1024</v>
      </c>
      <c r="Q55" s="414"/>
      <c r="R55" s="410" t="s">
        <v>1022</v>
      </c>
      <c r="S55" s="410"/>
      <c r="T55" s="410"/>
      <c r="U55" s="410"/>
      <c r="V55" s="411" t="s">
        <v>1016</v>
      </c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/>
      <c r="B56" s="410"/>
      <c r="C56" s="346"/>
      <c r="D56" s="346"/>
      <c r="E56" s="349"/>
      <c r="F56" s="411"/>
      <c r="G56" s="411"/>
      <c r="H56" s="411"/>
      <c r="I56" s="411"/>
      <c r="J56" s="411"/>
      <c r="K56" s="411"/>
      <c r="L56" s="411"/>
      <c r="M56" s="412"/>
      <c r="N56" s="345"/>
      <c r="O56" s="74"/>
      <c r="P56" s="410"/>
      <c r="Q56" s="410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19"/>
      <c r="B57" s="420"/>
      <c r="C57" s="349"/>
      <c r="D57" s="346"/>
      <c r="E57" s="349"/>
      <c r="F57" s="411"/>
      <c r="G57" s="411"/>
      <c r="H57" s="411"/>
      <c r="I57" s="411"/>
      <c r="J57" s="411"/>
      <c r="K57" s="411"/>
      <c r="L57" s="411"/>
      <c r="M57" s="412"/>
      <c r="N57" s="345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349"/>
      <c r="D58" s="346"/>
      <c r="E58" s="349"/>
      <c r="F58" s="411"/>
      <c r="G58" s="411"/>
      <c r="H58" s="411"/>
      <c r="I58" s="411"/>
      <c r="J58" s="411"/>
      <c r="K58" s="411"/>
      <c r="L58" s="411"/>
      <c r="M58" s="412"/>
      <c r="N58" s="345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346"/>
      <c r="D59" s="346"/>
      <c r="E59" s="346"/>
      <c r="F59" s="411"/>
      <c r="G59" s="411"/>
      <c r="H59" s="411"/>
      <c r="I59" s="411"/>
      <c r="J59" s="411"/>
      <c r="K59" s="411"/>
      <c r="L59" s="411"/>
      <c r="M59" s="412"/>
      <c r="N59" s="345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348"/>
      <c r="D60" s="348"/>
      <c r="E60" s="348"/>
      <c r="F60" s="417"/>
      <c r="G60" s="417"/>
      <c r="H60" s="417"/>
      <c r="I60" s="417"/>
      <c r="J60" s="417"/>
      <c r="K60" s="417"/>
      <c r="L60" s="417"/>
      <c r="M60" s="418"/>
      <c r="N60" s="347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1025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350" t="s">
        <v>2</v>
      </c>
      <c r="D62" s="350" t="s">
        <v>38</v>
      </c>
      <c r="E62" s="350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350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132</v>
      </c>
      <c r="D63" s="353"/>
      <c r="E63" s="351" t="s">
        <v>1026</v>
      </c>
      <c r="F63" s="430" t="s">
        <v>1027</v>
      </c>
      <c r="G63" s="431"/>
      <c r="H63" s="431"/>
      <c r="I63" s="431"/>
      <c r="J63" s="431"/>
      <c r="K63" s="431" t="s">
        <v>1028</v>
      </c>
      <c r="L63" s="431"/>
      <c r="M63" s="54" t="s">
        <v>1029</v>
      </c>
      <c r="N63" s="431">
        <v>5</v>
      </c>
      <c r="O63" s="431"/>
      <c r="P63" s="432">
        <v>50</v>
      </c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 t="s">
        <v>132</v>
      </c>
      <c r="D64" s="353"/>
      <c r="E64" s="351" t="s">
        <v>1026</v>
      </c>
      <c r="F64" s="430" t="s">
        <v>1030</v>
      </c>
      <c r="G64" s="431"/>
      <c r="H64" s="431"/>
      <c r="I64" s="431"/>
      <c r="J64" s="431"/>
      <c r="K64" s="431" t="s">
        <v>1028</v>
      </c>
      <c r="L64" s="431"/>
      <c r="M64" s="54" t="s">
        <v>1029</v>
      </c>
      <c r="N64" s="431">
        <v>12</v>
      </c>
      <c r="O64" s="431"/>
      <c r="P64" s="432">
        <v>50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/>
      <c r="D65" s="353"/>
      <c r="E65" s="351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/>
      <c r="D66" s="353"/>
      <c r="E66" s="351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353"/>
      <c r="E67" s="351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353"/>
      <c r="E68" s="351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353"/>
      <c r="E69" s="351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353"/>
      <c r="E70" s="351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1031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352" t="s">
        <v>2</v>
      </c>
      <c r="D72" s="352" t="s">
        <v>38</v>
      </c>
      <c r="E72" s="352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354" t="s">
        <v>119</v>
      </c>
      <c r="D73" s="354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353" t="s">
        <v>119</v>
      </c>
      <c r="D74" s="353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353" t="s">
        <v>534</v>
      </c>
      <c r="D75" s="353"/>
      <c r="E75" s="35" t="s">
        <v>886</v>
      </c>
      <c r="F75" s="442" t="s">
        <v>887</v>
      </c>
      <c r="G75" s="442"/>
      <c r="H75" s="442"/>
      <c r="I75" s="442"/>
      <c r="J75" s="442"/>
      <c r="K75" s="443" t="s">
        <v>121</v>
      </c>
      <c r="L75" s="444"/>
      <c r="M75" s="444"/>
      <c r="N75" s="444"/>
      <c r="O75" s="444"/>
      <c r="P75" s="444"/>
      <c r="Q75" s="444"/>
      <c r="R75" s="444"/>
      <c r="S75" s="445"/>
      <c r="T75" s="446">
        <v>42937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353" t="s">
        <v>292</v>
      </c>
      <c r="D76" s="353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353"/>
      <c r="D77" s="353"/>
      <c r="E77" s="35"/>
      <c r="F77" s="442"/>
      <c r="G77" s="442"/>
      <c r="H77" s="442"/>
      <c r="I77" s="442"/>
      <c r="J77" s="442"/>
      <c r="K77" s="443"/>
      <c r="L77" s="444"/>
      <c r="M77" s="444"/>
      <c r="N77" s="444"/>
      <c r="O77" s="444"/>
      <c r="P77" s="444"/>
      <c r="Q77" s="444"/>
      <c r="R77" s="444"/>
      <c r="S77" s="445"/>
      <c r="T77" s="446"/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353"/>
      <c r="D78" s="353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353"/>
      <c r="D79" s="353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353"/>
      <c r="D80" s="353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353"/>
      <c r="D81" s="353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1032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>
        <v>10</v>
      </c>
      <c r="D85" s="476"/>
      <c r="E85" s="476" t="s">
        <v>162</v>
      </c>
      <c r="F85" s="476"/>
      <c r="G85" s="476"/>
      <c r="H85" s="476"/>
      <c r="I85" s="476"/>
      <c r="J85" s="476"/>
      <c r="K85" s="476" t="s">
        <v>163</v>
      </c>
      <c r="L85" s="476"/>
      <c r="M85" s="476"/>
      <c r="N85" s="476"/>
      <c r="O85" s="476"/>
      <c r="P85" s="476"/>
      <c r="Q85" s="476"/>
      <c r="R85" s="476"/>
      <c r="S85" s="476"/>
      <c r="T85" s="477" t="s">
        <v>164</v>
      </c>
      <c r="U85" s="477"/>
      <c r="V85" s="478">
        <v>350000</v>
      </c>
      <c r="W85" s="478"/>
      <c r="X85" s="478"/>
      <c r="Y85" s="469" t="s">
        <v>1033</v>
      </c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sqref="A1:O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68" t="s">
        <v>1034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2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343" t="s">
        <v>17</v>
      </c>
      <c r="L5" s="343" t="s">
        <v>18</v>
      </c>
      <c r="M5" s="343" t="s">
        <v>19</v>
      </c>
      <c r="N5" s="34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2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0.53296284433506957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833</v>
      </c>
      <c r="F7" s="12" t="s">
        <v>168</v>
      </c>
      <c r="G7" s="36">
        <v>1</v>
      </c>
      <c r="H7" s="38">
        <v>25</v>
      </c>
      <c r="I7" s="7">
        <v>12000</v>
      </c>
      <c r="J7" s="14">
        <v>4740</v>
      </c>
      <c r="K7" s="15">
        <f>L7+3325+5269+4135+4735</f>
        <v>17464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0.53296284433506957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120</v>
      </c>
      <c r="D8" s="55" t="s">
        <v>167</v>
      </c>
      <c r="E8" s="57" t="s">
        <v>880</v>
      </c>
      <c r="F8" s="12" t="s">
        <v>168</v>
      </c>
      <c r="G8" s="36">
        <v>1</v>
      </c>
      <c r="H8" s="38">
        <v>25</v>
      </c>
      <c r="I8" s="7">
        <v>6000</v>
      </c>
      <c r="J8" s="14">
        <v>5300</v>
      </c>
      <c r="K8" s="15">
        <f>L8+3182+4438+5374+5210</f>
        <v>23502</v>
      </c>
      <c r="L8" s="15">
        <f>2642+2656</f>
        <v>5298</v>
      </c>
      <c r="M8" s="16">
        <f t="shared" si="0"/>
        <v>5298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0.99962264150943392</v>
      </c>
      <c r="AC8" s="9">
        <f t="shared" si="5"/>
        <v>1</v>
      </c>
      <c r="AD8" s="10">
        <f t="shared" si="6"/>
        <v>0.99962264150943392</v>
      </c>
      <c r="AE8" s="39">
        <f t="shared" si="7"/>
        <v>0.53296284433506957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186</v>
      </c>
      <c r="D9" s="55" t="s">
        <v>135</v>
      </c>
      <c r="E9" s="57" t="s">
        <v>998</v>
      </c>
      <c r="F9" s="12" t="s">
        <v>999</v>
      </c>
      <c r="G9" s="12">
        <v>1</v>
      </c>
      <c r="H9" s="13">
        <v>25</v>
      </c>
      <c r="I9" s="34">
        <v>12000</v>
      </c>
      <c r="J9" s="5">
        <v>3030</v>
      </c>
      <c r="K9" s="15">
        <f>L9+464+820</f>
        <v>4311</v>
      </c>
      <c r="L9" s="15">
        <f>2580+447</f>
        <v>3027</v>
      </c>
      <c r="M9" s="16">
        <f t="shared" si="0"/>
        <v>3027</v>
      </c>
      <c r="N9" s="16">
        <v>0</v>
      </c>
      <c r="O9" s="62">
        <f t="shared" si="1"/>
        <v>0</v>
      </c>
      <c r="P9" s="42">
        <f t="shared" si="2"/>
        <v>16</v>
      </c>
      <c r="Q9" s="43">
        <f t="shared" si="3"/>
        <v>8</v>
      </c>
      <c r="R9" s="7"/>
      <c r="S9" s="6"/>
      <c r="T9" s="17"/>
      <c r="U9" s="17"/>
      <c r="V9" s="18">
        <v>8</v>
      </c>
      <c r="W9" s="19"/>
      <c r="X9" s="17"/>
      <c r="Y9" s="20"/>
      <c r="Z9" s="20"/>
      <c r="AA9" s="21"/>
      <c r="AB9" s="8">
        <f t="shared" si="4"/>
        <v>0.99900990099009901</v>
      </c>
      <c r="AC9" s="9">
        <f t="shared" si="5"/>
        <v>0.66666666666666663</v>
      </c>
      <c r="AD9" s="10">
        <f t="shared" si="6"/>
        <v>0.66600660066006601</v>
      </c>
      <c r="AE9" s="39">
        <f t="shared" si="7"/>
        <v>0.53296284433506957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1018</v>
      </c>
      <c r="D10" s="55" t="s">
        <v>1019</v>
      </c>
      <c r="E10" s="57" t="s">
        <v>1035</v>
      </c>
      <c r="F10" s="12" t="s">
        <v>999</v>
      </c>
      <c r="G10" s="12">
        <v>2</v>
      </c>
      <c r="H10" s="13">
        <v>25</v>
      </c>
      <c r="I10" s="34">
        <v>1000</v>
      </c>
      <c r="J10" s="14">
        <v>3094</v>
      </c>
      <c r="K10" s="15">
        <f>L10</f>
        <v>3094</v>
      </c>
      <c r="L10" s="15">
        <f>1547*2</f>
        <v>3094</v>
      </c>
      <c r="M10" s="16">
        <f t="shared" si="0"/>
        <v>3094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/>
      <c r="T10" s="17"/>
      <c r="U10" s="17"/>
      <c r="V10" s="18"/>
      <c r="W10" s="19">
        <v>14</v>
      </c>
      <c r="X10" s="17"/>
      <c r="Y10" s="20"/>
      <c r="Z10" s="20"/>
      <c r="AA10" s="21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9">
        <f t="shared" si="7"/>
        <v>0.53296284433506957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119</v>
      </c>
      <c r="D11" s="55" t="s">
        <v>122</v>
      </c>
      <c r="E11" s="57" t="s">
        <v>911</v>
      </c>
      <c r="F11" s="12" t="s">
        <v>325</v>
      </c>
      <c r="G11" s="12">
        <v>1</v>
      </c>
      <c r="H11" s="13">
        <v>25</v>
      </c>
      <c r="I11" s="34">
        <v>6000</v>
      </c>
      <c r="J11" s="14">
        <v>4400</v>
      </c>
      <c r="K11" s="15">
        <f>L11+2308+4605+4724</f>
        <v>16033</v>
      </c>
      <c r="L11" s="15">
        <f>2084+2312</f>
        <v>4396</v>
      </c>
      <c r="M11" s="16">
        <f t="shared" si="0"/>
        <v>4396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0.99909090909090914</v>
      </c>
      <c r="AC11" s="9">
        <f t="shared" si="5"/>
        <v>1</v>
      </c>
      <c r="AD11" s="10">
        <f t="shared" si="6"/>
        <v>0.99909090909090914</v>
      </c>
      <c r="AE11" s="39">
        <f t="shared" si="7"/>
        <v>0.53296284433506957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16000</v>
      </c>
      <c r="J12" s="14">
        <v>4770</v>
      </c>
      <c r="K12" s="15">
        <f>L12+2679+3513+4059</f>
        <v>15021</v>
      </c>
      <c r="L12" s="15">
        <f>2415+2355</f>
        <v>4770</v>
      </c>
      <c r="M12" s="16">
        <f t="shared" si="0"/>
        <v>4770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0.53296284433506957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186</v>
      </c>
      <c r="D13" s="55" t="s">
        <v>886</v>
      </c>
      <c r="E13" s="57" t="s">
        <v>889</v>
      </c>
      <c r="F13" s="12" t="s">
        <v>471</v>
      </c>
      <c r="G13" s="12">
        <v>1</v>
      </c>
      <c r="H13" s="13">
        <v>35</v>
      </c>
      <c r="I13" s="7">
        <v>12000</v>
      </c>
      <c r="J13" s="14">
        <v>1380</v>
      </c>
      <c r="K13" s="15">
        <f>L13+4514+1750+3165+5810</f>
        <v>16619</v>
      </c>
      <c r="L13" s="15">
        <f>1380</f>
        <v>1380</v>
      </c>
      <c r="M13" s="16">
        <f t="shared" si="0"/>
        <v>1380</v>
      </c>
      <c r="N13" s="16">
        <v>0</v>
      </c>
      <c r="O13" s="62">
        <f t="shared" si="1"/>
        <v>0</v>
      </c>
      <c r="P13" s="42">
        <f t="shared" si="2"/>
        <v>7</v>
      </c>
      <c r="Q13" s="43">
        <f t="shared" si="3"/>
        <v>17</v>
      </c>
      <c r="R13" s="7"/>
      <c r="S13" s="6"/>
      <c r="T13" s="17"/>
      <c r="U13" s="17"/>
      <c r="V13" s="18"/>
      <c r="W13" s="19">
        <v>17</v>
      </c>
      <c r="X13" s="17"/>
      <c r="Y13" s="20"/>
      <c r="Z13" s="20"/>
      <c r="AA13" s="21"/>
      <c r="AB13" s="8">
        <f t="shared" si="4"/>
        <v>1</v>
      </c>
      <c r="AC13" s="9">
        <f t="shared" si="5"/>
        <v>0.29166666666666669</v>
      </c>
      <c r="AD13" s="10">
        <f t="shared" si="6"/>
        <v>0.29166666666666669</v>
      </c>
      <c r="AE13" s="39">
        <f t="shared" si="7"/>
        <v>0.53296284433506957</v>
      </c>
      <c r="AF13" s="94">
        <f t="shared" si="8"/>
        <v>8</v>
      </c>
    </row>
    <row r="14" spans="1:32" ht="27" customHeight="1">
      <c r="A14" s="110">
        <v>8</v>
      </c>
      <c r="B14" s="11" t="s">
        <v>59</v>
      </c>
      <c r="C14" s="11" t="s">
        <v>186</v>
      </c>
      <c r="D14" s="55" t="s">
        <v>1021</v>
      </c>
      <c r="E14" s="57" t="s">
        <v>1036</v>
      </c>
      <c r="F14" s="12" t="s">
        <v>471</v>
      </c>
      <c r="G14" s="12">
        <v>1</v>
      </c>
      <c r="H14" s="13">
        <v>35</v>
      </c>
      <c r="I14" s="7">
        <v>1000</v>
      </c>
      <c r="J14" s="14">
        <v>2880</v>
      </c>
      <c r="K14" s="15">
        <f>L14</f>
        <v>2880</v>
      </c>
      <c r="L14" s="15">
        <f>2223+657</f>
        <v>2880</v>
      </c>
      <c r="M14" s="16">
        <f t="shared" ref="M14" si="10">L14-N14</f>
        <v>2880</v>
      </c>
      <c r="N14" s="16">
        <v>0</v>
      </c>
      <c r="O14" s="62">
        <f t="shared" ref="O14" si="11">IF(L14=0,"0",N14/L14)</f>
        <v>0</v>
      </c>
      <c r="P14" s="42">
        <f t="shared" ref="P14" si="12">IF(L14=0,"0",(24-Q14))</f>
        <v>17</v>
      </c>
      <c r="Q14" s="43">
        <f t="shared" ref="Q14" si="13">SUM(R14:AA14)</f>
        <v>7</v>
      </c>
      <c r="R14" s="7"/>
      <c r="S14" s="6"/>
      <c r="T14" s="17">
        <v>7</v>
      </c>
      <c r="U14" s="17"/>
      <c r="V14" s="18"/>
      <c r="W14" s="19"/>
      <c r="X14" s="17"/>
      <c r="Y14" s="20"/>
      <c r="Z14" s="20"/>
      <c r="AA14" s="21"/>
      <c r="AB14" s="8">
        <f t="shared" ref="AB14" si="14">IF(J14=0,"0",(L14/J14))</f>
        <v>1</v>
      </c>
      <c r="AC14" s="9">
        <f t="shared" ref="AC14" si="15">IF(P14=0,"0",(P14/24))</f>
        <v>0.70833333333333337</v>
      </c>
      <c r="AD14" s="10">
        <f t="shared" ref="AD14" si="16">AC14*AB14*(1-O14)</f>
        <v>0.70833333333333337</v>
      </c>
      <c r="AE14" s="39">
        <f t="shared" si="7"/>
        <v>0.53296284433506957</v>
      </c>
      <c r="AF14" s="94">
        <f t="shared" ref="AF14" si="17">A14</f>
        <v>8</v>
      </c>
    </row>
    <row r="15" spans="1:32" ht="27" customHeight="1">
      <c r="A15" s="109">
        <v>9</v>
      </c>
      <c r="B15" s="11" t="s">
        <v>59</v>
      </c>
      <c r="C15" s="37" t="s">
        <v>119</v>
      </c>
      <c r="D15" s="55" t="s">
        <v>624</v>
      </c>
      <c r="E15" s="57" t="s">
        <v>1037</v>
      </c>
      <c r="F15" s="33" t="s">
        <v>1038</v>
      </c>
      <c r="G15" s="36">
        <v>1</v>
      </c>
      <c r="H15" s="38">
        <v>40</v>
      </c>
      <c r="I15" s="7">
        <v>400</v>
      </c>
      <c r="J15" s="5">
        <v>420</v>
      </c>
      <c r="K15" s="15">
        <f>L15</f>
        <v>420</v>
      </c>
      <c r="L15" s="15">
        <v>420</v>
      </c>
      <c r="M15" s="16">
        <f t="shared" si="0"/>
        <v>420</v>
      </c>
      <c r="N15" s="16">
        <v>0</v>
      </c>
      <c r="O15" s="62">
        <f t="shared" si="1"/>
        <v>0</v>
      </c>
      <c r="P15" s="42">
        <f t="shared" si="2"/>
        <v>12</v>
      </c>
      <c r="Q15" s="43">
        <f t="shared" si="3"/>
        <v>12</v>
      </c>
      <c r="R15" s="7"/>
      <c r="S15" s="6"/>
      <c r="T15" s="17"/>
      <c r="U15" s="17"/>
      <c r="V15" s="18"/>
      <c r="W15" s="19">
        <v>12</v>
      </c>
      <c r="X15" s="17"/>
      <c r="Y15" s="20"/>
      <c r="Z15" s="20"/>
      <c r="AA15" s="21"/>
      <c r="AB15" s="8">
        <f t="shared" si="4"/>
        <v>1</v>
      </c>
      <c r="AC15" s="9">
        <f t="shared" si="5"/>
        <v>0.5</v>
      </c>
      <c r="AD15" s="10">
        <f t="shared" si="6"/>
        <v>0.5</v>
      </c>
      <c r="AE15" s="39">
        <f t="shared" si="7"/>
        <v>0.53296284433506957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11" t="s">
        <v>460</v>
      </c>
      <c r="D16" s="55" t="s">
        <v>930</v>
      </c>
      <c r="E16" s="57" t="s">
        <v>931</v>
      </c>
      <c r="F16" s="12" t="s">
        <v>932</v>
      </c>
      <c r="G16" s="12">
        <v>1</v>
      </c>
      <c r="H16" s="13">
        <v>25</v>
      </c>
      <c r="I16" s="34">
        <v>2000</v>
      </c>
      <c r="J16" s="14">
        <v>760</v>
      </c>
      <c r="K16" s="15">
        <f>L16+756</f>
        <v>756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>
        <v>24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0.53296284433506957</v>
      </c>
      <c r="AF16" s="94">
        <f t="shared" si="8"/>
        <v>10</v>
      </c>
    </row>
    <row r="17" spans="1:36" ht="27.75" customHeight="1">
      <c r="A17" s="109">
        <v>11</v>
      </c>
      <c r="B17" s="11" t="s">
        <v>59</v>
      </c>
      <c r="C17" s="11" t="s">
        <v>186</v>
      </c>
      <c r="D17" s="55" t="s">
        <v>134</v>
      </c>
      <c r="E17" s="56" t="s">
        <v>233</v>
      </c>
      <c r="F17" s="12">
        <v>7301</v>
      </c>
      <c r="G17" s="36">
        <v>1</v>
      </c>
      <c r="H17" s="38">
        <v>25</v>
      </c>
      <c r="I17" s="7">
        <v>26000</v>
      </c>
      <c r="J17" s="14">
        <v>5740</v>
      </c>
      <c r="K17" s="15">
        <f>L17+3017+5739</f>
        <v>8756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0.53296284433506957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59</v>
      </c>
      <c r="C18" s="37" t="s">
        <v>629</v>
      </c>
      <c r="D18" s="55" t="s">
        <v>1026</v>
      </c>
      <c r="E18" s="56" t="s">
        <v>1039</v>
      </c>
      <c r="F18" s="12" t="s">
        <v>1040</v>
      </c>
      <c r="G18" s="12">
        <v>1</v>
      </c>
      <c r="H18" s="13">
        <v>25</v>
      </c>
      <c r="I18" s="34">
        <v>1000</v>
      </c>
      <c r="J18" s="5">
        <v>1220</v>
      </c>
      <c r="K18" s="15">
        <f>L18</f>
        <v>1215</v>
      </c>
      <c r="L18" s="15">
        <v>1215</v>
      </c>
      <c r="M18" s="16">
        <f t="shared" si="0"/>
        <v>1215</v>
      </c>
      <c r="N18" s="16">
        <v>0</v>
      </c>
      <c r="O18" s="62">
        <f t="shared" si="1"/>
        <v>0</v>
      </c>
      <c r="P18" s="42">
        <f t="shared" si="2"/>
        <v>10</v>
      </c>
      <c r="Q18" s="43">
        <f t="shared" si="3"/>
        <v>14</v>
      </c>
      <c r="R18" s="7"/>
      <c r="S18" s="6">
        <v>2</v>
      </c>
      <c r="T18" s="17">
        <v>12</v>
      </c>
      <c r="U18" s="17"/>
      <c r="V18" s="18"/>
      <c r="W18" s="19"/>
      <c r="X18" s="17"/>
      <c r="Y18" s="20"/>
      <c r="Z18" s="20"/>
      <c r="AA18" s="21"/>
      <c r="AB18" s="8">
        <f t="shared" si="4"/>
        <v>0.99590163934426235</v>
      </c>
      <c r="AC18" s="9">
        <f t="shared" si="5"/>
        <v>0.41666666666666669</v>
      </c>
      <c r="AD18" s="10">
        <f t="shared" si="6"/>
        <v>0.41495901639344268</v>
      </c>
      <c r="AE18" s="39">
        <f t="shared" si="7"/>
        <v>0.53296284433506957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119</v>
      </c>
      <c r="D19" s="55" t="s">
        <v>122</v>
      </c>
      <c r="E19" s="57" t="s">
        <v>137</v>
      </c>
      <c r="F19" s="12" t="s">
        <v>471</v>
      </c>
      <c r="G19" s="12">
        <v>1</v>
      </c>
      <c r="H19" s="13">
        <v>25</v>
      </c>
      <c r="I19" s="34">
        <v>20000</v>
      </c>
      <c r="J19" s="5">
        <v>5980</v>
      </c>
      <c r="K19" s="15">
        <f>L19+3568+5723+4710+4932</f>
        <v>24906</v>
      </c>
      <c r="L19" s="15">
        <f>2817+422+2734</f>
        <v>5973</v>
      </c>
      <c r="M19" s="16">
        <f t="shared" si="0"/>
        <v>5973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0.99882943143812708</v>
      </c>
      <c r="AC19" s="9">
        <f t="shared" si="5"/>
        <v>1</v>
      </c>
      <c r="AD19" s="10">
        <f t="shared" si="6"/>
        <v>0.99882943143812708</v>
      </c>
      <c r="AE19" s="39">
        <f t="shared" si="7"/>
        <v>0.53296284433506957</v>
      </c>
      <c r="AF19" s="94">
        <f t="shared" si="8"/>
        <v>13</v>
      </c>
    </row>
    <row r="20" spans="1:36" ht="27" customHeight="1">
      <c r="A20" s="110">
        <v>14</v>
      </c>
      <c r="B20" s="11" t="s">
        <v>59</v>
      </c>
      <c r="C20" s="37" t="s">
        <v>120</v>
      </c>
      <c r="D20" s="55" t="s">
        <v>58</v>
      </c>
      <c r="E20" s="57" t="s">
        <v>1000</v>
      </c>
      <c r="F20" s="33" t="s">
        <v>252</v>
      </c>
      <c r="G20" s="36">
        <v>1</v>
      </c>
      <c r="H20" s="38">
        <v>25</v>
      </c>
      <c r="I20" s="7">
        <v>31000</v>
      </c>
      <c r="J20" s="5">
        <v>5460</v>
      </c>
      <c r="K20" s="15">
        <f>L20+4633</f>
        <v>10089</v>
      </c>
      <c r="L20" s="15">
        <f>2945+2511</f>
        <v>5456</v>
      </c>
      <c r="M20" s="16">
        <f t="shared" si="0"/>
        <v>5456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0.99926739926739927</v>
      </c>
      <c r="AC20" s="9">
        <f t="shared" si="5"/>
        <v>1</v>
      </c>
      <c r="AD20" s="10">
        <f t="shared" si="6"/>
        <v>0.99926739926739927</v>
      </c>
      <c r="AE20" s="39">
        <f t="shared" si="7"/>
        <v>0.53296284433506957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117</v>
      </c>
      <c r="D21" s="55"/>
      <c r="E21" s="56" t="s">
        <v>767</v>
      </c>
      <c r="F21" s="12" t="s">
        <v>118</v>
      </c>
      <c r="G21" s="12">
        <v>4</v>
      </c>
      <c r="H21" s="38">
        <v>20</v>
      </c>
      <c r="I21" s="7">
        <v>200000</v>
      </c>
      <c r="J21" s="14">
        <v>9070</v>
      </c>
      <c r="K21" s="15">
        <f>L21+40652+62320+60260+9068</f>
        <v>172300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0.53296284433506957</v>
      </c>
      <c r="AF21" s="94">
        <f t="shared" si="8"/>
        <v>15</v>
      </c>
    </row>
    <row r="22" spans="1:36" ht="31.5" customHeight="1" thickBot="1">
      <c r="A22" s="382" t="s">
        <v>34</v>
      </c>
      <c r="B22" s="383"/>
      <c r="C22" s="383"/>
      <c r="D22" s="383"/>
      <c r="E22" s="383"/>
      <c r="F22" s="383"/>
      <c r="G22" s="383"/>
      <c r="H22" s="384"/>
      <c r="I22" s="25">
        <f t="shared" ref="I22:N22" si="18">SUM(I6:I21)</f>
        <v>347400</v>
      </c>
      <c r="J22" s="22">
        <f t="shared" si="18"/>
        <v>60214</v>
      </c>
      <c r="K22" s="23">
        <f t="shared" si="18"/>
        <v>319328</v>
      </c>
      <c r="L22" s="24">
        <f t="shared" si="18"/>
        <v>37909</v>
      </c>
      <c r="M22" s="23">
        <f t="shared" si="18"/>
        <v>37909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192</v>
      </c>
      <c r="Q22" s="46">
        <f t="shared" si="19"/>
        <v>192</v>
      </c>
      <c r="R22" s="26">
        <f t="shared" si="19"/>
        <v>24</v>
      </c>
      <c r="S22" s="27">
        <f t="shared" si="19"/>
        <v>50</v>
      </c>
      <c r="T22" s="27">
        <f t="shared" si="19"/>
        <v>19</v>
      </c>
      <c r="U22" s="27">
        <f t="shared" si="19"/>
        <v>0</v>
      </c>
      <c r="V22" s="28">
        <f t="shared" si="19"/>
        <v>8</v>
      </c>
      <c r="W22" s="29">
        <f t="shared" si="19"/>
        <v>91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0.73278146144268208</v>
      </c>
      <c r="AC22" s="4">
        <f>SUM(AC6:AC21)/15</f>
        <v>0.53333333333333333</v>
      </c>
      <c r="AD22" s="4">
        <f>SUM(AD6:AD21)/15</f>
        <v>0.53296284433506957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5" t="s">
        <v>46</v>
      </c>
      <c r="B49" s="385"/>
      <c r="C49" s="385"/>
      <c r="D49" s="385"/>
      <c r="E49" s="38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86" t="s">
        <v>1041</v>
      </c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8"/>
      <c r="N50" s="389" t="s">
        <v>1054</v>
      </c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  <c r="AA50" s="390"/>
      <c r="AB50" s="390"/>
      <c r="AC50" s="390"/>
      <c r="AD50" s="391"/>
    </row>
    <row r="51" spans="1:32" ht="27" customHeight="1">
      <c r="A51" s="392" t="s">
        <v>2</v>
      </c>
      <c r="B51" s="393"/>
      <c r="C51" s="344" t="s">
        <v>47</v>
      </c>
      <c r="D51" s="344" t="s">
        <v>48</v>
      </c>
      <c r="E51" s="344" t="s">
        <v>111</v>
      </c>
      <c r="F51" s="393" t="s">
        <v>110</v>
      </c>
      <c r="G51" s="393"/>
      <c r="H51" s="393"/>
      <c r="I51" s="393"/>
      <c r="J51" s="393"/>
      <c r="K51" s="393"/>
      <c r="L51" s="393"/>
      <c r="M51" s="394"/>
      <c r="N51" s="73" t="s">
        <v>115</v>
      </c>
      <c r="O51" s="344" t="s">
        <v>47</v>
      </c>
      <c r="P51" s="395" t="s">
        <v>48</v>
      </c>
      <c r="Q51" s="396"/>
      <c r="R51" s="395" t="s">
        <v>39</v>
      </c>
      <c r="S51" s="397"/>
      <c r="T51" s="397"/>
      <c r="U51" s="396"/>
      <c r="V51" s="395" t="s">
        <v>49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09" t="s">
        <v>120</v>
      </c>
      <c r="B52" s="410"/>
      <c r="C52" s="346" t="s">
        <v>260</v>
      </c>
      <c r="D52" s="346" t="s">
        <v>1002</v>
      </c>
      <c r="E52" s="349" t="s">
        <v>1003</v>
      </c>
      <c r="F52" s="411" t="s">
        <v>1042</v>
      </c>
      <c r="G52" s="411"/>
      <c r="H52" s="411"/>
      <c r="I52" s="411"/>
      <c r="J52" s="411"/>
      <c r="K52" s="411"/>
      <c r="L52" s="411"/>
      <c r="M52" s="412"/>
      <c r="N52" s="345" t="s">
        <v>120</v>
      </c>
      <c r="O52" s="74" t="s">
        <v>209</v>
      </c>
      <c r="P52" s="410" t="s">
        <v>134</v>
      </c>
      <c r="Q52" s="410"/>
      <c r="R52" s="410" t="s">
        <v>766</v>
      </c>
      <c r="S52" s="410"/>
      <c r="T52" s="410"/>
      <c r="U52" s="410"/>
      <c r="V52" s="411" t="s">
        <v>1005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1043</v>
      </c>
      <c r="B53" s="410"/>
      <c r="C53" s="346" t="s">
        <v>263</v>
      </c>
      <c r="D53" s="346" t="s">
        <v>1019</v>
      </c>
      <c r="E53" s="349" t="s">
        <v>1044</v>
      </c>
      <c r="F53" s="411" t="s">
        <v>1016</v>
      </c>
      <c r="G53" s="411"/>
      <c r="H53" s="411"/>
      <c r="I53" s="411"/>
      <c r="J53" s="411"/>
      <c r="K53" s="411"/>
      <c r="L53" s="411"/>
      <c r="M53" s="412"/>
      <c r="N53" s="345" t="s">
        <v>120</v>
      </c>
      <c r="O53" s="74" t="s">
        <v>1010</v>
      </c>
      <c r="P53" s="410" t="s">
        <v>134</v>
      </c>
      <c r="Q53" s="410"/>
      <c r="R53" s="410" t="s">
        <v>1055</v>
      </c>
      <c r="S53" s="410"/>
      <c r="T53" s="410"/>
      <c r="U53" s="410"/>
      <c r="V53" s="411" t="s">
        <v>1056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1043</v>
      </c>
      <c r="B54" s="410"/>
      <c r="C54" s="346" t="s">
        <v>1045</v>
      </c>
      <c r="D54" s="346" t="s">
        <v>1046</v>
      </c>
      <c r="E54" s="349" t="s">
        <v>1039</v>
      </c>
      <c r="F54" s="411" t="s">
        <v>1016</v>
      </c>
      <c r="G54" s="411"/>
      <c r="H54" s="411"/>
      <c r="I54" s="411"/>
      <c r="J54" s="411"/>
      <c r="K54" s="411"/>
      <c r="L54" s="411"/>
      <c r="M54" s="412"/>
      <c r="N54" s="345" t="s">
        <v>1018</v>
      </c>
      <c r="O54" s="74" t="s">
        <v>205</v>
      </c>
      <c r="P54" s="413" t="s">
        <v>58</v>
      </c>
      <c r="Q54" s="414"/>
      <c r="R54" s="410" t="s">
        <v>1057</v>
      </c>
      <c r="S54" s="410"/>
      <c r="T54" s="410"/>
      <c r="U54" s="410"/>
      <c r="V54" s="411" t="s">
        <v>1016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 t="s">
        <v>1047</v>
      </c>
      <c r="B55" s="410"/>
      <c r="C55" s="346" t="s">
        <v>1048</v>
      </c>
      <c r="D55" s="346" t="s">
        <v>1049</v>
      </c>
      <c r="E55" s="349" t="s">
        <v>1050</v>
      </c>
      <c r="F55" s="411" t="s">
        <v>1016</v>
      </c>
      <c r="G55" s="411"/>
      <c r="H55" s="411"/>
      <c r="I55" s="411"/>
      <c r="J55" s="411"/>
      <c r="K55" s="411"/>
      <c r="L55" s="411"/>
      <c r="M55" s="412"/>
      <c r="N55" s="345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 t="s">
        <v>1051</v>
      </c>
      <c r="B56" s="410"/>
      <c r="C56" s="346" t="s">
        <v>1052</v>
      </c>
      <c r="D56" s="346" t="s">
        <v>1053</v>
      </c>
      <c r="E56" s="349" t="s">
        <v>1037</v>
      </c>
      <c r="F56" s="411" t="s">
        <v>1016</v>
      </c>
      <c r="G56" s="411"/>
      <c r="H56" s="411"/>
      <c r="I56" s="411"/>
      <c r="J56" s="411"/>
      <c r="K56" s="411"/>
      <c r="L56" s="411"/>
      <c r="M56" s="412"/>
      <c r="N56" s="345"/>
      <c r="O56" s="74"/>
      <c r="P56" s="413"/>
      <c r="Q56" s="414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09"/>
      <c r="B57" s="410"/>
      <c r="C57" s="346"/>
      <c r="D57" s="346"/>
      <c r="E57" s="349"/>
      <c r="F57" s="411"/>
      <c r="G57" s="411"/>
      <c r="H57" s="411"/>
      <c r="I57" s="411"/>
      <c r="J57" s="411"/>
      <c r="K57" s="411"/>
      <c r="L57" s="411"/>
      <c r="M57" s="412"/>
      <c r="N57" s="345"/>
      <c r="O57" s="74"/>
      <c r="P57" s="410"/>
      <c r="Q57" s="410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349"/>
      <c r="D58" s="346"/>
      <c r="E58" s="349"/>
      <c r="F58" s="411"/>
      <c r="G58" s="411"/>
      <c r="H58" s="411"/>
      <c r="I58" s="411"/>
      <c r="J58" s="411"/>
      <c r="K58" s="411"/>
      <c r="L58" s="411"/>
      <c r="M58" s="412"/>
      <c r="N58" s="345"/>
      <c r="O58" s="74"/>
      <c r="P58" s="413"/>
      <c r="Q58" s="414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19"/>
      <c r="B59" s="420"/>
      <c r="C59" s="349"/>
      <c r="D59" s="346"/>
      <c r="E59" s="349"/>
      <c r="F59" s="411"/>
      <c r="G59" s="411"/>
      <c r="H59" s="411"/>
      <c r="I59" s="411"/>
      <c r="J59" s="411"/>
      <c r="K59" s="411"/>
      <c r="L59" s="411"/>
      <c r="M59" s="412"/>
      <c r="N59" s="345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</row>
    <row r="60" spans="1:32" ht="27" customHeight="1">
      <c r="A60" s="409"/>
      <c r="B60" s="410"/>
      <c r="C60" s="346"/>
      <c r="D60" s="346"/>
      <c r="E60" s="346"/>
      <c r="F60" s="411"/>
      <c r="G60" s="411"/>
      <c r="H60" s="411"/>
      <c r="I60" s="411"/>
      <c r="J60" s="411"/>
      <c r="K60" s="411"/>
      <c r="L60" s="411"/>
      <c r="M60" s="412"/>
      <c r="N60" s="345"/>
      <c r="O60" s="74"/>
      <c r="P60" s="410"/>
      <c r="Q60" s="410"/>
      <c r="R60" s="410"/>
      <c r="S60" s="410"/>
      <c r="T60" s="410"/>
      <c r="U60" s="410"/>
      <c r="V60" s="411"/>
      <c r="W60" s="411"/>
      <c r="X60" s="411"/>
      <c r="Y60" s="411"/>
      <c r="Z60" s="411"/>
      <c r="AA60" s="411"/>
      <c r="AB60" s="411"/>
      <c r="AC60" s="411"/>
      <c r="AD60" s="412"/>
      <c r="AF60" s="94">
        <f>8*3000</f>
        <v>24000</v>
      </c>
    </row>
    <row r="61" spans="1:32" ht="27" customHeight="1" thickBot="1">
      <c r="A61" s="415"/>
      <c r="B61" s="416"/>
      <c r="C61" s="348"/>
      <c r="D61" s="348"/>
      <c r="E61" s="348"/>
      <c r="F61" s="417"/>
      <c r="G61" s="417"/>
      <c r="H61" s="417"/>
      <c r="I61" s="417"/>
      <c r="J61" s="417"/>
      <c r="K61" s="417"/>
      <c r="L61" s="417"/>
      <c r="M61" s="418"/>
      <c r="N61" s="347"/>
      <c r="O61" s="121"/>
      <c r="P61" s="416"/>
      <c r="Q61" s="416"/>
      <c r="R61" s="416"/>
      <c r="S61" s="416"/>
      <c r="T61" s="416"/>
      <c r="U61" s="416"/>
      <c r="V61" s="417"/>
      <c r="W61" s="417"/>
      <c r="X61" s="417"/>
      <c r="Y61" s="417"/>
      <c r="Z61" s="417"/>
      <c r="AA61" s="417"/>
      <c r="AB61" s="417"/>
      <c r="AC61" s="417"/>
      <c r="AD61" s="418"/>
      <c r="AF61" s="94">
        <f>16*3000</f>
        <v>48000</v>
      </c>
    </row>
    <row r="62" spans="1:32" ht="27.75" thickBot="1">
      <c r="A62" s="421" t="s">
        <v>1058</v>
      </c>
      <c r="B62" s="421"/>
      <c r="C62" s="421"/>
      <c r="D62" s="421"/>
      <c r="E62" s="421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2" t="s">
        <v>116</v>
      </c>
      <c r="B63" s="423"/>
      <c r="C63" s="350" t="s">
        <v>2</v>
      </c>
      <c r="D63" s="350" t="s">
        <v>38</v>
      </c>
      <c r="E63" s="350" t="s">
        <v>3</v>
      </c>
      <c r="F63" s="423" t="s">
        <v>113</v>
      </c>
      <c r="G63" s="423"/>
      <c r="H63" s="423"/>
      <c r="I63" s="423"/>
      <c r="J63" s="423"/>
      <c r="K63" s="423" t="s">
        <v>40</v>
      </c>
      <c r="L63" s="423"/>
      <c r="M63" s="350" t="s">
        <v>41</v>
      </c>
      <c r="N63" s="423" t="s">
        <v>42</v>
      </c>
      <c r="O63" s="423"/>
      <c r="P63" s="424" t="s">
        <v>43</v>
      </c>
      <c r="Q63" s="425"/>
      <c r="R63" s="424" t="s">
        <v>44</v>
      </c>
      <c r="S63" s="426"/>
      <c r="T63" s="426"/>
      <c r="U63" s="426"/>
      <c r="V63" s="426"/>
      <c r="W63" s="426"/>
      <c r="X63" s="426"/>
      <c r="Y63" s="426"/>
      <c r="Z63" s="426"/>
      <c r="AA63" s="425"/>
      <c r="AB63" s="423" t="s">
        <v>45</v>
      </c>
      <c r="AC63" s="423"/>
      <c r="AD63" s="427"/>
      <c r="AF63" s="94">
        <f>SUM(AF60:AF62)</f>
        <v>96000</v>
      </c>
    </row>
    <row r="64" spans="1:32" ht="25.5" customHeight="1">
      <c r="A64" s="428">
        <v>1</v>
      </c>
      <c r="B64" s="429"/>
      <c r="C64" s="124" t="s">
        <v>132</v>
      </c>
      <c r="D64" s="353"/>
      <c r="E64" s="351" t="s">
        <v>1026</v>
      </c>
      <c r="F64" s="430" t="s">
        <v>1059</v>
      </c>
      <c r="G64" s="431"/>
      <c r="H64" s="431"/>
      <c r="I64" s="431"/>
      <c r="J64" s="431"/>
      <c r="K64" s="431" t="s">
        <v>1028</v>
      </c>
      <c r="L64" s="431"/>
      <c r="M64" s="54" t="s">
        <v>1029</v>
      </c>
      <c r="N64" s="431">
        <v>5</v>
      </c>
      <c r="O64" s="431"/>
      <c r="P64" s="432">
        <v>50</v>
      </c>
      <c r="Q64" s="432"/>
      <c r="R64" s="411" t="s">
        <v>1060</v>
      </c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2</v>
      </c>
      <c r="B65" s="429"/>
      <c r="C65" s="124" t="s">
        <v>1061</v>
      </c>
      <c r="D65" s="353"/>
      <c r="E65" s="351" t="s">
        <v>1026</v>
      </c>
      <c r="F65" s="430" t="s">
        <v>1062</v>
      </c>
      <c r="G65" s="431"/>
      <c r="H65" s="431"/>
      <c r="I65" s="431"/>
      <c r="J65" s="431"/>
      <c r="K65" s="431" t="s">
        <v>1063</v>
      </c>
      <c r="L65" s="431"/>
      <c r="M65" s="54" t="s">
        <v>1029</v>
      </c>
      <c r="N65" s="431">
        <v>10</v>
      </c>
      <c r="O65" s="431"/>
      <c r="P65" s="432"/>
      <c r="Q65" s="432"/>
      <c r="R65" s="411" t="s">
        <v>1064</v>
      </c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3</v>
      </c>
      <c r="B66" s="429"/>
      <c r="C66" s="124" t="s">
        <v>132</v>
      </c>
      <c r="D66" s="353"/>
      <c r="E66" s="351" t="s">
        <v>1002</v>
      </c>
      <c r="F66" s="430" t="s">
        <v>1065</v>
      </c>
      <c r="G66" s="431"/>
      <c r="H66" s="431"/>
      <c r="I66" s="431"/>
      <c r="J66" s="431"/>
      <c r="K66" s="431" t="s">
        <v>1066</v>
      </c>
      <c r="L66" s="431"/>
      <c r="M66" s="54" t="s">
        <v>1029</v>
      </c>
      <c r="N66" s="431">
        <v>4</v>
      </c>
      <c r="O66" s="431"/>
      <c r="P66" s="432">
        <v>50</v>
      </c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4</v>
      </c>
      <c r="B67" s="429"/>
      <c r="C67" s="124" t="s">
        <v>460</v>
      </c>
      <c r="D67" s="353"/>
      <c r="E67" s="351" t="s">
        <v>1067</v>
      </c>
      <c r="F67" s="430" t="s">
        <v>1068</v>
      </c>
      <c r="G67" s="431"/>
      <c r="H67" s="431"/>
      <c r="I67" s="431"/>
      <c r="J67" s="431"/>
      <c r="K67" s="431" t="s">
        <v>1069</v>
      </c>
      <c r="L67" s="431"/>
      <c r="M67" s="54" t="s">
        <v>1029</v>
      </c>
      <c r="N67" s="431">
        <v>5</v>
      </c>
      <c r="O67" s="431"/>
      <c r="P67" s="432">
        <v>250</v>
      </c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5</v>
      </c>
      <c r="B68" s="429"/>
      <c r="C68" s="124" t="s">
        <v>402</v>
      </c>
      <c r="D68" s="353"/>
      <c r="E68" s="351" t="s">
        <v>978</v>
      </c>
      <c r="F68" s="430" t="s">
        <v>408</v>
      </c>
      <c r="G68" s="431"/>
      <c r="H68" s="431"/>
      <c r="I68" s="431"/>
      <c r="J68" s="431"/>
      <c r="K68" s="431" t="s">
        <v>780</v>
      </c>
      <c r="L68" s="431"/>
      <c r="M68" s="54" t="s">
        <v>138</v>
      </c>
      <c r="N68" s="431">
        <v>5</v>
      </c>
      <c r="O68" s="431"/>
      <c r="P68" s="432">
        <v>20</v>
      </c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6</v>
      </c>
      <c r="B69" s="429"/>
      <c r="C69" s="124"/>
      <c r="D69" s="353"/>
      <c r="E69" s="351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7</v>
      </c>
      <c r="B70" s="429"/>
      <c r="C70" s="124"/>
      <c r="D70" s="353"/>
      <c r="E70" s="351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5.5" customHeight="1">
      <c r="A71" s="428">
        <v>8</v>
      </c>
      <c r="B71" s="429"/>
      <c r="C71" s="124"/>
      <c r="D71" s="353"/>
      <c r="E71" s="351"/>
      <c r="F71" s="430"/>
      <c r="G71" s="431"/>
      <c r="H71" s="431"/>
      <c r="I71" s="431"/>
      <c r="J71" s="431"/>
      <c r="K71" s="431"/>
      <c r="L71" s="431"/>
      <c r="M71" s="54"/>
      <c r="N71" s="431"/>
      <c r="O71" s="431"/>
      <c r="P71" s="432"/>
      <c r="Q71" s="432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31"/>
      <c r="AC71" s="431"/>
      <c r="AD71" s="433"/>
      <c r="AF71" s="53"/>
    </row>
    <row r="72" spans="1:32" ht="26.25" customHeight="1" thickBot="1">
      <c r="A72" s="434" t="s">
        <v>1070</v>
      </c>
      <c r="B72" s="434"/>
      <c r="C72" s="434"/>
      <c r="D72" s="434"/>
      <c r="E72" s="434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35" t="s">
        <v>116</v>
      </c>
      <c r="B73" s="436"/>
      <c r="C73" s="352" t="s">
        <v>2</v>
      </c>
      <c r="D73" s="352" t="s">
        <v>38</v>
      </c>
      <c r="E73" s="352" t="s">
        <v>3</v>
      </c>
      <c r="F73" s="436" t="s">
        <v>39</v>
      </c>
      <c r="G73" s="436"/>
      <c r="H73" s="436"/>
      <c r="I73" s="436"/>
      <c r="J73" s="436"/>
      <c r="K73" s="437" t="s">
        <v>60</v>
      </c>
      <c r="L73" s="438"/>
      <c r="M73" s="438"/>
      <c r="N73" s="438"/>
      <c r="O73" s="438"/>
      <c r="P73" s="438"/>
      <c r="Q73" s="438"/>
      <c r="R73" s="438"/>
      <c r="S73" s="439"/>
      <c r="T73" s="436" t="s">
        <v>50</v>
      </c>
      <c r="U73" s="436"/>
      <c r="V73" s="437" t="s">
        <v>51</v>
      </c>
      <c r="W73" s="439"/>
      <c r="X73" s="438" t="s">
        <v>52</v>
      </c>
      <c r="Y73" s="438"/>
      <c r="Z73" s="438"/>
      <c r="AA73" s="438"/>
      <c r="AB73" s="438"/>
      <c r="AC73" s="438"/>
      <c r="AD73" s="440"/>
      <c r="AF73" s="53"/>
    </row>
    <row r="74" spans="1:32" ht="33.75" customHeight="1">
      <c r="A74" s="449">
        <v>1</v>
      </c>
      <c r="B74" s="450"/>
      <c r="C74" s="354" t="s">
        <v>119</v>
      </c>
      <c r="D74" s="354"/>
      <c r="E74" s="71" t="s">
        <v>127</v>
      </c>
      <c r="F74" s="451" t="s">
        <v>128</v>
      </c>
      <c r="G74" s="452"/>
      <c r="H74" s="452"/>
      <c r="I74" s="452"/>
      <c r="J74" s="453"/>
      <c r="K74" s="454" t="s">
        <v>121</v>
      </c>
      <c r="L74" s="455"/>
      <c r="M74" s="455"/>
      <c r="N74" s="455"/>
      <c r="O74" s="455"/>
      <c r="P74" s="455"/>
      <c r="Q74" s="455"/>
      <c r="R74" s="455"/>
      <c r="S74" s="456"/>
      <c r="T74" s="457">
        <v>42901</v>
      </c>
      <c r="U74" s="458"/>
      <c r="V74" s="459"/>
      <c r="W74" s="459"/>
      <c r="X74" s="460"/>
      <c r="Y74" s="460"/>
      <c r="Z74" s="460"/>
      <c r="AA74" s="460"/>
      <c r="AB74" s="460"/>
      <c r="AC74" s="460"/>
      <c r="AD74" s="461"/>
      <c r="AF74" s="53"/>
    </row>
    <row r="75" spans="1:32" ht="30" customHeight="1">
      <c r="A75" s="441">
        <f>A74+1</f>
        <v>2</v>
      </c>
      <c r="B75" s="442"/>
      <c r="C75" s="353" t="s">
        <v>119</v>
      </c>
      <c r="D75" s="353"/>
      <c r="E75" s="35" t="s">
        <v>124</v>
      </c>
      <c r="F75" s="442" t="s">
        <v>125</v>
      </c>
      <c r="G75" s="442"/>
      <c r="H75" s="442"/>
      <c r="I75" s="442"/>
      <c r="J75" s="442"/>
      <c r="K75" s="443" t="s">
        <v>126</v>
      </c>
      <c r="L75" s="444"/>
      <c r="M75" s="444"/>
      <c r="N75" s="444"/>
      <c r="O75" s="444"/>
      <c r="P75" s="444"/>
      <c r="Q75" s="444"/>
      <c r="R75" s="444"/>
      <c r="S75" s="445"/>
      <c r="T75" s="446">
        <v>42867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ref="A76:A82" si="20">A75+1</f>
        <v>3</v>
      </c>
      <c r="B76" s="442"/>
      <c r="C76" s="353" t="s">
        <v>534</v>
      </c>
      <c r="D76" s="353"/>
      <c r="E76" s="35" t="s">
        <v>886</v>
      </c>
      <c r="F76" s="442" t="s">
        <v>887</v>
      </c>
      <c r="G76" s="442"/>
      <c r="H76" s="442"/>
      <c r="I76" s="442"/>
      <c r="J76" s="442"/>
      <c r="K76" s="443" t="s">
        <v>121</v>
      </c>
      <c r="L76" s="444"/>
      <c r="M76" s="444"/>
      <c r="N76" s="444"/>
      <c r="O76" s="444"/>
      <c r="P76" s="444"/>
      <c r="Q76" s="444"/>
      <c r="R76" s="444"/>
      <c r="S76" s="445"/>
      <c r="T76" s="446">
        <v>42937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20"/>
        <v>4</v>
      </c>
      <c r="B77" s="442"/>
      <c r="C77" s="353" t="s">
        <v>292</v>
      </c>
      <c r="D77" s="353"/>
      <c r="E77" s="35" t="s">
        <v>293</v>
      </c>
      <c r="F77" s="442" t="s">
        <v>294</v>
      </c>
      <c r="G77" s="442"/>
      <c r="H77" s="442"/>
      <c r="I77" s="442"/>
      <c r="J77" s="442"/>
      <c r="K77" s="443" t="s">
        <v>331</v>
      </c>
      <c r="L77" s="444"/>
      <c r="M77" s="444"/>
      <c r="N77" s="444"/>
      <c r="O77" s="444"/>
      <c r="P77" s="444"/>
      <c r="Q77" s="444"/>
      <c r="R77" s="444"/>
      <c r="S77" s="445"/>
      <c r="T77" s="446">
        <v>42920</v>
      </c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20"/>
        <v>5</v>
      </c>
      <c r="B78" s="442"/>
      <c r="C78" s="353"/>
      <c r="D78" s="353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20"/>
        <v>6</v>
      </c>
      <c r="B79" s="442"/>
      <c r="C79" s="353"/>
      <c r="D79" s="353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20"/>
        <v>7</v>
      </c>
      <c r="B80" s="442"/>
      <c r="C80" s="353"/>
      <c r="D80" s="353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20"/>
        <v>8</v>
      </c>
      <c r="B81" s="442"/>
      <c r="C81" s="353"/>
      <c r="D81" s="353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0" customHeight="1">
      <c r="A82" s="441">
        <f t="shared" si="20"/>
        <v>9</v>
      </c>
      <c r="B82" s="442"/>
      <c r="C82" s="353"/>
      <c r="D82" s="353"/>
      <c r="E82" s="35"/>
      <c r="F82" s="442"/>
      <c r="G82" s="442"/>
      <c r="H82" s="442"/>
      <c r="I82" s="442"/>
      <c r="J82" s="442"/>
      <c r="K82" s="443"/>
      <c r="L82" s="444"/>
      <c r="M82" s="444"/>
      <c r="N82" s="444"/>
      <c r="O82" s="444"/>
      <c r="P82" s="444"/>
      <c r="Q82" s="444"/>
      <c r="R82" s="444"/>
      <c r="S82" s="445"/>
      <c r="T82" s="446"/>
      <c r="U82" s="446"/>
      <c r="V82" s="446"/>
      <c r="W82" s="446"/>
      <c r="X82" s="447"/>
      <c r="Y82" s="447"/>
      <c r="Z82" s="447"/>
      <c r="AA82" s="447"/>
      <c r="AB82" s="447"/>
      <c r="AC82" s="447"/>
      <c r="AD82" s="448"/>
      <c r="AF82" s="53"/>
    </row>
    <row r="83" spans="1:32" ht="36" thickBot="1">
      <c r="A83" s="434" t="s">
        <v>1071</v>
      </c>
      <c r="B83" s="434"/>
      <c r="C83" s="434"/>
      <c r="D83" s="434"/>
      <c r="E83" s="434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2" t="s">
        <v>37</v>
      </c>
      <c r="B84" s="463"/>
      <c r="C84" s="463" t="s">
        <v>53</v>
      </c>
      <c r="D84" s="463"/>
      <c r="E84" s="463" t="s">
        <v>54</v>
      </c>
      <c r="F84" s="463"/>
      <c r="G84" s="463"/>
      <c r="H84" s="463"/>
      <c r="I84" s="463"/>
      <c r="J84" s="463"/>
      <c r="K84" s="463" t="s">
        <v>55</v>
      </c>
      <c r="L84" s="463"/>
      <c r="M84" s="463"/>
      <c r="N84" s="463"/>
      <c r="O84" s="463"/>
      <c r="P84" s="463"/>
      <c r="Q84" s="463"/>
      <c r="R84" s="463"/>
      <c r="S84" s="463"/>
      <c r="T84" s="463" t="s">
        <v>56</v>
      </c>
      <c r="U84" s="463"/>
      <c r="V84" s="463" t="s">
        <v>57</v>
      </c>
      <c r="W84" s="463"/>
      <c r="X84" s="463"/>
      <c r="Y84" s="463" t="s">
        <v>52</v>
      </c>
      <c r="Z84" s="463"/>
      <c r="AA84" s="463"/>
      <c r="AB84" s="463"/>
      <c r="AC84" s="463"/>
      <c r="AD84" s="464"/>
      <c r="AF84" s="53"/>
    </row>
    <row r="85" spans="1:32" ht="30.75" customHeight="1">
      <c r="A85" s="449">
        <v>1</v>
      </c>
      <c r="B85" s="450"/>
      <c r="C85" s="465">
        <v>1</v>
      </c>
      <c r="D85" s="465"/>
      <c r="E85" s="465" t="s">
        <v>149</v>
      </c>
      <c r="F85" s="465"/>
      <c r="G85" s="465"/>
      <c r="H85" s="465"/>
      <c r="I85" s="465"/>
      <c r="J85" s="465"/>
      <c r="K85" s="465" t="s">
        <v>150</v>
      </c>
      <c r="L85" s="465"/>
      <c r="M85" s="465"/>
      <c r="N85" s="465"/>
      <c r="O85" s="465"/>
      <c r="P85" s="465"/>
      <c r="Q85" s="465"/>
      <c r="R85" s="465"/>
      <c r="S85" s="465"/>
      <c r="T85" s="465" t="s">
        <v>151</v>
      </c>
      <c r="U85" s="465"/>
      <c r="V85" s="466">
        <v>1500000</v>
      </c>
      <c r="W85" s="466"/>
      <c r="X85" s="466"/>
      <c r="Y85" s="467" t="s">
        <v>152</v>
      </c>
      <c r="Z85" s="467"/>
      <c r="AA85" s="467"/>
      <c r="AB85" s="467"/>
      <c r="AC85" s="467"/>
      <c r="AD85" s="468"/>
      <c r="AF85" s="53"/>
    </row>
    <row r="86" spans="1:32" ht="30.75" customHeight="1">
      <c r="A86" s="441">
        <v>2</v>
      </c>
      <c r="B86" s="442"/>
      <c r="C86" s="476"/>
      <c r="D86" s="476"/>
      <c r="E86" s="476"/>
      <c r="F86" s="476"/>
      <c r="G86" s="476"/>
      <c r="H86" s="476"/>
      <c r="I86" s="476"/>
      <c r="J86" s="476"/>
      <c r="K86" s="476"/>
      <c r="L86" s="476"/>
      <c r="M86" s="476"/>
      <c r="N86" s="476"/>
      <c r="O86" s="476"/>
      <c r="P86" s="476"/>
      <c r="Q86" s="476"/>
      <c r="R86" s="476"/>
      <c r="S86" s="476"/>
      <c r="T86" s="477"/>
      <c r="U86" s="477"/>
      <c r="V86" s="478"/>
      <c r="W86" s="478"/>
      <c r="X86" s="478"/>
      <c r="Y86" s="469"/>
      <c r="Z86" s="469"/>
      <c r="AA86" s="469"/>
      <c r="AB86" s="469"/>
      <c r="AC86" s="469"/>
      <c r="AD86" s="470"/>
      <c r="AF86" s="53"/>
    </row>
    <row r="87" spans="1:32" ht="30.75" customHeight="1" thickBot="1">
      <c r="A87" s="471">
        <v>3</v>
      </c>
      <c r="B87" s="472"/>
      <c r="C87" s="473"/>
      <c r="D87" s="473"/>
      <c r="E87" s="473"/>
      <c r="F87" s="473"/>
      <c r="G87" s="473"/>
      <c r="H87" s="473"/>
      <c r="I87" s="473"/>
      <c r="J87" s="473"/>
      <c r="K87" s="473"/>
      <c r="L87" s="473"/>
      <c r="M87" s="473"/>
      <c r="N87" s="473"/>
      <c r="O87" s="473"/>
      <c r="P87" s="473"/>
      <c r="Q87" s="473"/>
      <c r="R87" s="473"/>
      <c r="S87" s="473"/>
      <c r="T87" s="473"/>
      <c r="U87" s="473"/>
      <c r="V87" s="473"/>
      <c r="W87" s="473"/>
      <c r="X87" s="473"/>
      <c r="Y87" s="474"/>
      <c r="Z87" s="474"/>
      <c r="AA87" s="474"/>
      <c r="AB87" s="474"/>
      <c r="AC87" s="474"/>
      <c r="AD87" s="475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K79" sqref="K79:S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68" t="s">
        <v>1072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6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343" t="s">
        <v>17</v>
      </c>
      <c r="L5" s="343" t="s">
        <v>18</v>
      </c>
      <c r="M5" s="343" t="s">
        <v>19</v>
      </c>
      <c r="N5" s="34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6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0.3885386759341008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833</v>
      </c>
      <c r="F7" s="12" t="s">
        <v>168</v>
      </c>
      <c r="G7" s="36">
        <v>1</v>
      </c>
      <c r="H7" s="38">
        <v>25</v>
      </c>
      <c r="I7" s="7">
        <v>12000</v>
      </c>
      <c r="J7" s="14">
        <v>4740</v>
      </c>
      <c r="K7" s="15">
        <f>L7+3325+5269+4135+4735</f>
        <v>17464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0.3885386759341008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120</v>
      </c>
      <c r="D8" s="55" t="s">
        <v>167</v>
      </c>
      <c r="E8" s="57" t="s">
        <v>880</v>
      </c>
      <c r="F8" s="12" t="s">
        <v>168</v>
      </c>
      <c r="G8" s="36">
        <v>1</v>
      </c>
      <c r="H8" s="38">
        <v>25</v>
      </c>
      <c r="I8" s="7">
        <v>6000</v>
      </c>
      <c r="J8" s="14">
        <v>5400</v>
      </c>
      <c r="K8" s="15">
        <f>L8+3182+4438+5374+5210+5298</f>
        <v>28899</v>
      </c>
      <c r="L8" s="15">
        <f>3010+2387</f>
        <v>5397</v>
      </c>
      <c r="M8" s="16">
        <f t="shared" si="0"/>
        <v>5397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0.99944444444444447</v>
      </c>
      <c r="AC8" s="9">
        <f t="shared" si="5"/>
        <v>1</v>
      </c>
      <c r="AD8" s="10">
        <f t="shared" si="6"/>
        <v>0.99944444444444447</v>
      </c>
      <c r="AE8" s="39">
        <f t="shared" si="7"/>
        <v>0.3885386759341008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186</v>
      </c>
      <c r="D9" s="55" t="s">
        <v>135</v>
      </c>
      <c r="E9" s="57" t="s">
        <v>998</v>
      </c>
      <c r="F9" s="12" t="s">
        <v>999</v>
      </c>
      <c r="G9" s="12">
        <v>1</v>
      </c>
      <c r="H9" s="13">
        <v>25</v>
      </c>
      <c r="I9" s="34">
        <v>12000</v>
      </c>
      <c r="J9" s="5">
        <v>4510</v>
      </c>
      <c r="K9" s="15">
        <f>L9+464+820+3027</f>
        <v>8819</v>
      </c>
      <c r="L9" s="15">
        <f>3737+771</f>
        <v>4508</v>
      </c>
      <c r="M9" s="16">
        <f t="shared" si="0"/>
        <v>4508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>
        <v>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0.99955654101995561</v>
      </c>
      <c r="AC9" s="9">
        <f t="shared" si="5"/>
        <v>0.91666666666666663</v>
      </c>
      <c r="AD9" s="10">
        <f t="shared" si="6"/>
        <v>0.9162601626016259</v>
      </c>
      <c r="AE9" s="39">
        <f t="shared" si="7"/>
        <v>0.3885386759341008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1018</v>
      </c>
      <c r="D10" s="55" t="s">
        <v>1019</v>
      </c>
      <c r="E10" s="57" t="s">
        <v>1035</v>
      </c>
      <c r="F10" s="12" t="s">
        <v>999</v>
      </c>
      <c r="G10" s="12">
        <v>2</v>
      </c>
      <c r="H10" s="13">
        <v>25</v>
      </c>
      <c r="I10" s="34">
        <v>1000</v>
      </c>
      <c r="J10" s="14">
        <v>3094</v>
      </c>
      <c r="K10" s="15">
        <f>L10+3094</f>
        <v>3094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0.3885386759341008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119</v>
      </c>
      <c r="D11" s="55" t="s">
        <v>122</v>
      </c>
      <c r="E11" s="57" t="s">
        <v>911</v>
      </c>
      <c r="F11" s="12" t="s">
        <v>325</v>
      </c>
      <c r="G11" s="12">
        <v>1</v>
      </c>
      <c r="H11" s="13">
        <v>25</v>
      </c>
      <c r="I11" s="34">
        <v>6000</v>
      </c>
      <c r="J11" s="14">
        <v>4400</v>
      </c>
      <c r="K11" s="15">
        <f>L11+2308+4605+4724+4396</f>
        <v>16033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0.3885386759341008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16000</v>
      </c>
      <c r="J12" s="14">
        <v>4880</v>
      </c>
      <c r="K12" s="15">
        <f>L12+2679+3513+4059+4770</f>
        <v>19898</v>
      </c>
      <c r="L12" s="15">
        <f>2715+2162</f>
        <v>4877</v>
      </c>
      <c r="M12" s="16">
        <f t="shared" si="0"/>
        <v>4877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0.99938524590163935</v>
      </c>
      <c r="AC12" s="9">
        <f t="shared" si="5"/>
        <v>1</v>
      </c>
      <c r="AD12" s="10">
        <f t="shared" si="6"/>
        <v>0.99938524590163935</v>
      </c>
      <c r="AE12" s="39">
        <f t="shared" si="7"/>
        <v>0.3885386759341008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629</v>
      </c>
      <c r="D13" s="55" t="s">
        <v>1021</v>
      </c>
      <c r="E13" s="57" t="s">
        <v>1073</v>
      </c>
      <c r="F13" s="12" t="s">
        <v>1074</v>
      </c>
      <c r="G13" s="12">
        <v>1</v>
      </c>
      <c r="H13" s="13">
        <v>35</v>
      </c>
      <c r="I13" s="7">
        <v>1000</v>
      </c>
      <c r="J13" s="14">
        <v>1201</v>
      </c>
      <c r="K13" s="15">
        <f>L13</f>
        <v>1201</v>
      </c>
      <c r="L13" s="15">
        <v>1201</v>
      </c>
      <c r="M13" s="16">
        <f t="shared" si="0"/>
        <v>1201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/>
      <c r="T13" s="17"/>
      <c r="U13" s="17"/>
      <c r="V13" s="18"/>
      <c r="W13" s="19">
        <v>12</v>
      </c>
      <c r="X13" s="17"/>
      <c r="Y13" s="20"/>
      <c r="Z13" s="20"/>
      <c r="AA13" s="21"/>
      <c r="AB13" s="8">
        <f t="shared" si="4"/>
        <v>1</v>
      </c>
      <c r="AC13" s="9">
        <f t="shared" si="5"/>
        <v>0.5</v>
      </c>
      <c r="AD13" s="10">
        <f t="shared" si="6"/>
        <v>0.5</v>
      </c>
      <c r="AE13" s="39">
        <f t="shared" si="7"/>
        <v>0.3885386759341008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119</v>
      </c>
      <c r="D14" s="55" t="s">
        <v>624</v>
      </c>
      <c r="E14" s="57" t="s">
        <v>1037</v>
      </c>
      <c r="F14" s="33" t="s">
        <v>1038</v>
      </c>
      <c r="G14" s="36">
        <v>1</v>
      </c>
      <c r="H14" s="38">
        <v>40</v>
      </c>
      <c r="I14" s="7">
        <v>400</v>
      </c>
      <c r="J14" s="5">
        <v>420</v>
      </c>
      <c r="K14" s="15">
        <f>L14+420</f>
        <v>420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0.3885386759341008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460</v>
      </c>
      <c r="D15" s="55" t="s">
        <v>930</v>
      </c>
      <c r="E15" s="57" t="s">
        <v>931</v>
      </c>
      <c r="F15" s="12" t="s">
        <v>932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0.3885386759341008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186</v>
      </c>
      <c r="D16" s="55" t="s">
        <v>134</v>
      </c>
      <c r="E16" s="56" t="s">
        <v>233</v>
      </c>
      <c r="F16" s="12">
        <v>7301</v>
      </c>
      <c r="G16" s="36">
        <v>1</v>
      </c>
      <c r="H16" s="38">
        <v>25</v>
      </c>
      <c r="I16" s="7">
        <v>26000</v>
      </c>
      <c r="J16" s="14">
        <v>3590</v>
      </c>
      <c r="K16" s="15">
        <f>L16+3017+5739</f>
        <v>12341</v>
      </c>
      <c r="L16" s="15">
        <f>3234+351</f>
        <v>3585</v>
      </c>
      <c r="M16" s="16">
        <f t="shared" si="0"/>
        <v>3585</v>
      </c>
      <c r="N16" s="16">
        <v>0</v>
      </c>
      <c r="O16" s="62">
        <f t="shared" si="1"/>
        <v>0</v>
      </c>
      <c r="P16" s="42">
        <f t="shared" si="2"/>
        <v>15</v>
      </c>
      <c r="Q16" s="43">
        <f t="shared" si="3"/>
        <v>9</v>
      </c>
      <c r="R16" s="7"/>
      <c r="S16" s="6">
        <v>9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0.99860724233983289</v>
      </c>
      <c r="AC16" s="9">
        <f t="shared" si="5"/>
        <v>0.625</v>
      </c>
      <c r="AD16" s="10">
        <f t="shared" si="6"/>
        <v>0.62412952646239561</v>
      </c>
      <c r="AE16" s="39">
        <f t="shared" si="7"/>
        <v>0.3885386759341008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629</v>
      </c>
      <c r="D17" s="55" t="s">
        <v>1026</v>
      </c>
      <c r="E17" s="56" t="s">
        <v>1039</v>
      </c>
      <c r="F17" s="12" t="s">
        <v>1040</v>
      </c>
      <c r="G17" s="12">
        <v>1</v>
      </c>
      <c r="H17" s="13">
        <v>25</v>
      </c>
      <c r="I17" s="34">
        <v>1000</v>
      </c>
      <c r="J17" s="5">
        <v>876</v>
      </c>
      <c r="K17" s="15">
        <f>L17+1215</f>
        <v>2091</v>
      </c>
      <c r="L17" s="15">
        <v>876</v>
      </c>
      <c r="M17" s="16">
        <f t="shared" si="0"/>
        <v>876</v>
      </c>
      <c r="N17" s="16">
        <v>0</v>
      </c>
      <c r="O17" s="62">
        <f t="shared" si="1"/>
        <v>0</v>
      </c>
      <c r="P17" s="42">
        <f t="shared" si="2"/>
        <v>8</v>
      </c>
      <c r="Q17" s="43">
        <f t="shared" si="3"/>
        <v>16</v>
      </c>
      <c r="R17" s="7"/>
      <c r="S17" s="6"/>
      <c r="T17" s="17"/>
      <c r="U17" s="17"/>
      <c r="V17" s="18"/>
      <c r="W17" s="19">
        <v>16</v>
      </c>
      <c r="X17" s="17"/>
      <c r="Y17" s="20"/>
      <c r="Z17" s="20"/>
      <c r="AA17" s="21"/>
      <c r="AB17" s="8">
        <f t="shared" si="4"/>
        <v>1</v>
      </c>
      <c r="AC17" s="9">
        <f t="shared" si="5"/>
        <v>0.33333333333333331</v>
      </c>
      <c r="AD17" s="10">
        <f t="shared" si="6"/>
        <v>0.33333333333333331</v>
      </c>
      <c r="AE17" s="39">
        <f t="shared" si="7"/>
        <v>0.3885386759341008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132</v>
      </c>
      <c r="D18" s="55" t="s">
        <v>1075</v>
      </c>
      <c r="E18" s="57" t="s">
        <v>1076</v>
      </c>
      <c r="F18" s="33" t="s">
        <v>252</v>
      </c>
      <c r="G18" s="12">
        <v>1</v>
      </c>
      <c r="H18" s="13">
        <v>25</v>
      </c>
      <c r="I18" s="34">
        <v>3800</v>
      </c>
      <c r="J18" s="5">
        <v>2530</v>
      </c>
      <c r="K18" s="15">
        <f>L18</f>
        <v>2523</v>
      </c>
      <c r="L18" s="15">
        <v>2523</v>
      </c>
      <c r="M18" s="16">
        <f t="shared" si="0"/>
        <v>2523</v>
      </c>
      <c r="N18" s="16">
        <v>0</v>
      </c>
      <c r="O18" s="62">
        <f t="shared" si="1"/>
        <v>0</v>
      </c>
      <c r="P18" s="42">
        <f t="shared" si="2"/>
        <v>15</v>
      </c>
      <c r="Q18" s="43">
        <f t="shared" si="3"/>
        <v>9</v>
      </c>
      <c r="R18" s="7"/>
      <c r="S18" s="6">
        <v>9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0.99723320158102768</v>
      </c>
      <c r="AC18" s="9">
        <f t="shared" si="5"/>
        <v>0.625</v>
      </c>
      <c r="AD18" s="10">
        <f t="shared" si="6"/>
        <v>0.62327075098814233</v>
      </c>
      <c r="AE18" s="39">
        <f t="shared" si="7"/>
        <v>0.3885386759341008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58</v>
      </c>
      <c r="E19" s="57" t="s">
        <v>1000</v>
      </c>
      <c r="F19" s="33" t="s">
        <v>252</v>
      </c>
      <c r="G19" s="36">
        <v>1</v>
      </c>
      <c r="H19" s="38">
        <v>25</v>
      </c>
      <c r="I19" s="7">
        <v>31000</v>
      </c>
      <c r="J19" s="5">
        <v>3870</v>
      </c>
      <c r="K19" s="15">
        <f>L19+4633+5456</f>
        <v>13954</v>
      </c>
      <c r="L19" s="15">
        <f>2883+982</f>
        <v>3865</v>
      </c>
      <c r="M19" s="16">
        <f t="shared" si="0"/>
        <v>3865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0.99870801033591727</v>
      </c>
      <c r="AC19" s="9">
        <f t="shared" si="5"/>
        <v>0.83333333333333337</v>
      </c>
      <c r="AD19" s="10">
        <f t="shared" si="6"/>
        <v>0.83225667527993108</v>
      </c>
      <c r="AE19" s="39">
        <f t="shared" si="7"/>
        <v>0.3885386759341008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767</v>
      </c>
      <c r="F20" s="12" t="s">
        <v>118</v>
      </c>
      <c r="G20" s="12">
        <v>4</v>
      </c>
      <c r="H20" s="38">
        <v>20</v>
      </c>
      <c r="I20" s="7">
        <v>200000</v>
      </c>
      <c r="J20" s="14">
        <v>9070</v>
      </c>
      <c r="K20" s="15">
        <f>L20+40652+62320+60260+9068</f>
        <v>172300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0.3885386759341008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319200</v>
      </c>
      <c r="J21" s="22">
        <f t="shared" si="10"/>
        <v>51311</v>
      </c>
      <c r="K21" s="23">
        <f t="shared" si="10"/>
        <v>301755</v>
      </c>
      <c r="L21" s="24">
        <f t="shared" si="10"/>
        <v>26832</v>
      </c>
      <c r="M21" s="23">
        <f t="shared" si="10"/>
        <v>26832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140</v>
      </c>
      <c r="Q21" s="46">
        <f t="shared" si="11"/>
        <v>220</v>
      </c>
      <c r="R21" s="26">
        <f t="shared" si="11"/>
        <v>24</v>
      </c>
      <c r="S21" s="27">
        <f t="shared" si="11"/>
        <v>48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148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0.53286231237485449</v>
      </c>
      <c r="AC21" s="4">
        <f>SUM(AC6:AC20)/15</f>
        <v>0.38888888888888878</v>
      </c>
      <c r="AD21" s="4">
        <f>SUM(AD6:AD20)/15</f>
        <v>0.3885386759341008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1077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1083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344" t="s">
        <v>47</v>
      </c>
      <c r="D50" s="344" t="s">
        <v>48</v>
      </c>
      <c r="E50" s="344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344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1043</v>
      </c>
      <c r="B51" s="410"/>
      <c r="C51" s="346" t="s">
        <v>205</v>
      </c>
      <c r="D51" s="346" t="s">
        <v>58</v>
      </c>
      <c r="E51" s="349" t="s">
        <v>1078</v>
      </c>
      <c r="F51" s="411" t="s">
        <v>1016</v>
      </c>
      <c r="G51" s="411"/>
      <c r="H51" s="411"/>
      <c r="I51" s="411"/>
      <c r="J51" s="411"/>
      <c r="K51" s="411"/>
      <c r="L51" s="411"/>
      <c r="M51" s="412"/>
      <c r="N51" s="345" t="s">
        <v>120</v>
      </c>
      <c r="O51" s="74" t="s">
        <v>187</v>
      </c>
      <c r="P51" s="410" t="s">
        <v>1084</v>
      </c>
      <c r="Q51" s="410"/>
      <c r="R51" s="410" t="s">
        <v>1085</v>
      </c>
      <c r="S51" s="410"/>
      <c r="T51" s="410"/>
      <c r="U51" s="410"/>
      <c r="V51" s="411" t="s">
        <v>1056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1079</v>
      </c>
      <c r="B52" s="410"/>
      <c r="C52" s="346" t="s">
        <v>1006</v>
      </c>
      <c r="D52" s="346" t="s">
        <v>1075</v>
      </c>
      <c r="E52" s="349" t="s">
        <v>1008</v>
      </c>
      <c r="F52" s="411" t="s">
        <v>1080</v>
      </c>
      <c r="G52" s="411"/>
      <c r="H52" s="411"/>
      <c r="I52" s="411"/>
      <c r="J52" s="411"/>
      <c r="K52" s="411"/>
      <c r="L52" s="411"/>
      <c r="M52" s="412"/>
      <c r="N52" s="345" t="s">
        <v>120</v>
      </c>
      <c r="O52" s="74" t="s">
        <v>260</v>
      </c>
      <c r="P52" s="410" t="s">
        <v>1084</v>
      </c>
      <c r="Q52" s="410"/>
      <c r="R52" s="410" t="s">
        <v>1015</v>
      </c>
      <c r="S52" s="410"/>
      <c r="T52" s="410"/>
      <c r="U52" s="410"/>
      <c r="V52" s="411" t="s">
        <v>1086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1079</v>
      </c>
      <c r="B53" s="410"/>
      <c r="C53" s="346" t="s">
        <v>1010</v>
      </c>
      <c r="D53" s="346" t="s">
        <v>1075</v>
      </c>
      <c r="E53" s="349" t="s">
        <v>1076</v>
      </c>
      <c r="F53" s="411" t="s">
        <v>1081</v>
      </c>
      <c r="G53" s="411"/>
      <c r="H53" s="411"/>
      <c r="I53" s="411"/>
      <c r="J53" s="411"/>
      <c r="K53" s="411"/>
      <c r="L53" s="411"/>
      <c r="M53" s="412"/>
      <c r="N53" s="345" t="s">
        <v>132</v>
      </c>
      <c r="O53" s="74" t="s">
        <v>263</v>
      </c>
      <c r="P53" s="413" t="s">
        <v>1021</v>
      </c>
      <c r="Q53" s="414"/>
      <c r="R53" s="410" t="s">
        <v>1087</v>
      </c>
      <c r="S53" s="410"/>
      <c r="T53" s="410"/>
      <c r="U53" s="410"/>
      <c r="V53" s="411" t="s">
        <v>262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132</v>
      </c>
      <c r="B54" s="410"/>
      <c r="C54" s="346" t="s">
        <v>1082</v>
      </c>
      <c r="D54" s="346" t="s">
        <v>58</v>
      </c>
      <c r="E54" s="349" t="s">
        <v>1000</v>
      </c>
      <c r="F54" s="411" t="s">
        <v>1013</v>
      </c>
      <c r="G54" s="411"/>
      <c r="H54" s="411"/>
      <c r="I54" s="411"/>
      <c r="J54" s="411"/>
      <c r="K54" s="411"/>
      <c r="L54" s="411"/>
      <c r="M54" s="412"/>
      <c r="N54" s="345" t="s">
        <v>132</v>
      </c>
      <c r="O54" s="74" t="s">
        <v>205</v>
      </c>
      <c r="P54" s="413" t="s">
        <v>1088</v>
      </c>
      <c r="Q54" s="414"/>
      <c r="R54" s="410" t="s">
        <v>858</v>
      </c>
      <c r="S54" s="410"/>
      <c r="T54" s="410"/>
      <c r="U54" s="410"/>
      <c r="V54" s="411" t="s">
        <v>262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/>
      <c r="B55" s="410"/>
      <c r="C55" s="346"/>
      <c r="D55" s="346"/>
      <c r="E55" s="349"/>
      <c r="F55" s="411"/>
      <c r="G55" s="411"/>
      <c r="H55" s="411"/>
      <c r="I55" s="411"/>
      <c r="J55" s="411"/>
      <c r="K55" s="411"/>
      <c r="L55" s="411"/>
      <c r="M55" s="412"/>
      <c r="N55" s="345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/>
      <c r="B56" s="410"/>
      <c r="C56" s="346"/>
      <c r="D56" s="346"/>
      <c r="E56" s="349"/>
      <c r="F56" s="411"/>
      <c r="G56" s="411"/>
      <c r="H56" s="411"/>
      <c r="I56" s="411"/>
      <c r="J56" s="411"/>
      <c r="K56" s="411"/>
      <c r="L56" s="411"/>
      <c r="M56" s="412"/>
      <c r="N56" s="345"/>
      <c r="O56" s="74"/>
      <c r="P56" s="410"/>
      <c r="Q56" s="410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19"/>
      <c r="B57" s="420"/>
      <c r="C57" s="349"/>
      <c r="D57" s="346"/>
      <c r="E57" s="349"/>
      <c r="F57" s="411"/>
      <c r="G57" s="411"/>
      <c r="H57" s="411"/>
      <c r="I57" s="411"/>
      <c r="J57" s="411"/>
      <c r="K57" s="411"/>
      <c r="L57" s="411"/>
      <c r="M57" s="412"/>
      <c r="N57" s="345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349"/>
      <c r="D58" s="346"/>
      <c r="E58" s="349"/>
      <c r="F58" s="411"/>
      <c r="G58" s="411"/>
      <c r="H58" s="411"/>
      <c r="I58" s="411"/>
      <c r="J58" s="411"/>
      <c r="K58" s="411"/>
      <c r="L58" s="411"/>
      <c r="M58" s="412"/>
      <c r="N58" s="345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346"/>
      <c r="D59" s="346"/>
      <c r="E59" s="346"/>
      <c r="F59" s="411"/>
      <c r="G59" s="411"/>
      <c r="H59" s="411"/>
      <c r="I59" s="411"/>
      <c r="J59" s="411"/>
      <c r="K59" s="411"/>
      <c r="L59" s="411"/>
      <c r="M59" s="412"/>
      <c r="N59" s="345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348"/>
      <c r="D60" s="348"/>
      <c r="E60" s="348"/>
      <c r="F60" s="417"/>
      <c r="G60" s="417"/>
      <c r="H60" s="417"/>
      <c r="I60" s="417"/>
      <c r="J60" s="417"/>
      <c r="K60" s="417"/>
      <c r="L60" s="417"/>
      <c r="M60" s="418"/>
      <c r="N60" s="347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1089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350" t="s">
        <v>2</v>
      </c>
      <c r="D62" s="350" t="s">
        <v>38</v>
      </c>
      <c r="E62" s="350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350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460</v>
      </c>
      <c r="D63" s="353"/>
      <c r="E63" s="351" t="s">
        <v>1090</v>
      </c>
      <c r="F63" s="430" t="s">
        <v>1091</v>
      </c>
      <c r="G63" s="431"/>
      <c r="H63" s="431"/>
      <c r="I63" s="431"/>
      <c r="J63" s="431"/>
      <c r="K63" s="431" t="s">
        <v>1069</v>
      </c>
      <c r="L63" s="431"/>
      <c r="M63" s="54" t="s">
        <v>1092</v>
      </c>
      <c r="N63" s="431">
        <v>5</v>
      </c>
      <c r="O63" s="431"/>
      <c r="P63" s="432">
        <v>250</v>
      </c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 t="s">
        <v>1061</v>
      </c>
      <c r="D64" s="353"/>
      <c r="E64" s="351" t="s">
        <v>1026</v>
      </c>
      <c r="F64" s="430" t="s">
        <v>1062</v>
      </c>
      <c r="G64" s="431"/>
      <c r="H64" s="431"/>
      <c r="I64" s="431"/>
      <c r="J64" s="431"/>
      <c r="K64" s="431" t="s">
        <v>1063</v>
      </c>
      <c r="L64" s="431"/>
      <c r="M64" s="54" t="s">
        <v>1029</v>
      </c>
      <c r="N64" s="431">
        <v>10</v>
      </c>
      <c r="O64" s="431"/>
      <c r="P64" s="432">
        <v>150</v>
      </c>
      <c r="Q64" s="432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/>
      <c r="D65" s="353"/>
      <c r="E65" s="351"/>
      <c r="F65" s="430"/>
      <c r="G65" s="431"/>
      <c r="H65" s="431"/>
      <c r="I65" s="431"/>
      <c r="J65" s="431"/>
      <c r="K65" s="431"/>
      <c r="L65" s="431"/>
      <c r="M65" s="54"/>
      <c r="N65" s="431"/>
      <c r="O65" s="431"/>
      <c r="P65" s="432"/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/>
      <c r="D66" s="353"/>
      <c r="E66" s="351"/>
      <c r="F66" s="430"/>
      <c r="G66" s="431"/>
      <c r="H66" s="431"/>
      <c r="I66" s="431"/>
      <c r="J66" s="431"/>
      <c r="K66" s="431"/>
      <c r="L66" s="431"/>
      <c r="M66" s="54"/>
      <c r="N66" s="431"/>
      <c r="O66" s="431"/>
      <c r="P66" s="432"/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/>
      <c r="D67" s="353"/>
      <c r="E67" s="351"/>
      <c r="F67" s="430"/>
      <c r="G67" s="431"/>
      <c r="H67" s="431"/>
      <c r="I67" s="431"/>
      <c r="J67" s="431"/>
      <c r="K67" s="431"/>
      <c r="L67" s="431"/>
      <c r="M67" s="54"/>
      <c r="N67" s="431"/>
      <c r="O67" s="431"/>
      <c r="P67" s="432"/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353"/>
      <c r="E68" s="351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353"/>
      <c r="E69" s="351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353"/>
      <c r="E70" s="351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1093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352" t="s">
        <v>2</v>
      </c>
      <c r="D72" s="352" t="s">
        <v>38</v>
      </c>
      <c r="E72" s="352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354" t="s">
        <v>119</v>
      </c>
      <c r="D73" s="354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353" t="s">
        <v>119</v>
      </c>
      <c r="D74" s="353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353" t="s">
        <v>534</v>
      </c>
      <c r="D75" s="353"/>
      <c r="E75" s="35" t="s">
        <v>886</v>
      </c>
      <c r="F75" s="442" t="s">
        <v>887</v>
      </c>
      <c r="G75" s="442"/>
      <c r="H75" s="442"/>
      <c r="I75" s="442"/>
      <c r="J75" s="442"/>
      <c r="K75" s="443" t="s">
        <v>121</v>
      </c>
      <c r="L75" s="444"/>
      <c r="M75" s="444"/>
      <c r="N75" s="444"/>
      <c r="O75" s="444"/>
      <c r="P75" s="444"/>
      <c r="Q75" s="444"/>
      <c r="R75" s="444"/>
      <c r="S75" s="445"/>
      <c r="T75" s="446">
        <v>42937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353" t="s">
        <v>292</v>
      </c>
      <c r="D76" s="353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353"/>
      <c r="D77" s="353"/>
      <c r="E77" s="35"/>
      <c r="F77" s="442"/>
      <c r="G77" s="442"/>
      <c r="H77" s="442"/>
      <c r="I77" s="442"/>
      <c r="J77" s="442"/>
      <c r="K77" s="443"/>
      <c r="L77" s="444"/>
      <c r="M77" s="444"/>
      <c r="N77" s="444"/>
      <c r="O77" s="444"/>
      <c r="P77" s="444"/>
      <c r="Q77" s="444"/>
      <c r="R77" s="444"/>
      <c r="S77" s="445"/>
      <c r="T77" s="446"/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353"/>
      <c r="D78" s="353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353"/>
      <c r="D79" s="353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353"/>
      <c r="D80" s="353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353"/>
      <c r="D81" s="353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1094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/>
      <c r="D85" s="476"/>
      <c r="E85" s="476"/>
      <c r="F85" s="476"/>
      <c r="G85" s="476"/>
      <c r="H85" s="476"/>
      <c r="I85" s="476"/>
      <c r="J85" s="476"/>
      <c r="K85" s="476"/>
      <c r="L85" s="476"/>
      <c r="M85" s="476"/>
      <c r="N85" s="476"/>
      <c r="O85" s="476"/>
      <c r="P85" s="476"/>
      <c r="Q85" s="476"/>
      <c r="R85" s="476"/>
      <c r="S85" s="476"/>
      <c r="T85" s="477"/>
      <c r="U85" s="477"/>
      <c r="V85" s="478"/>
      <c r="W85" s="478"/>
      <c r="X85" s="478"/>
      <c r="Y85" s="469"/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abSelected="1" zoomScale="72" zoomScaleNormal="72" zoomScaleSheetLayoutView="70" workbookViewId="0">
      <selection activeCell="K79" sqref="K79:S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68" t="s">
        <v>1102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69"/>
      <c r="B3" s="369"/>
      <c r="C3" s="369"/>
      <c r="D3" s="369"/>
      <c r="E3" s="369"/>
      <c r="F3" s="369"/>
      <c r="G3" s="36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70" t="s">
        <v>0</v>
      </c>
      <c r="B4" s="372" t="s">
        <v>1</v>
      </c>
      <c r="C4" s="372" t="s">
        <v>2</v>
      </c>
      <c r="D4" s="375" t="s">
        <v>3</v>
      </c>
      <c r="E4" s="377" t="s">
        <v>4</v>
      </c>
      <c r="F4" s="375" t="s">
        <v>5</v>
      </c>
      <c r="G4" s="372" t="s">
        <v>6</v>
      </c>
      <c r="H4" s="378" t="s">
        <v>7</v>
      </c>
      <c r="I4" s="399" t="s">
        <v>8</v>
      </c>
      <c r="J4" s="400"/>
      <c r="K4" s="400"/>
      <c r="L4" s="400"/>
      <c r="M4" s="400"/>
      <c r="N4" s="400"/>
      <c r="O4" s="401"/>
      <c r="P4" s="402" t="s">
        <v>9</v>
      </c>
      <c r="Q4" s="403"/>
      <c r="R4" s="404" t="s">
        <v>10</v>
      </c>
      <c r="S4" s="404"/>
      <c r="T4" s="404"/>
      <c r="U4" s="404"/>
      <c r="V4" s="404"/>
      <c r="W4" s="405" t="s">
        <v>11</v>
      </c>
      <c r="X4" s="404"/>
      <c r="Y4" s="404"/>
      <c r="Z4" s="404"/>
      <c r="AA4" s="406"/>
      <c r="AB4" s="407" t="s">
        <v>12</v>
      </c>
      <c r="AC4" s="380" t="s">
        <v>13</v>
      </c>
      <c r="AD4" s="380" t="s">
        <v>14</v>
      </c>
      <c r="AE4" s="58"/>
    </row>
    <row r="5" spans="1:36" ht="51" customHeight="1" thickBot="1">
      <c r="A5" s="371"/>
      <c r="B5" s="373"/>
      <c r="C5" s="374"/>
      <c r="D5" s="376"/>
      <c r="E5" s="376"/>
      <c r="F5" s="376"/>
      <c r="G5" s="373"/>
      <c r="H5" s="379"/>
      <c r="I5" s="59" t="s">
        <v>15</v>
      </c>
      <c r="J5" s="60" t="s">
        <v>16</v>
      </c>
      <c r="K5" s="366" t="s">
        <v>17</v>
      </c>
      <c r="L5" s="366" t="s">
        <v>18</v>
      </c>
      <c r="M5" s="366" t="s">
        <v>19</v>
      </c>
      <c r="N5" s="36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08"/>
      <c r="AC5" s="381"/>
      <c r="AD5" s="381"/>
      <c r="AE5" s="58"/>
    </row>
    <row r="6" spans="1:36" ht="27" customHeight="1">
      <c r="A6" s="108">
        <v>1</v>
      </c>
      <c r="B6" s="11" t="s">
        <v>59</v>
      </c>
      <c r="C6" s="11" t="s">
        <v>140</v>
      </c>
      <c r="D6" s="55" t="s">
        <v>141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0.36351924083983317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120</v>
      </c>
      <c r="D7" s="55" t="s">
        <v>167</v>
      </c>
      <c r="E7" s="56" t="s">
        <v>833</v>
      </c>
      <c r="F7" s="12" t="s">
        <v>168</v>
      </c>
      <c r="G7" s="36">
        <v>1</v>
      </c>
      <c r="H7" s="38">
        <v>25</v>
      </c>
      <c r="I7" s="7">
        <v>12000</v>
      </c>
      <c r="J7" s="14">
        <v>4740</v>
      </c>
      <c r="K7" s="15">
        <f>L7+3325+5269+4135+4735</f>
        <v>17464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0.36351924083983317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120</v>
      </c>
      <c r="D8" s="55" t="s">
        <v>167</v>
      </c>
      <c r="E8" s="57" t="s">
        <v>880</v>
      </c>
      <c r="F8" s="12" t="s">
        <v>168</v>
      </c>
      <c r="G8" s="36">
        <v>1</v>
      </c>
      <c r="H8" s="38">
        <v>25</v>
      </c>
      <c r="I8" s="7">
        <v>6000</v>
      </c>
      <c r="J8" s="14">
        <v>4710</v>
      </c>
      <c r="K8" s="15">
        <f>L8+3182+4438+5374+5210+5298+5397</f>
        <v>33606</v>
      </c>
      <c r="L8" s="15">
        <f>2687+2020</f>
        <v>4707</v>
      </c>
      <c r="M8" s="16">
        <f t="shared" si="0"/>
        <v>4707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/>
      <c r="U8" s="17"/>
      <c r="V8" s="18">
        <v>1</v>
      </c>
      <c r="W8" s="19"/>
      <c r="X8" s="17"/>
      <c r="Y8" s="20"/>
      <c r="Z8" s="20"/>
      <c r="AA8" s="21"/>
      <c r="AB8" s="8">
        <f t="shared" si="4"/>
        <v>0.99936305732484076</v>
      </c>
      <c r="AC8" s="9">
        <f t="shared" si="5"/>
        <v>0.95833333333333337</v>
      </c>
      <c r="AD8" s="10">
        <f t="shared" si="6"/>
        <v>0.95772292993630581</v>
      </c>
      <c r="AE8" s="39">
        <f t="shared" si="7"/>
        <v>0.36351924083983317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186</v>
      </c>
      <c r="D9" s="55" t="s">
        <v>1095</v>
      </c>
      <c r="E9" s="57" t="s">
        <v>1096</v>
      </c>
      <c r="F9" s="12" t="s">
        <v>1097</v>
      </c>
      <c r="G9" s="12">
        <v>1</v>
      </c>
      <c r="H9" s="13">
        <v>25</v>
      </c>
      <c r="I9" s="34">
        <v>110</v>
      </c>
      <c r="J9" s="5">
        <v>110</v>
      </c>
      <c r="K9" s="15">
        <f>L9</f>
        <v>110</v>
      </c>
      <c r="L9" s="15">
        <v>110</v>
      </c>
      <c r="M9" s="16">
        <f t="shared" si="0"/>
        <v>110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>
        <v>20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0.36351924083983317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465</v>
      </c>
      <c r="D10" s="55" t="s">
        <v>376</v>
      </c>
      <c r="E10" s="57" t="s">
        <v>1017</v>
      </c>
      <c r="F10" s="12" t="s">
        <v>221</v>
      </c>
      <c r="G10" s="12">
        <v>2</v>
      </c>
      <c r="H10" s="13">
        <v>25</v>
      </c>
      <c r="I10" s="34">
        <v>1000</v>
      </c>
      <c r="J10" s="14">
        <v>3094</v>
      </c>
      <c r="K10" s="15">
        <f>L10+3094</f>
        <v>3094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0.36351924083983317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119</v>
      </c>
      <c r="D11" s="55" t="s">
        <v>122</v>
      </c>
      <c r="E11" s="57" t="s">
        <v>911</v>
      </c>
      <c r="F11" s="12" t="s">
        <v>325</v>
      </c>
      <c r="G11" s="12">
        <v>1</v>
      </c>
      <c r="H11" s="13">
        <v>25</v>
      </c>
      <c r="I11" s="34">
        <v>6000</v>
      </c>
      <c r="J11" s="14">
        <v>4400</v>
      </c>
      <c r="K11" s="15">
        <f>L11+2308+4605+4724+4396</f>
        <v>16033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0.36351924083983317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123</v>
      </c>
      <c r="E12" s="57" t="s">
        <v>139</v>
      </c>
      <c r="F12" s="12" t="s">
        <v>130</v>
      </c>
      <c r="G12" s="12">
        <v>1</v>
      </c>
      <c r="H12" s="13">
        <v>25</v>
      </c>
      <c r="I12" s="7">
        <v>16000</v>
      </c>
      <c r="J12" s="14">
        <v>2850</v>
      </c>
      <c r="K12" s="15">
        <f>L12+2679+3513+4059+4770+4877</f>
        <v>22746</v>
      </c>
      <c r="L12" s="15">
        <f>2461+387</f>
        <v>2848</v>
      </c>
      <c r="M12" s="16">
        <f t="shared" si="0"/>
        <v>2848</v>
      </c>
      <c r="N12" s="16">
        <v>0</v>
      </c>
      <c r="O12" s="62">
        <f t="shared" si="1"/>
        <v>0</v>
      </c>
      <c r="P12" s="42">
        <f t="shared" si="2"/>
        <v>18</v>
      </c>
      <c r="Q12" s="43">
        <f t="shared" si="3"/>
        <v>6</v>
      </c>
      <c r="R12" s="7"/>
      <c r="S12" s="6">
        <v>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0.99929824561403513</v>
      </c>
      <c r="AC12" s="9">
        <f t="shared" si="5"/>
        <v>0.75</v>
      </c>
      <c r="AD12" s="10">
        <f t="shared" si="6"/>
        <v>0.74947368421052629</v>
      </c>
      <c r="AE12" s="39">
        <f t="shared" si="7"/>
        <v>0.36351924083983317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186</v>
      </c>
      <c r="D13" s="55" t="s">
        <v>313</v>
      </c>
      <c r="E13" s="57" t="s">
        <v>1098</v>
      </c>
      <c r="F13" s="12" t="s">
        <v>1099</v>
      </c>
      <c r="G13" s="12">
        <v>1</v>
      </c>
      <c r="H13" s="13">
        <v>35</v>
      </c>
      <c r="I13" s="7">
        <v>10000</v>
      </c>
      <c r="J13" s="14">
        <v>2820</v>
      </c>
      <c r="K13" s="15">
        <f>L13</f>
        <v>2819</v>
      </c>
      <c r="L13" s="15">
        <f>2819</f>
        <v>2819</v>
      </c>
      <c r="M13" s="16">
        <f t="shared" si="0"/>
        <v>2819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>
        <v>10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0.99964539007092201</v>
      </c>
      <c r="AC13" s="9">
        <f t="shared" si="5"/>
        <v>0.58333333333333337</v>
      </c>
      <c r="AD13" s="10">
        <f t="shared" si="6"/>
        <v>0.58312647754137126</v>
      </c>
      <c r="AE13" s="39">
        <f t="shared" si="7"/>
        <v>0.36351924083983317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119</v>
      </c>
      <c r="D14" s="55" t="s">
        <v>158</v>
      </c>
      <c r="E14" s="57" t="s">
        <v>1100</v>
      </c>
      <c r="F14" s="33" t="s">
        <v>1101</v>
      </c>
      <c r="G14" s="36">
        <v>1</v>
      </c>
      <c r="H14" s="38">
        <v>40</v>
      </c>
      <c r="I14" s="7">
        <v>300</v>
      </c>
      <c r="J14" s="5">
        <v>420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0.36351924083983317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460</v>
      </c>
      <c r="D15" s="55" t="s">
        <v>520</v>
      </c>
      <c r="E15" s="57" t="s">
        <v>931</v>
      </c>
      <c r="F15" s="12" t="s">
        <v>522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0.36351924083983317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186</v>
      </c>
      <c r="D16" s="55" t="s">
        <v>134</v>
      </c>
      <c r="E16" s="56" t="s">
        <v>233</v>
      </c>
      <c r="F16" s="12">
        <v>7301</v>
      </c>
      <c r="G16" s="36">
        <v>1</v>
      </c>
      <c r="H16" s="38">
        <v>25</v>
      </c>
      <c r="I16" s="7">
        <v>26000</v>
      </c>
      <c r="J16" s="14">
        <v>4580</v>
      </c>
      <c r="K16" s="15">
        <f>L16+3017+5739+3585</f>
        <v>16918</v>
      </c>
      <c r="L16" s="15">
        <f>2414+2163</f>
        <v>4577</v>
      </c>
      <c r="M16" s="16">
        <f t="shared" si="0"/>
        <v>4577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0.99934497816593881</v>
      </c>
      <c r="AC16" s="9">
        <f t="shared" si="5"/>
        <v>1</v>
      </c>
      <c r="AD16" s="10">
        <f t="shared" si="6"/>
        <v>0.99934497816593881</v>
      </c>
      <c r="AE16" s="39">
        <f t="shared" si="7"/>
        <v>0.36351924083983317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465</v>
      </c>
      <c r="D17" s="55" t="s">
        <v>520</v>
      </c>
      <c r="E17" s="56" t="s">
        <v>1022</v>
      </c>
      <c r="F17" s="12" t="s">
        <v>295</v>
      </c>
      <c r="G17" s="12">
        <v>1</v>
      </c>
      <c r="H17" s="13">
        <v>25</v>
      </c>
      <c r="I17" s="34">
        <v>1000</v>
      </c>
      <c r="J17" s="5">
        <v>876</v>
      </c>
      <c r="K17" s="15">
        <f>L17+1215+876</f>
        <v>2091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0.36351924083983317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120</v>
      </c>
      <c r="D18" s="55" t="s">
        <v>571</v>
      </c>
      <c r="E18" s="57" t="s">
        <v>1076</v>
      </c>
      <c r="F18" s="33" t="s">
        <v>252</v>
      </c>
      <c r="G18" s="12">
        <v>1</v>
      </c>
      <c r="H18" s="13">
        <v>25</v>
      </c>
      <c r="I18" s="34">
        <v>3800</v>
      </c>
      <c r="J18" s="5">
        <v>5490</v>
      </c>
      <c r="K18" s="15">
        <f>L18+2523</f>
        <v>8004</v>
      </c>
      <c r="L18" s="15">
        <f>2988+2493</f>
        <v>5481</v>
      </c>
      <c r="M18" s="16">
        <f t="shared" si="0"/>
        <v>5481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0.99836065573770494</v>
      </c>
      <c r="AC18" s="9">
        <f t="shared" si="5"/>
        <v>1</v>
      </c>
      <c r="AD18" s="10">
        <f t="shared" si="6"/>
        <v>0.99836065573770494</v>
      </c>
      <c r="AE18" s="39">
        <f t="shared" si="7"/>
        <v>0.36351924083983317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120</v>
      </c>
      <c r="D19" s="55" t="s">
        <v>58</v>
      </c>
      <c r="E19" s="57" t="s">
        <v>217</v>
      </c>
      <c r="F19" s="33" t="s">
        <v>252</v>
      </c>
      <c r="G19" s="36">
        <v>1</v>
      </c>
      <c r="H19" s="38">
        <v>25</v>
      </c>
      <c r="I19" s="7">
        <v>31000</v>
      </c>
      <c r="J19" s="5">
        <v>4720</v>
      </c>
      <c r="K19" s="15">
        <f>L19+4633+5456+3865</f>
        <v>18665</v>
      </c>
      <c r="L19" s="15">
        <f>2660+2051</f>
        <v>4711</v>
      </c>
      <c r="M19" s="16">
        <f t="shared" si="0"/>
        <v>4711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0.99809322033898307</v>
      </c>
      <c r="AC19" s="9">
        <f t="shared" si="5"/>
        <v>1</v>
      </c>
      <c r="AD19" s="10">
        <f t="shared" si="6"/>
        <v>0.99809322033898307</v>
      </c>
      <c r="AE19" s="39">
        <f t="shared" si="7"/>
        <v>0.36351924083983317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117</v>
      </c>
      <c r="D20" s="55"/>
      <c r="E20" s="56" t="s">
        <v>767</v>
      </c>
      <c r="F20" s="12" t="s">
        <v>118</v>
      </c>
      <c r="G20" s="12">
        <v>4</v>
      </c>
      <c r="H20" s="38">
        <v>20</v>
      </c>
      <c r="I20" s="7">
        <v>200000</v>
      </c>
      <c r="J20" s="14">
        <v>9070</v>
      </c>
      <c r="K20" s="15">
        <f>L20+40652+62320+60260+9068</f>
        <v>172300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0.36351924083983317</v>
      </c>
      <c r="AF20" s="94">
        <f t="shared" si="8"/>
        <v>15</v>
      </c>
    </row>
    <row r="21" spans="1:32" ht="31.5" customHeight="1" thickBot="1">
      <c r="A21" s="382" t="s">
        <v>34</v>
      </c>
      <c r="B21" s="383"/>
      <c r="C21" s="383"/>
      <c r="D21" s="383"/>
      <c r="E21" s="383"/>
      <c r="F21" s="383"/>
      <c r="G21" s="383"/>
      <c r="H21" s="384"/>
      <c r="I21" s="25">
        <f t="shared" ref="I21:N21" si="10">SUM(I6:I20)</f>
        <v>316210</v>
      </c>
      <c r="J21" s="22">
        <f t="shared" si="10"/>
        <v>50610</v>
      </c>
      <c r="K21" s="23">
        <f t="shared" si="10"/>
        <v>316568</v>
      </c>
      <c r="L21" s="24">
        <f t="shared" si="10"/>
        <v>25253</v>
      </c>
      <c r="M21" s="23">
        <f t="shared" si="10"/>
        <v>25253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131</v>
      </c>
      <c r="Q21" s="46">
        <f t="shared" si="11"/>
        <v>229</v>
      </c>
      <c r="R21" s="26">
        <f t="shared" si="11"/>
        <v>24</v>
      </c>
      <c r="S21" s="27">
        <f t="shared" si="11"/>
        <v>84</v>
      </c>
      <c r="T21" s="27">
        <f t="shared" si="11"/>
        <v>0</v>
      </c>
      <c r="U21" s="27">
        <f t="shared" si="11"/>
        <v>0</v>
      </c>
      <c r="V21" s="28">
        <f t="shared" si="11"/>
        <v>1</v>
      </c>
      <c r="W21" s="29">
        <f t="shared" si="11"/>
        <v>120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0.46627370315016164</v>
      </c>
      <c r="AC21" s="4">
        <f>SUM(AC6:AC20)/15</f>
        <v>0.36388888888888893</v>
      </c>
      <c r="AD21" s="4">
        <f>SUM(AD6:AD20)/15</f>
        <v>0.36351924083983317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5" t="s">
        <v>46</v>
      </c>
      <c r="B48" s="385"/>
      <c r="C48" s="385"/>
      <c r="D48" s="385"/>
      <c r="E48" s="38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86" t="s">
        <v>1103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8"/>
      <c r="N49" s="389" t="s">
        <v>1119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1"/>
    </row>
    <row r="50" spans="1:32" ht="27" customHeight="1">
      <c r="A50" s="392" t="s">
        <v>2</v>
      </c>
      <c r="B50" s="393"/>
      <c r="C50" s="365" t="s">
        <v>47</v>
      </c>
      <c r="D50" s="365" t="s">
        <v>48</v>
      </c>
      <c r="E50" s="365" t="s">
        <v>111</v>
      </c>
      <c r="F50" s="393" t="s">
        <v>110</v>
      </c>
      <c r="G50" s="393"/>
      <c r="H50" s="393"/>
      <c r="I50" s="393"/>
      <c r="J50" s="393"/>
      <c r="K50" s="393"/>
      <c r="L50" s="393"/>
      <c r="M50" s="394"/>
      <c r="N50" s="73" t="s">
        <v>115</v>
      </c>
      <c r="O50" s="365" t="s">
        <v>47</v>
      </c>
      <c r="P50" s="395" t="s">
        <v>48</v>
      </c>
      <c r="Q50" s="396"/>
      <c r="R50" s="395" t="s">
        <v>39</v>
      </c>
      <c r="S50" s="397"/>
      <c r="T50" s="397"/>
      <c r="U50" s="396"/>
      <c r="V50" s="395" t="s">
        <v>49</v>
      </c>
      <c r="W50" s="397"/>
      <c r="X50" s="397"/>
      <c r="Y50" s="397"/>
      <c r="Z50" s="397"/>
      <c r="AA50" s="397"/>
      <c r="AB50" s="397"/>
      <c r="AC50" s="397"/>
      <c r="AD50" s="398"/>
    </row>
    <row r="51" spans="1:32" ht="27" customHeight="1">
      <c r="A51" s="409" t="s">
        <v>1105</v>
      </c>
      <c r="B51" s="410"/>
      <c r="C51" s="361" t="s">
        <v>196</v>
      </c>
      <c r="D51" s="361" t="s">
        <v>58</v>
      </c>
      <c r="E51" s="364" t="s">
        <v>1104</v>
      </c>
      <c r="F51" s="411" t="s">
        <v>1106</v>
      </c>
      <c r="G51" s="411"/>
      <c r="H51" s="411"/>
      <c r="I51" s="411"/>
      <c r="J51" s="411"/>
      <c r="K51" s="411"/>
      <c r="L51" s="411"/>
      <c r="M51" s="412"/>
      <c r="N51" s="360" t="s">
        <v>120</v>
      </c>
      <c r="O51" s="74" t="s">
        <v>187</v>
      </c>
      <c r="P51" s="410" t="s">
        <v>169</v>
      </c>
      <c r="Q51" s="410"/>
      <c r="R51" s="410" t="s">
        <v>1085</v>
      </c>
      <c r="S51" s="410"/>
      <c r="T51" s="410"/>
      <c r="U51" s="410"/>
      <c r="V51" s="411" t="s">
        <v>1056</v>
      </c>
      <c r="W51" s="411"/>
      <c r="X51" s="411"/>
      <c r="Y51" s="411"/>
      <c r="Z51" s="411"/>
      <c r="AA51" s="411"/>
      <c r="AB51" s="411"/>
      <c r="AC51" s="411"/>
      <c r="AD51" s="412"/>
    </row>
    <row r="52" spans="1:32" ht="27" customHeight="1">
      <c r="A52" s="409" t="s">
        <v>1107</v>
      </c>
      <c r="B52" s="410"/>
      <c r="C52" s="361" t="s">
        <v>269</v>
      </c>
      <c r="D52" s="361" t="s">
        <v>159</v>
      </c>
      <c r="E52" s="364" t="s">
        <v>204</v>
      </c>
      <c r="F52" s="411" t="s">
        <v>1108</v>
      </c>
      <c r="G52" s="411"/>
      <c r="H52" s="411"/>
      <c r="I52" s="411"/>
      <c r="J52" s="411"/>
      <c r="K52" s="411"/>
      <c r="L52" s="411"/>
      <c r="M52" s="412"/>
      <c r="N52" s="360" t="s">
        <v>120</v>
      </c>
      <c r="O52" s="74" t="s">
        <v>1113</v>
      </c>
      <c r="P52" s="413" t="s">
        <v>158</v>
      </c>
      <c r="Q52" s="414"/>
      <c r="R52" s="410" t="s">
        <v>1087</v>
      </c>
      <c r="S52" s="410"/>
      <c r="T52" s="410"/>
      <c r="U52" s="410"/>
      <c r="V52" s="411" t="s">
        <v>1114</v>
      </c>
      <c r="W52" s="411"/>
      <c r="X52" s="411"/>
      <c r="Y52" s="411"/>
      <c r="Z52" s="411"/>
      <c r="AA52" s="411"/>
      <c r="AB52" s="411"/>
      <c r="AC52" s="411"/>
      <c r="AD52" s="412"/>
    </row>
    <row r="53" spans="1:32" ht="27" customHeight="1">
      <c r="A53" s="409" t="s">
        <v>186</v>
      </c>
      <c r="B53" s="410"/>
      <c r="C53" s="361" t="s">
        <v>205</v>
      </c>
      <c r="D53" s="361" t="s">
        <v>1109</v>
      </c>
      <c r="E53" s="364" t="s">
        <v>470</v>
      </c>
      <c r="F53" s="411" t="s">
        <v>1110</v>
      </c>
      <c r="G53" s="411"/>
      <c r="H53" s="411"/>
      <c r="I53" s="411"/>
      <c r="J53" s="411"/>
      <c r="K53" s="411"/>
      <c r="L53" s="411"/>
      <c r="M53" s="412"/>
      <c r="N53" s="360" t="s">
        <v>1107</v>
      </c>
      <c r="O53" s="74" t="s">
        <v>154</v>
      </c>
      <c r="P53" s="413" t="s">
        <v>158</v>
      </c>
      <c r="Q53" s="414"/>
      <c r="R53" s="410" t="s">
        <v>1115</v>
      </c>
      <c r="S53" s="410"/>
      <c r="T53" s="410"/>
      <c r="U53" s="410"/>
      <c r="V53" s="411" t="s">
        <v>1114</v>
      </c>
      <c r="W53" s="411"/>
      <c r="X53" s="411"/>
      <c r="Y53" s="411"/>
      <c r="Z53" s="411"/>
      <c r="AA53" s="411"/>
      <c r="AB53" s="411"/>
      <c r="AC53" s="411"/>
      <c r="AD53" s="412"/>
    </row>
    <row r="54" spans="1:32" ht="27" customHeight="1">
      <c r="A54" s="409" t="s">
        <v>247</v>
      </c>
      <c r="B54" s="410"/>
      <c r="C54" s="361" t="s">
        <v>154</v>
      </c>
      <c r="D54" s="361" t="s">
        <v>1095</v>
      </c>
      <c r="E54" s="364" t="s">
        <v>1111</v>
      </c>
      <c r="F54" s="411" t="s">
        <v>1112</v>
      </c>
      <c r="G54" s="411"/>
      <c r="H54" s="411"/>
      <c r="I54" s="411"/>
      <c r="J54" s="411"/>
      <c r="K54" s="411"/>
      <c r="L54" s="411"/>
      <c r="M54" s="412"/>
      <c r="N54" s="360" t="s">
        <v>247</v>
      </c>
      <c r="O54" s="74" t="s">
        <v>1116</v>
      </c>
      <c r="P54" s="413" t="s">
        <v>1117</v>
      </c>
      <c r="Q54" s="414"/>
      <c r="R54" s="410" t="s">
        <v>1118</v>
      </c>
      <c r="S54" s="410"/>
      <c r="T54" s="410"/>
      <c r="U54" s="410"/>
      <c r="V54" s="411" t="s">
        <v>198</v>
      </c>
      <c r="W54" s="411"/>
      <c r="X54" s="411"/>
      <c r="Y54" s="411"/>
      <c r="Z54" s="411"/>
      <c r="AA54" s="411"/>
      <c r="AB54" s="411"/>
      <c r="AC54" s="411"/>
      <c r="AD54" s="412"/>
    </row>
    <row r="55" spans="1:32" ht="27" customHeight="1">
      <c r="A55" s="409"/>
      <c r="B55" s="410"/>
      <c r="C55" s="361"/>
      <c r="D55" s="361"/>
      <c r="E55" s="364"/>
      <c r="F55" s="411"/>
      <c r="G55" s="411"/>
      <c r="H55" s="411"/>
      <c r="I55" s="411"/>
      <c r="J55" s="411"/>
      <c r="K55" s="411"/>
      <c r="L55" s="411"/>
      <c r="M55" s="412"/>
      <c r="N55" s="360"/>
      <c r="O55" s="74"/>
      <c r="P55" s="413"/>
      <c r="Q55" s="414"/>
      <c r="R55" s="410"/>
      <c r="S55" s="410"/>
      <c r="T55" s="410"/>
      <c r="U55" s="410"/>
      <c r="V55" s="411"/>
      <c r="W55" s="411"/>
      <c r="X55" s="411"/>
      <c r="Y55" s="411"/>
      <c r="Z55" s="411"/>
      <c r="AA55" s="411"/>
      <c r="AB55" s="411"/>
      <c r="AC55" s="411"/>
      <c r="AD55" s="412"/>
    </row>
    <row r="56" spans="1:32" ht="27" customHeight="1">
      <c r="A56" s="409"/>
      <c r="B56" s="410"/>
      <c r="C56" s="361"/>
      <c r="D56" s="361"/>
      <c r="E56" s="364"/>
      <c r="F56" s="411"/>
      <c r="G56" s="411"/>
      <c r="H56" s="411"/>
      <c r="I56" s="411"/>
      <c r="J56" s="411"/>
      <c r="K56" s="411"/>
      <c r="L56" s="411"/>
      <c r="M56" s="412"/>
      <c r="N56" s="360"/>
      <c r="O56" s="74"/>
      <c r="P56" s="410"/>
      <c r="Q56" s="410"/>
      <c r="R56" s="410"/>
      <c r="S56" s="410"/>
      <c r="T56" s="410"/>
      <c r="U56" s="410"/>
      <c r="V56" s="411"/>
      <c r="W56" s="411"/>
      <c r="X56" s="411"/>
      <c r="Y56" s="411"/>
      <c r="Z56" s="411"/>
      <c r="AA56" s="411"/>
      <c r="AB56" s="411"/>
      <c r="AC56" s="411"/>
      <c r="AD56" s="412"/>
    </row>
    <row r="57" spans="1:32" ht="27" customHeight="1">
      <c r="A57" s="419"/>
      <c r="B57" s="420"/>
      <c r="C57" s="364"/>
      <c r="D57" s="361"/>
      <c r="E57" s="364"/>
      <c r="F57" s="411"/>
      <c r="G57" s="411"/>
      <c r="H57" s="411"/>
      <c r="I57" s="411"/>
      <c r="J57" s="411"/>
      <c r="K57" s="411"/>
      <c r="L57" s="411"/>
      <c r="M57" s="412"/>
      <c r="N57" s="360"/>
      <c r="O57" s="74"/>
      <c r="P57" s="413"/>
      <c r="Q57" s="414"/>
      <c r="R57" s="410"/>
      <c r="S57" s="410"/>
      <c r="T57" s="410"/>
      <c r="U57" s="410"/>
      <c r="V57" s="411"/>
      <c r="W57" s="411"/>
      <c r="X57" s="411"/>
      <c r="Y57" s="411"/>
      <c r="Z57" s="411"/>
      <c r="AA57" s="411"/>
      <c r="AB57" s="411"/>
      <c r="AC57" s="411"/>
      <c r="AD57" s="412"/>
    </row>
    <row r="58" spans="1:32" ht="27" customHeight="1">
      <c r="A58" s="419"/>
      <c r="B58" s="420"/>
      <c r="C58" s="364"/>
      <c r="D58" s="361"/>
      <c r="E58" s="364"/>
      <c r="F58" s="411"/>
      <c r="G58" s="411"/>
      <c r="H58" s="411"/>
      <c r="I58" s="411"/>
      <c r="J58" s="411"/>
      <c r="K58" s="411"/>
      <c r="L58" s="411"/>
      <c r="M58" s="412"/>
      <c r="N58" s="360"/>
      <c r="O58" s="74"/>
      <c r="P58" s="410"/>
      <c r="Q58" s="410"/>
      <c r="R58" s="410"/>
      <c r="S58" s="410"/>
      <c r="T58" s="410"/>
      <c r="U58" s="410"/>
      <c r="V58" s="411"/>
      <c r="W58" s="411"/>
      <c r="X58" s="411"/>
      <c r="Y58" s="411"/>
      <c r="Z58" s="411"/>
      <c r="AA58" s="411"/>
      <c r="AB58" s="411"/>
      <c r="AC58" s="411"/>
      <c r="AD58" s="412"/>
    </row>
    <row r="59" spans="1:32" ht="27" customHeight="1">
      <c r="A59" s="409"/>
      <c r="B59" s="410"/>
      <c r="C59" s="361"/>
      <c r="D59" s="361"/>
      <c r="E59" s="361"/>
      <c r="F59" s="411"/>
      <c r="G59" s="411"/>
      <c r="H59" s="411"/>
      <c r="I59" s="411"/>
      <c r="J59" s="411"/>
      <c r="K59" s="411"/>
      <c r="L59" s="411"/>
      <c r="M59" s="412"/>
      <c r="N59" s="360"/>
      <c r="O59" s="74"/>
      <c r="P59" s="410"/>
      <c r="Q59" s="410"/>
      <c r="R59" s="410"/>
      <c r="S59" s="410"/>
      <c r="T59" s="410"/>
      <c r="U59" s="410"/>
      <c r="V59" s="411"/>
      <c r="W59" s="411"/>
      <c r="X59" s="411"/>
      <c r="Y59" s="411"/>
      <c r="Z59" s="411"/>
      <c r="AA59" s="411"/>
      <c r="AB59" s="411"/>
      <c r="AC59" s="411"/>
      <c r="AD59" s="412"/>
      <c r="AF59" s="94">
        <f>8*3000</f>
        <v>24000</v>
      </c>
    </row>
    <row r="60" spans="1:32" ht="27" customHeight="1" thickBot="1">
      <c r="A60" s="415"/>
      <c r="B60" s="416"/>
      <c r="C60" s="363"/>
      <c r="D60" s="363"/>
      <c r="E60" s="363"/>
      <c r="F60" s="417"/>
      <c r="G60" s="417"/>
      <c r="H60" s="417"/>
      <c r="I60" s="417"/>
      <c r="J60" s="417"/>
      <c r="K60" s="417"/>
      <c r="L60" s="417"/>
      <c r="M60" s="418"/>
      <c r="N60" s="362"/>
      <c r="O60" s="121"/>
      <c r="P60" s="416"/>
      <c r="Q60" s="416"/>
      <c r="R60" s="416"/>
      <c r="S60" s="416"/>
      <c r="T60" s="416"/>
      <c r="U60" s="416"/>
      <c r="V60" s="417"/>
      <c r="W60" s="417"/>
      <c r="X60" s="417"/>
      <c r="Y60" s="417"/>
      <c r="Z60" s="417"/>
      <c r="AA60" s="417"/>
      <c r="AB60" s="417"/>
      <c r="AC60" s="417"/>
      <c r="AD60" s="418"/>
      <c r="AF60" s="94">
        <f>16*3000</f>
        <v>48000</v>
      </c>
    </row>
    <row r="61" spans="1:32" ht="27.75" thickBot="1">
      <c r="A61" s="421" t="s">
        <v>1120</v>
      </c>
      <c r="B61" s="421"/>
      <c r="C61" s="421"/>
      <c r="D61" s="421"/>
      <c r="E61" s="421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2" t="s">
        <v>116</v>
      </c>
      <c r="B62" s="423"/>
      <c r="C62" s="359" t="s">
        <v>2</v>
      </c>
      <c r="D62" s="359" t="s">
        <v>38</v>
      </c>
      <c r="E62" s="359" t="s">
        <v>3</v>
      </c>
      <c r="F62" s="423" t="s">
        <v>113</v>
      </c>
      <c r="G62" s="423"/>
      <c r="H62" s="423"/>
      <c r="I62" s="423"/>
      <c r="J62" s="423"/>
      <c r="K62" s="423" t="s">
        <v>40</v>
      </c>
      <c r="L62" s="423"/>
      <c r="M62" s="359" t="s">
        <v>41</v>
      </c>
      <c r="N62" s="423" t="s">
        <v>42</v>
      </c>
      <c r="O62" s="423"/>
      <c r="P62" s="424" t="s">
        <v>43</v>
      </c>
      <c r="Q62" s="425"/>
      <c r="R62" s="424" t="s">
        <v>44</v>
      </c>
      <c r="S62" s="426"/>
      <c r="T62" s="426"/>
      <c r="U62" s="426"/>
      <c r="V62" s="426"/>
      <c r="W62" s="426"/>
      <c r="X62" s="426"/>
      <c r="Y62" s="426"/>
      <c r="Z62" s="426"/>
      <c r="AA62" s="425"/>
      <c r="AB62" s="423" t="s">
        <v>45</v>
      </c>
      <c r="AC62" s="423"/>
      <c r="AD62" s="427"/>
      <c r="AF62" s="94">
        <f>SUM(AF59:AF61)</f>
        <v>96000</v>
      </c>
    </row>
    <row r="63" spans="1:32" ht="25.5" customHeight="1">
      <c r="A63" s="428">
        <v>1</v>
      </c>
      <c r="B63" s="429"/>
      <c r="C63" s="124" t="s">
        <v>1061</v>
      </c>
      <c r="D63" s="355"/>
      <c r="E63" s="357" t="s">
        <v>520</v>
      </c>
      <c r="F63" s="430" t="s">
        <v>1121</v>
      </c>
      <c r="G63" s="431"/>
      <c r="H63" s="431"/>
      <c r="I63" s="431"/>
      <c r="J63" s="431"/>
      <c r="K63" s="431" t="s">
        <v>522</v>
      </c>
      <c r="L63" s="431"/>
      <c r="M63" s="54" t="s">
        <v>288</v>
      </c>
      <c r="N63" s="431">
        <v>10</v>
      </c>
      <c r="O63" s="431"/>
      <c r="P63" s="432">
        <v>250</v>
      </c>
      <c r="Q63" s="432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31"/>
      <c r="AC63" s="431"/>
      <c r="AD63" s="433"/>
      <c r="AF63" s="53"/>
    </row>
    <row r="64" spans="1:32" ht="25.5" customHeight="1">
      <c r="A64" s="428">
        <v>2</v>
      </c>
      <c r="B64" s="429"/>
      <c r="C64" s="124" t="s">
        <v>487</v>
      </c>
      <c r="D64" s="355"/>
      <c r="E64" s="357" t="s">
        <v>1122</v>
      </c>
      <c r="F64" s="430" t="s">
        <v>609</v>
      </c>
      <c r="G64" s="431"/>
      <c r="H64" s="431"/>
      <c r="I64" s="431"/>
      <c r="J64" s="431"/>
      <c r="K64" s="431" t="s">
        <v>522</v>
      </c>
      <c r="L64" s="431"/>
      <c r="M64" s="54" t="s">
        <v>288</v>
      </c>
      <c r="N64" s="431">
        <v>10</v>
      </c>
      <c r="O64" s="431"/>
      <c r="P64" s="432"/>
      <c r="Q64" s="432"/>
      <c r="R64" s="411" t="s">
        <v>1123</v>
      </c>
      <c r="S64" s="411"/>
      <c r="T64" s="411"/>
      <c r="U64" s="411"/>
      <c r="V64" s="411"/>
      <c r="W64" s="411"/>
      <c r="X64" s="411"/>
      <c r="Y64" s="411"/>
      <c r="Z64" s="411"/>
      <c r="AA64" s="411"/>
      <c r="AB64" s="431"/>
      <c r="AC64" s="431"/>
      <c r="AD64" s="433"/>
      <c r="AF64" s="53"/>
    </row>
    <row r="65" spans="1:32" ht="25.5" customHeight="1">
      <c r="A65" s="428">
        <v>3</v>
      </c>
      <c r="B65" s="429"/>
      <c r="C65" s="124" t="s">
        <v>247</v>
      </c>
      <c r="D65" s="355"/>
      <c r="E65" s="357" t="s">
        <v>1095</v>
      </c>
      <c r="F65" s="430" t="s">
        <v>675</v>
      </c>
      <c r="G65" s="431"/>
      <c r="H65" s="431"/>
      <c r="I65" s="431"/>
      <c r="J65" s="431"/>
      <c r="K65" s="431" t="s">
        <v>1127</v>
      </c>
      <c r="L65" s="431"/>
      <c r="M65" s="54" t="s">
        <v>1130</v>
      </c>
      <c r="N65" s="431">
        <v>8</v>
      </c>
      <c r="O65" s="431"/>
      <c r="P65" s="432">
        <v>50</v>
      </c>
      <c r="Q65" s="432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31"/>
      <c r="AC65" s="431"/>
      <c r="AD65" s="433"/>
      <c r="AF65" s="53"/>
    </row>
    <row r="66" spans="1:32" ht="25.5" customHeight="1">
      <c r="A66" s="428">
        <v>4</v>
      </c>
      <c r="B66" s="429"/>
      <c r="C66" s="124" t="s">
        <v>247</v>
      </c>
      <c r="D66" s="355"/>
      <c r="E66" s="357" t="s">
        <v>1125</v>
      </c>
      <c r="F66" s="430" t="s">
        <v>655</v>
      </c>
      <c r="G66" s="431"/>
      <c r="H66" s="431"/>
      <c r="I66" s="431"/>
      <c r="J66" s="431"/>
      <c r="K66" s="431" t="s">
        <v>1128</v>
      </c>
      <c r="L66" s="431"/>
      <c r="M66" s="54" t="s">
        <v>1130</v>
      </c>
      <c r="N66" s="431">
        <v>8</v>
      </c>
      <c r="O66" s="431"/>
      <c r="P66" s="432">
        <v>50</v>
      </c>
      <c r="Q66" s="432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31"/>
      <c r="AC66" s="431"/>
      <c r="AD66" s="433"/>
      <c r="AF66" s="53"/>
    </row>
    <row r="67" spans="1:32" ht="25.5" customHeight="1">
      <c r="A67" s="428">
        <v>5</v>
      </c>
      <c r="B67" s="429"/>
      <c r="C67" s="124" t="s">
        <v>247</v>
      </c>
      <c r="D67" s="355"/>
      <c r="E67" s="357" t="s">
        <v>1126</v>
      </c>
      <c r="F67" s="430" t="s">
        <v>1124</v>
      </c>
      <c r="G67" s="431"/>
      <c r="H67" s="431"/>
      <c r="I67" s="431"/>
      <c r="J67" s="431"/>
      <c r="K67" s="431" t="s">
        <v>1129</v>
      </c>
      <c r="L67" s="431"/>
      <c r="M67" s="54" t="s">
        <v>1130</v>
      </c>
      <c r="N67" s="431">
        <v>6</v>
      </c>
      <c r="O67" s="431"/>
      <c r="P67" s="432">
        <v>50</v>
      </c>
      <c r="Q67" s="432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31"/>
      <c r="AC67" s="431"/>
      <c r="AD67" s="433"/>
      <c r="AF67" s="53"/>
    </row>
    <row r="68" spans="1:32" ht="25.5" customHeight="1">
      <c r="A68" s="428">
        <v>6</v>
      </c>
      <c r="B68" s="429"/>
      <c r="C68" s="124"/>
      <c r="D68" s="355"/>
      <c r="E68" s="357"/>
      <c r="F68" s="430"/>
      <c r="G68" s="431"/>
      <c r="H68" s="431"/>
      <c r="I68" s="431"/>
      <c r="J68" s="431"/>
      <c r="K68" s="431"/>
      <c r="L68" s="431"/>
      <c r="M68" s="54"/>
      <c r="N68" s="431"/>
      <c r="O68" s="431"/>
      <c r="P68" s="432"/>
      <c r="Q68" s="432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31"/>
      <c r="AC68" s="431"/>
      <c r="AD68" s="433"/>
      <c r="AF68" s="53"/>
    </row>
    <row r="69" spans="1:32" ht="25.5" customHeight="1">
      <c r="A69" s="428">
        <v>7</v>
      </c>
      <c r="B69" s="429"/>
      <c r="C69" s="124"/>
      <c r="D69" s="355"/>
      <c r="E69" s="357"/>
      <c r="F69" s="430"/>
      <c r="G69" s="431"/>
      <c r="H69" s="431"/>
      <c r="I69" s="431"/>
      <c r="J69" s="431"/>
      <c r="K69" s="431"/>
      <c r="L69" s="431"/>
      <c r="M69" s="54"/>
      <c r="N69" s="431"/>
      <c r="O69" s="431"/>
      <c r="P69" s="432"/>
      <c r="Q69" s="432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31"/>
      <c r="AC69" s="431"/>
      <c r="AD69" s="433"/>
      <c r="AF69" s="53"/>
    </row>
    <row r="70" spans="1:32" ht="25.5" customHeight="1">
      <c r="A70" s="428">
        <v>8</v>
      </c>
      <c r="B70" s="429"/>
      <c r="C70" s="124"/>
      <c r="D70" s="355"/>
      <c r="E70" s="357"/>
      <c r="F70" s="430"/>
      <c r="G70" s="431"/>
      <c r="H70" s="431"/>
      <c r="I70" s="431"/>
      <c r="J70" s="431"/>
      <c r="K70" s="431"/>
      <c r="L70" s="431"/>
      <c r="M70" s="54"/>
      <c r="N70" s="431"/>
      <c r="O70" s="431"/>
      <c r="P70" s="432"/>
      <c r="Q70" s="432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31"/>
      <c r="AC70" s="431"/>
      <c r="AD70" s="433"/>
      <c r="AF70" s="53"/>
    </row>
    <row r="71" spans="1:32" ht="26.25" customHeight="1" thickBot="1">
      <c r="A71" s="434" t="s">
        <v>1131</v>
      </c>
      <c r="B71" s="434"/>
      <c r="C71" s="434"/>
      <c r="D71" s="434"/>
      <c r="E71" s="434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35" t="s">
        <v>116</v>
      </c>
      <c r="B72" s="436"/>
      <c r="C72" s="358" t="s">
        <v>2</v>
      </c>
      <c r="D72" s="358" t="s">
        <v>38</v>
      </c>
      <c r="E72" s="358" t="s">
        <v>3</v>
      </c>
      <c r="F72" s="436" t="s">
        <v>39</v>
      </c>
      <c r="G72" s="436"/>
      <c r="H72" s="436"/>
      <c r="I72" s="436"/>
      <c r="J72" s="436"/>
      <c r="K72" s="437" t="s">
        <v>60</v>
      </c>
      <c r="L72" s="438"/>
      <c r="M72" s="438"/>
      <c r="N72" s="438"/>
      <c r="O72" s="438"/>
      <c r="P72" s="438"/>
      <c r="Q72" s="438"/>
      <c r="R72" s="438"/>
      <c r="S72" s="439"/>
      <c r="T72" s="436" t="s">
        <v>50</v>
      </c>
      <c r="U72" s="436"/>
      <c r="V72" s="437" t="s">
        <v>51</v>
      </c>
      <c r="W72" s="439"/>
      <c r="X72" s="438" t="s">
        <v>52</v>
      </c>
      <c r="Y72" s="438"/>
      <c r="Z72" s="438"/>
      <c r="AA72" s="438"/>
      <c r="AB72" s="438"/>
      <c r="AC72" s="438"/>
      <c r="AD72" s="440"/>
      <c r="AF72" s="53"/>
    </row>
    <row r="73" spans="1:32" ht="33.75" customHeight="1">
      <c r="A73" s="449">
        <v>1</v>
      </c>
      <c r="B73" s="450"/>
      <c r="C73" s="356" t="s">
        <v>119</v>
      </c>
      <c r="D73" s="356"/>
      <c r="E73" s="71" t="s">
        <v>127</v>
      </c>
      <c r="F73" s="451" t="s">
        <v>128</v>
      </c>
      <c r="G73" s="452"/>
      <c r="H73" s="452"/>
      <c r="I73" s="452"/>
      <c r="J73" s="453"/>
      <c r="K73" s="454" t="s">
        <v>121</v>
      </c>
      <c r="L73" s="455"/>
      <c r="M73" s="455"/>
      <c r="N73" s="455"/>
      <c r="O73" s="455"/>
      <c r="P73" s="455"/>
      <c r="Q73" s="455"/>
      <c r="R73" s="455"/>
      <c r="S73" s="456"/>
      <c r="T73" s="457">
        <v>42901</v>
      </c>
      <c r="U73" s="458"/>
      <c r="V73" s="459"/>
      <c r="W73" s="459"/>
      <c r="X73" s="460"/>
      <c r="Y73" s="460"/>
      <c r="Z73" s="460"/>
      <c r="AA73" s="460"/>
      <c r="AB73" s="460"/>
      <c r="AC73" s="460"/>
      <c r="AD73" s="461"/>
      <c r="AF73" s="53"/>
    </row>
    <row r="74" spans="1:32" ht="30" customHeight="1">
      <c r="A74" s="441">
        <f>A73+1</f>
        <v>2</v>
      </c>
      <c r="B74" s="442"/>
      <c r="C74" s="355" t="s">
        <v>119</v>
      </c>
      <c r="D74" s="355"/>
      <c r="E74" s="35" t="s">
        <v>124</v>
      </c>
      <c r="F74" s="442" t="s">
        <v>125</v>
      </c>
      <c r="G74" s="442"/>
      <c r="H74" s="442"/>
      <c r="I74" s="442"/>
      <c r="J74" s="442"/>
      <c r="K74" s="443" t="s">
        <v>126</v>
      </c>
      <c r="L74" s="444"/>
      <c r="M74" s="444"/>
      <c r="N74" s="444"/>
      <c r="O74" s="444"/>
      <c r="P74" s="444"/>
      <c r="Q74" s="444"/>
      <c r="R74" s="444"/>
      <c r="S74" s="445"/>
      <c r="T74" s="446">
        <v>42867</v>
      </c>
      <c r="U74" s="446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41">
        <f t="shared" ref="A75:A81" si="12">A74+1</f>
        <v>3</v>
      </c>
      <c r="B75" s="442"/>
      <c r="C75" s="355" t="s">
        <v>534</v>
      </c>
      <c r="D75" s="355"/>
      <c r="E75" s="35" t="s">
        <v>886</v>
      </c>
      <c r="F75" s="442" t="s">
        <v>887</v>
      </c>
      <c r="G75" s="442"/>
      <c r="H75" s="442"/>
      <c r="I75" s="442"/>
      <c r="J75" s="442"/>
      <c r="K75" s="443" t="s">
        <v>121</v>
      </c>
      <c r="L75" s="444"/>
      <c r="M75" s="444"/>
      <c r="N75" s="444"/>
      <c r="O75" s="444"/>
      <c r="P75" s="444"/>
      <c r="Q75" s="444"/>
      <c r="R75" s="444"/>
      <c r="S75" s="445"/>
      <c r="T75" s="446">
        <v>42937</v>
      </c>
      <c r="U75" s="446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41">
        <f t="shared" si="12"/>
        <v>4</v>
      </c>
      <c r="B76" s="442"/>
      <c r="C76" s="355" t="s">
        <v>186</v>
      </c>
      <c r="D76" s="355"/>
      <c r="E76" s="35" t="s">
        <v>293</v>
      </c>
      <c r="F76" s="442" t="s">
        <v>294</v>
      </c>
      <c r="G76" s="442"/>
      <c r="H76" s="442"/>
      <c r="I76" s="442"/>
      <c r="J76" s="442"/>
      <c r="K76" s="443" t="s">
        <v>331</v>
      </c>
      <c r="L76" s="444"/>
      <c r="M76" s="444"/>
      <c r="N76" s="444"/>
      <c r="O76" s="444"/>
      <c r="P76" s="444"/>
      <c r="Q76" s="444"/>
      <c r="R76" s="444"/>
      <c r="S76" s="445"/>
      <c r="T76" s="446">
        <v>42920</v>
      </c>
      <c r="U76" s="446"/>
      <c r="V76" s="446"/>
      <c r="W76" s="446"/>
      <c r="X76" s="447"/>
      <c r="Y76" s="447"/>
      <c r="Z76" s="447"/>
      <c r="AA76" s="447"/>
      <c r="AB76" s="447"/>
      <c r="AC76" s="447"/>
      <c r="AD76" s="448"/>
      <c r="AF76" s="53"/>
    </row>
    <row r="77" spans="1:32" ht="30" customHeight="1">
      <c r="A77" s="441">
        <f t="shared" si="12"/>
        <v>5</v>
      </c>
      <c r="B77" s="442"/>
      <c r="C77" s="355"/>
      <c r="D77" s="355"/>
      <c r="E77" s="35"/>
      <c r="F77" s="442"/>
      <c r="G77" s="442"/>
      <c r="H77" s="442"/>
      <c r="I77" s="442"/>
      <c r="J77" s="442"/>
      <c r="K77" s="443"/>
      <c r="L77" s="444"/>
      <c r="M77" s="444"/>
      <c r="N77" s="444"/>
      <c r="O77" s="444"/>
      <c r="P77" s="444"/>
      <c r="Q77" s="444"/>
      <c r="R77" s="444"/>
      <c r="S77" s="445"/>
      <c r="T77" s="446"/>
      <c r="U77" s="446"/>
      <c r="V77" s="446"/>
      <c r="W77" s="446"/>
      <c r="X77" s="447"/>
      <c r="Y77" s="447"/>
      <c r="Z77" s="447"/>
      <c r="AA77" s="447"/>
      <c r="AB77" s="447"/>
      <c r="AC77" s="447"/>
      <c r="AD77" s="448"/>
      <c r="AF77" s="53"/>
    </row>
    <row r="78" spans="1:32" ht="30" customHeight="1">
      <c r="A78" s="441">
        <f t="shared" si="12"/>
        <v>6</v>
      </c>
      <c r="B78" s="442"/>
      <c r="C78" s="355"/>
      <c r="D78" s="355"/>
      <c r="E78" s="35"/>
      <c r="F78" s="442"/>
      <c r="G78" s="442"/>
      <c r="H78" s="442"/>
      <c r="I78" s="442"/>
      <c r="J78" s="442"/>
      <c r="K78" s="443"/>
      <c r="L78" s="444"/>
      <c r="M78" s="444"/>
      <c r="N78" s="444"/>
      <c r="O78" s="444"/>
      <c r="P78" s="444"/>
      <c r="Q78" s="444"/>
      <c r="R78" s="444"/>
      <c r="S78" s="445"/>
      <c r="T78" s="446"/>
      <c r="U78" s="446"/>
      <c r="V78" s="446"/>
      <c r="W78" s="446"/>
      <c r="X78" s="447"/>
      <c r="Y78" s="447"/>
      <c r="Z78" s="447"/>
      <c r="AA78" s="447"/>
      <c r="AB78" s="447"/>
      <c r="AC78" s="447"/>
      <c r="AD78" s="448"/>
      <c r="AF78" s="53"/>
    </row>
    <row r="79" spans="1:32" ht="30" customHeight="1">
      <c r="A79" s="441">
        <f t="shared" si="12"/>
        <v>7</v>
      </c>
      <c r="B79" s="442"/>
      <c r="C79" s="355"/>
      <c r="D79" s="355"/>
      <c r="E79" s="35"/>
      <c r="F79" s="442"/>
      <c r="G79" s="442"/>
      <c r="H79" s="442"/>
      <c r="I79" s="442"/>
      <c r="J79" s="442"/>
      <c r="K79" s="443"/>
      <c r="L79" s="444"/>
      <c r="M79" s="444"/>
      <c r="N79" s="444"/>
      <c r="O79" s="444"/>
      <c r="P79" s="444"/>
      <c r="Q79" s="444"/>
      <c r="R79" s="444"/>
      <c r="S79" s="445"/>
      <c r="T79" s="446"/>
      <c r="U79" s="446"/>
      <c r="V79" s="446"/>
      <c r="W79" s="446"/>
      <c r="X79" s="447"/>
      <c r="Y79" s="447"/>
      <c r="Z79" s="447"/>
      <c r="AA79" s="447"/>
      <c r="AB79" s="447"/>
      <c r="AC79" s="447"/>
      <c r="AD79" s="448"/>
      <c r="AF79" s="53"/>
    </row>
    <row r="80" spans="1:32" ht="30" customHeight="1">
      <c r="A80" s="441">
        <f t="shared" si="12"/>
        <v>8</v>
      </c>
      <c r="B80" s="442"/>
      <c r="C80" s="355"/>
      <c r="D80" s="355"/>
      <c r="E80" s="35"/>
      <c r="F80" s="442"/>
      <c r="G80" s="442"/>
      <c r="H80" s="442"/>
      <c r="I80" s="442"/>
      <c r="J80" s="442"/>
      <c r="K80" s="443"/>
      <c r="L80" s="444"/>
      <c r="M80" s="444"/>
      <c r="N80" s="444"/>
      <c r="O80" s="444"/>
      <c r="P80" s="444"/>
      <c r="Q80" s="444"/>
      <c r="R80" s="444"/>
      <c r="S80" s="445"/>
      <c r="T80" s="446"/>
      <c r="U80" s="446"/>
      <c r="V80" s="446"/>
      <c r="W80" s="446"/>
      <c r="X80" s="447"/>
      <c r="Y80" s="447"/>
      <c r="Z80" s="447"/>
      <c r="AA80" s="447"/>
      <c r="AB80" s="447"/>
      <c r="AC80" s="447"/>
      <c r="AD80" s="448"/>
      <c r="AF80" s="53"/>
    </row>
    <row r="81" spans="1:32" ht="30" customHeight="1">
      <c r="A81" s="441">
        <f t="shared" si="12"/>
        <v>9</v>
      </c>
      <c r="B81" s="442"/>
      <c r="C81" s="355"/>
      <c r="D81" s="355"/>
      <c r="E81" s="35"/>
      <c r="F81" s="442"/>
      <c r="G81" s="442"/>
      <c r="H81" s="442"/>
      <c r="I81" s="442"/>
      <c r="J81" s="442"/>
      <c r="K81" s="443"/>
      <c r="L81" s="444"/>
      <c r="M81" s="444"/>
      <c r="N81" s="444"/>
      <c r="O81" s="444"/>
      <c r="P81" s="444"/>
      <c r="Q81" s="444"/>
      <c r="R81" s="444"/>
      <c r="S81" s="445"/>
      <c r="T81" s="446"/>
      <c r="U81" s="446"/>
      <c r="V81" s="446"/>
      <c r="W81" s="446"/>
      <c r="X81" s="447"/>
      <c r="Y81" s="447"/>
      <c r="Z81" s="447"/>
      <c r="AA81" s="447"/>
      <c r="AB81" s="447"/>
      <c r="AC81" s="447"/>
      <c r="AD81" s="448"/>
      <c r="AF81" s="53"/>
    </row>
    <row r="82" spans="1:32" ht="36" thickBot="1">
      <c r="A82" s="434" t="s">
        <v>1132</v>
      </c>
      <c r="B82" s="434"/>
      <c r="C82" s="434"/>
      <c r="D82" s="434"/>
      <c r="E82" s="434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2" t="s">
        <v>37</v>
      </c>
      <c r="B83" s="463"/>
      <c r="C83" s="463" t="s">
        <v>53</v>
      </c>
      <c r="D83" s="463"/>
      <c r="E83" s="463" t="s">
        <v>54</v>
      </c>
      <c r="F83" s="463"/>
      <c r="G83" s="463"/>
      <c r="H83" s="463"/>
      <c r="I83" s="463"/>
      <c r="J83" s="463"/>
      <c r="K83" s="463" t="s">
        <v>55</v>
      </c>
      <c r="L83" s="463"/>
      <c r="M83" s="463"/>
      <c r="N83" s="463"/>
      <c r="O83" s="463"/>
      <c r="P83" s="463"/>
      <c r="Q83" s="463"/>
      <c r="R83" s="463"/>
      <c r="S83" s="463"/>
      <c r="T83" s="463" t="s">
        <v>56</v>
      </c>
      <c r="U83" s="463"/>
      <c r="V83" s="463" t="s">
        <v>57</v>
      </c>
      <c r="W83" s="463"/>
      <c r="X83" s="463"/>
      <c r="Y83" s="463" t="s">
        <v>52</v>
      </c>
      <c r="Z83" s="463"/>
      <c r="AA83" s="463"/>
      <c r="AB83" s="463"/>
      <c r="AC83" s="463"/>
      <c r="AD83" s="464"/>
      <c r="AF83" s="53"/>
    </row>
    <row r="84" spans="1:32" ht="30.75" customHeight="1">
      <c r="A84" s="449">
        <v>1</v>
      </c>
      <c r="B84" s="450"/>
      <c r="C84" s="465">
        <v>1</v>
      </c>
      <c r="D84" s="465"/>
      <c r="E84" s="465" t="s">
        <v>149</v>
      </c>
      <c r="F84" s="465"/>
      <c r="G84" s="465"/>
      <c r="H84" s="465"/>
      <c r="I84" s="465"/>
      <c r="J84" s="465"/>
      <c r="K84" s="465" t="s">
        <v>150</v>
      </c>
      <c r="L84" s="465"/>
      <c r="M84" s="465"/>
      <c r="N84" s="465"/>
      <c r="O84" s="465"/>
      <c r="P84" s="465"/>
      <c r="Q84" s="465"/>
      <c r="R84" s="465"/>
      <c r="S84" s="465"/>
      <c r="T84" s="465" t="s">
        <v>151</v>
      </c>
      <c r="U84" s="465"/>
      <c r="V84" s="466">
        <v>1500000</v>
      </c>
      <c r="W84" s="466"/>
      <c r="X84" s="466"/>
      <c r="Y84" s="467" t="s">
        <v>152</v>
      </c>
      <c r="Z84" s="467"/>
      <c r="AA84" s="467"/>
      <c r="AB84" s="467"/>
      <c r="AC84" s="467"/>
      <c r="AD84" s="468"/>
      <c r="AF84" s="53"/>
    </row>
    <row r="85" spans="1:32" ht="30.75" customHeight="1">
      <c r="A85" s="441">
        <v>2</v>
      </c>
      <c r="B85" s="442"/>
      <c r="C85" s="476"/>
      <c r="D85" s="476"/>
      <c r="E85" s="476"/>
      <c r="F85" s="476"/>
      <c r="G85" s="476"/>
      <c r="H85" s="476"/>
      <c r="I85" s="476"/>
      <c r="J85" s="476"/>
      <c r="K85" s="476"/>
      <c r="L85" s="476"/>
      <c r="M85" s="476"/>
      <c r="N85" s="476"/>
      <c r="O85" s="476"/>
      <c r="P85" s="476"/>
      <c r="Q85" s="476"/>
      <c r="R85" s="476"/>
      <c r="S85" s="476"/>
      <c r="T85" s="477"/>
      <c r="U85" s="477"/>
      <c r="V85" s="478"/>
      <c r="W85" s="478"/>
      <c r="X85" s="478"/>
      <c r="Y85" s="469"/>
      <c r="Z85" s="469"/>
      <c r="AA85" s="469"/>
      <c r="AB85" s="469"/>
      <c r="AC85" s="469"/>
      <c r="AD85" s="470"/>
      <c r="AF85" s="53"/>
    </row>
    <row r="86" spans="1:32" ht="30.75" customHeight="1" thickBot="1">
      <c r="A86" s="471">
        <v>3</v>
      </c>
      <c r="B86" s="472"/>
      <c r="C86" s="473"/>
      <c r="D86" s="473"/>
      <c r="E86" s="473"/>
      <c r="F86" s="473"/>
      <c r="G86" s="473"/>
      <c r="H86" s="473"/>
      <c r="I86" s="473"/>
      <c r="J86" s="473"/>
      <c r="K86" s="473"/>
      <c r="L86" s="473"/>
      <c r="M86" s="473"/>
      <c r="N86" s="473"/>
      <c r="O86" s="473"/>
      <c r="P86" s="473"/>
      <c r="Q86" s="473"/>
      <c r="R86" s="473"/>
      <c r="S86" s="473"/>
      <c r="T86" s="473"/>
      <c r="U86" s="473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23</vt:i4>
      </vt:variant>
    </vt:vector>
  </HeadingPairs>
  <TitlesOfParts>
    <vt:vector size="47" baseType="lpstr">
      <vt:lpstr>총괄</vt:lpstr>
      <vt:lpstr>01</vt:lpstr>
      <vt:lpstr>03</vt:lpstr>
      <vt:lpstr>04</vt:lpstr>
      <vt:lpstr>05</vt:lpstr>
      <vt:lpstr>06</vt:lpstr>
      <vt:lpstr>07</vt:lpstr>
      <vt:lpstr>08</vt:lpstr>
      <vt:lpstr>10</vt:lpstr>
      <vt:lpstr>11</vt:lpstr>
      <vt:lpstr>12</vt:lpstr>
      <vt:lpstr>13</vt:lpstr>
      <vt:lpstr>14</vt:lpstr>
      <vt:lpstr>17</vt:lpstr>
      <vt:lpstr>18</vt:lpstr>
      <vt:lpstr>19</vt:lpstr>
      <vt:lpstr>20</vt:lpstr>
      <vt:lpstr>21</vt:lpstr>
      <vt:lpstr>24</vt:lpstr>
      <vt:lpstr>25</vt:lpstr>
      <vt:lpstr>26</vt:lpstr>
      <vt:lpstr>27</vt:lpstr>
      <vt:lpstr>28</vt:lpstr>
      <vt:lpstr>31</vt:lpstr>
      <vt:lpstr>'01'!Print_Area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'10'!Print_Area</vt:lpstr>
      <vt:lpstr>'11'!Print_Area</vt:lpstr>
      <vt:lpstr>'12'!Print_Area</vt:lpstr>
      <vt:lpstr>'13'!Print_Area</vt:lpstr>
      <vt:lpstr>'14'!Print_Area</vt:lpstr>
      <vt:lpstr>'17'!Print_Area</vt:lpstr>
      <vt:lpstr>'18'!Print_Area</vt:lpstr>
      <vt:lpstr>'19'!Print_Area</vt:lpstr>
      <vt:lpstr>'20'!Print_Area</vt:lpstr>
      <vt:lpstr>'21'!Print_Area</vt:lpstr>
      <vt:lpstr>'24'!Print_Area</vt:lpstr>
      <vt:lpstr>'25'!Print_Area</vt:lpstr>
      <vt:lpstr>'26'!Print_Area</vt:lpstr>
      <vt:lpstr>'27'!Print_Area</vt:lpstr>
      <vt:lpstr>'28'!Print_Area</vt:lpstr>
      <vt:lpstr>'31'!Print_Area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2017-05-09T00:48:16Z</cp:lastPrinted>
  <dcterms:created xsi:type="dcterms:W3CDTF">2014-05-16T00:06:55Z</dcterms:created>
  <dcterms:modified xsi:type="dcterms:W3CDTF">2017-08-01T10:13:34Z</dcterms:modified>
</cp:coreProperties>
</file>